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showInkAnnotation="0" codeName="ThisWorkbook" defaultThemeVersion="124226"/>
  <mc:AlternateContent xmlns:mc="http://schemas.openxmlformats.org/markup-compatibility/2006">
    <mc:Choice Requires="x15">
      <x15ac:absPath xmlns:x15ac="http://schemas.microsoft.com/office/spreadsheetml/2010/11/ac" url="Z:\2. ACTIVE PROJECTS\Mike Kelly - Mammoth Lakes Family Apartments\CDLAC-CTCAC Folder\2026 CDLAC-CTCAC E-APP ROUND 1\"/>
    </mc:Choice>
  </mc:AlternateContent>
  <xr:revisionPtr revIDLastSave="0" documentId="13_ncr:1_{77B03957-2CE5-4963-ACB9-10DC0C8556F5}"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20" yWindow="-120" windowWidth="29040" windowHeight="15720" tabRatio="889"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4" i="7" l="1"/>
  <c r="I54" i="7" s="1"/>
  <c r="K54" i="7" s="1"/>
  <c r="M54" i="7" s="1"/>
  <c r="O54" i="7" s="1"/>
  <c r="Q54" i="7" s="1"/>
  <c r="S54" i="7" s="1"/>
  <c r="U54" i="7" s="1"/>
  <c r="W54" i="7" s="1"/>
  <c r="Y54" i="7" s="1"/>
  <c r="AA54" i="7" s="1"/>
  <c r="AC54" i="7" s="1"/>
  <c r="AE54" i="7" s="1"/>
  <c r="AG54" i="7" s="1"/>
  <c r="G53" i="7"/>
  <c r="I53" i="7" s="1"/>
  <c r="K53" i="7" s="1"/>
  <c r="M53" i="7" s="1"/>
  <c r="O53" i="7" s="1"/>
  <c r="Q53" i="7" s="1"/>
  <c r="S53" i="7" s="1"/>
  <c r="U53" i="7" s="1"/>
  <c r="W53" i="7" s="1"/>
  <c r="Y53" i="7" s="1"/>
  <c r="AA53" i="7" s="1"/>
  <c r="AC53" i="7" s="1"/>
  <c r="AE53" i="7" s="1"/>
  <c r="AG53" i="7" s="1"/>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5" i="24" l="1" a="1"/>
  <c r="BB5" i="24" s="1"/>
  <c r="BB4" i="24" a="1"/>
  <c r="BB4" i="24" s="1"/>
  <c r="BB6" i="24" a="1"/>
  <c r="BB6"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K351" i="20"/>
  <c r="T837" i="20" s="1"/>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G151" i="21"/>
  <c r="E153" i="21" s="1"/>
  <c r="S26" i="4"/>
  <c r="E26" i="13" s="1"/>
  <c r="C26" i="4"/>
  <c r="B26" i="13" s="1"/>
  <c r="G86" i="21"/>
  <c r="G92" i="21" s="1"/>
  <c r="G123"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B26" i="4" l="1"/>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K58" i="7"/>
  <c r="C27" i="11"/>
  <c r="AB48" i="15"/>
  <c r="D46" i="11"/>
  <c r="B82" i="11"/>
  <c r="H63" i="4"/>
  <c r="H97" i="4" s="1"/>
  <c r="H105" i="4" s="1"/>
  <c r="G63" i="4"/>
  <c r="G97" i="4" s="1"/>
  <c r="G105" i="4" s="1"/>
  <c r="I58" i="7"/>
  <c r="C9" i="11"/>
  <c r="B63" i="11"/>
  <c r="T63" i="4"/>
  <c r="B96" i="4"/>
  <c r="B38" i="4"/>
  <c r="D84" i="11"/>
  <c r="B54" i="13"/>
  <c r="K63" i="4"/>
  <c r="K97" i="4" s="1"/>
  <c r="K105" i="4" s="1"/>
  <c r="S63" i="4"/>
  <c r="E10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D105" i="11" l="1"/>
  <c r="N190" i="24"/>
  <c r="I15" i="21"/>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S97" i="4"/>
  <c r="D9" i="11"/>
  <c r="C13" i="11"/>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AZ1057" i="3" l="1"/>
  <c r="O26" i="21"/>
  <c r="O28" i="21"/>
  <c r="P28" i="21" s="1" a="1"/>
  <c r="P28" i="21" s="1"/>
  <c r="S28" i="21" s="1"/>
  <c r="O30" i="21"/>
  <c r="P30" i="21" s="1" a="1"/>
  <c r="P30" i="21" s="1"/>
  <c r="S30" i="21" s="1"/>
  <c r="O27" i="21"/>
  <c r="P27" i="21" s="1" a="1"/>
  <c r="P27" i="21" s="1"/>
  <c r="S27" i="21" s="1"/>
  <c r="O31" i="21"/>
  <c r="P31" i="21" s="1" a="1"/>
  <c r="P31" i="21" s="1"/>
  <c r="S31" i="21" s="1"/>
  <c r="O29" i="21"/>
  <c r="P29" i="21" s="1" a="1"/>
  <c r="P29" i="21" s="1"/>
  <c r="S29" i="21" s="1"/>
  <c r="O24" i="21"/>
  <c r="P24" i="21" s="1" a="1"/>
  <c r="P24" i="21" s="1"/>
  <c r="S24" i="21" s="1"/>
  <c r="O25" i="21"/>
  <c r="P25" i="21" s="1" a="1"/>
  <c r="P25" i="21" s="1"/>
  <c r="S25" i="21" s="1"/>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O58" i="7"/>
  <c r="T105" i="4"/>
  <c r="H97" i="13"/>
  <c r="P26" i="21" a="1"/>
  <c r="P26" i="21" s="1"/>
  <c r="S26" i="21" s="1"/>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H107" i="13" s="1"/>
  <c r="Q58" i="7"/>
  <c r="G45" i="21"/>
  <c r="G47" i="21" s="1"/>
  <c r="E10" i="21" s="1"/>
  <c r="E11" i="21"/>
  <c r="AP718" i="20"/>
  <c r="AJ724" i="20" s="1"/>
  <c r="AK816" i="20" s="1"/>
  <c r="T841" i="20" s="1"/>
  <c r="AF841" i="20" s="1"/>
  <c r="BE82" i="3" s="1"/>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C465" i="3" l="1"/>
  <c r="AD11" i="15"/>
  <c r="AD23" i="15" s="1"/>
  <c r="AD26" i="15" s="1"/>
  <c r="AD28" i="15" s="1"/>
  <c r="AI11" i="15"/>
  <c r="AI23" i="15" s="1"/>
  <c r="AI26" i="15" s="1"/>
  <c r="AI28" i="15" s="1"/>
  <c r="BE72" i="3"/>
  <c r="G166" i="21"/>
  <c r="G165" i="21"/>
  <c r="N181" i="24"/>
  <c r="N191" i="24"/>
  <c r="T829" i="20"/>
  <c r="AF829" i="20" s="1"/>
  <c r="T833" i="20"/>
  <c r="AF833" i="20" s="1"/>
  <c r="BE76" i="3" s="1"/>
  <c r="BA1064" i="3"/>
  <c r="BA1068" i="3" s="1"/>
  <c r="S58"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Y11" i="15"/>
  <c r="Y23" i="15" s="1"/>
  <c r="Y26" i="15" s="1"/>
  <c r="Y28" i="15" s="1"/>
  <c r="BE74" i="3"/>
  <c r="AP566" i="20"/>
  <c r="U58" i="7"/>
  <c r="AJ1062" i="3"/>
  <c r="AA1066" i="3" s="1"/>
  <c r="G1067" i="3" s="1"/>
  <c r="AP565" i="20"/>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T26" i="15" l="1"/>
  <c r="T28" i="15" s="1"/>
  <c r="T29" i="15" s="1"/>
  <c r="Y64" i="15"/>
  <c r="Y68" i="15" s="1"/>
  <c r="Y69" i="15" s="1"/>
  <c r="AP567" i="20"/>
  <c r="G94" i="21"/>
  <c r="E15" i="21" s="1"/>
  <c r="W58" i="7"/>
  <c r="T24" i="15"/>
  <c r="AP570" i="20"/>
  <c r="AP569" i="20" s="1"/>
  <c r="K11" i="7"/>
  <c r="K37" i="7" s="1"/>
  <c r="K45" i="7" s="1"/>
  <c r="E66" i="7"/>
  <c r="O5" i="7"/>
  <c r="Q4" i="7"/>
  <c r="M7" i="7"/>
  <c r="M11" i="7" s="1"/>
  <c r="M37" i="7" s="1"/>
  <c r="O6" i="7"/>
  <c r="G62" i="7"/>
  <c r="G66" i="7"/>
  <c r="I48" i="7"/>
  <c r="I60" i="7"/>
  <c r="I47" i="7"/>
  <c r="G115" i="21"/>
  <c r="G127" i="21"/>
  <c r="G111" i="21"/>
  <c r="S22" i="7"/>
  <c r="S35" i="7" s="1"/>
  <c r="U15" i="7"/>
  <c r="U8" i="7"/>
  <c r="S9" i="7"/>
  <c r="AP572" i="20" l="1"/>
  <c r="AF565" i="20" s="1"/>
  <c r="AF566" i="20" s="1"/>
  <c r="AK572" i="20" s="1"/>
  <c r="T840" i="20" s="1"/>
  <c r="AF840" i="20" s="1"/>
  <c r="BE81" i="3" s="1"/>
  <c r="Y38" i="15"/>
  <c r="Y40" i="15" s="1"/>
  <c r="Y58" i="7"/>
  <c r="AD38" i="15"/>
  <c r="AD40" i="15" s="1"/>
  <c r="G129" i="21"/>
  <c r="E17" i="21" s="1"/>
  <c r="E14" i="21" s="1"/>
  <c r="E18" i="21" s="1"/>
  <c r="K49" i="7"/>
  <c r="E70" i="7"/>
  <c r="E72" i="7" s="1"/>
  <c r="S4" i="7"/>
  <c r="Q5" i="7"/>
  <c r="G70" i="7"/>
  <c r="G72" i="7" s="1"/>
  <c r="O7" i="7"/>
  <c r="O11" i="7" s="1"/>
  <c r="O37" i="7" s="1"/>
  <c r="Q6" i="7"/>
  <c r="M45" i="7"/>
  <c r="M49" i="7"/>
  <c r="I66" i="7"/>
  <c r="I62" i="7"/>
  <c r="K47" i="7"/>
  <c r="K60" i="7"/>
  <c r="K48" i="7"/>
  <c r="U22" i="7"/>
  <c r="U35" i="7" s="1"/>
  <c r="W15" i="7"/>
  <c r="U9" i="7"/>
  <c r="W8" i="7"/>
  <c r="Y41" i="15" l="1"/>
  <c r="AB56" i="15" s="1"/>
  <c r="M26" i="3" s="1"/>
  <c r="AA58" i="7"/>
  <c r="U4" i="7"/>
  <c r="S5" i="7"/>
  <c r="M48" i="7"/>
  <c r="M47" i="7"/>
  <c r="M60" i="7"/>
  <c r="O45" i="7"/>
  <c r="O49" i="7"/>
  <c r="K66" i="7"/>
  <c r="K62" i="7"/>
  <c r="Q7" i="7"/>
  <c r="Q11" i="7" s="1"/>
  <c r="Q37" i="7" s="1"/>
  <c r="S6" i="7"/>
  <c r="I70" i="7"/>
  <c r="I72" i="7" s="1"/>
  <c r="W22" i="7"/>
  <c r="W35" i="7" s="1"/>
  <c r="Y15" i="7"/>
  <c r="W9" i="7"/>
  <c r="Y8" i="7"/>
  <c r="BE19" i="3" l="1"/>
  <c r="AC58" i="7"/>
  <c r="AB57" i="15"/>
  <c r="P204" i="3"/>
  <c r="U5" i="7"/>
  <c r="W4" i="7"/>
  <c r="Q49" i="7"/>
  <c r="Q45" i="7"/>
  <c r="M62" i="7"/>
  <c r="M66" i="7"/>
  <c r="O47" i="7"/>
  <c r="O48" i="7"/>
  <c r="O60" i="7"/>
  <c r="K70" i="7"/>
  <c r="K72" i="7" s="1"/>
  <c r="S7" i="7"/>
  <c r="S11" i="7" s="1"/>
  <c r="S37" i="7" s="1"/>
  <c r="U6" i="7"/>
  <c r="Y22" i="7"/>
  <c r="Y35" i="7" s="1"/>
  <c r="AA15" i="7"/>
  <c r="Y9" i="7"/>
  <c r="AA8" i="7"/>
  <c r="AG58" i="7" l="1"/>
  <c r="AE58" i="7"/>
  <c r="AB59" i="15"/>
  <c r="AB77" i="15" s="1"/>
  <c r="AB78" i="15" s="1"/>
  <c r="I10" i="21" s="1"/>
  <c r="M70" i="7"/>
  <c r="M72" i="7" s="1"/>
  <c r="W5" i="7"/>
  <c r="Y4" i="7"/>
  <c r="U7" i="7"/>
  <c r="U11" i="7" s="1"/>
  <c r="U37" i="7" s="1"/>
  <c r="W6" i="7"/>
  <c r="O66" i="7"/>
  <c r="O62" i="7"/>
  <c r="Q60" i="7"/>
  <c r="Q48" i="7"/>
  <c r="Q47" i="7"/>
  <c r="S49" i="7"/>
  <c r="S45" i="7"/>
  <c r="AC15" i="7"/>
  <c r="AA22" i="7"/>
  <c r="AA35" i="7" s="1"/>
  <c r="AC8" i="7"/>
  <c r="AA9" i="7"/>
  <c r="AB79" i="15" l="1"/>
  <c r="AA4" i="7"/>
  <c r="Y5" i="7"/>
  <c r="Y6" i="7"/>
  <c r="W7" i="7"/>
  <c r="W11" i="7" s="1"/>
  <c r="W37" i="7" s="1"/>
  <c r="U45" i="7"/>
  <c r="U49" i="7"/>
  <c r="Q66" i="7"/>
  <c r="Q62" i="7"/>
  <c r="S48" i="7"/>
  <c r="S47" i="7"/>
  <c r="S60" i="7"/>
  <c r="O70" i="7"/>
  <c r="O72" i="7" s="1"/>
  <c r="AE15" i="7"/>
  <c r="AC22" i="7"/>
  <c r="AC35" i="7" s="1"/>
  <c r="AC9" i="7"/>
  <c r="AE8" i="7"/>
  <c r="AB81" i="15" l="1"/>
  <c r="J82" i="15" s="1"/>
  <c r="M27" i="3"/>
  <c r="I11" i="21"/>
  <c r="I18" i="21" s="1"/>
  <c r="AA5" i="7"/>
  <c r="AC4"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2" i="7"/>
  <c r="Y49" i="7"/>
  <c r="Y45" i="7"/>
  <c r="W60" i="7"/>
  <c r="W47" i="7"/>
  <c r="W48" i="7"/>
  <c r="AE5" i="7" l="1"/>
  <c r="AG4" i="7"/>
  <c r="AA45" i="7"/>
  <c r="AA49" i="7"/>
  <c r="U70" i="7"/>
  <c r="U72" i="7" s="1"/>
  <c r="W62" i="7"/>
  <c r="W66" i="7"/>
  <c r="Y47" i="7"/>
  <c r="Y48" i="7"/>
  <c r="Y60" i="7"/>
  <c r="AE6" i="7"/>
  <c r="AC7" i="7"/>
  <c r="AC11" i="7" s="1"/>
  <c r="AC37" i="7" s="1"/>
  <c r="AG5" i="7" l="1"/>
  <c r="W70" i="7"/>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67"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<sst xmlns="http://schemas.openxmlformats.org/spreadsheetml/2006/main" count="5079" uniqueCount="2782">
  <si>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</si>
  <si>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</si>
  <si>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</si>
  <si>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</si>
  <si>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</si>
  <si>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</si>
  <si>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</si>
  <si>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</si>
  <si>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</si>
  <si>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</si>
  <si>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</si>
  <si>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</si>
  <si>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</si>
  <si>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</si>
  <si>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</si>
  <si>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</si>
  <si>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</si>
  <si>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</si>
  <si>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</si>
  <si>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</si>
  <si>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</si>
  <si>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</si>
  <si>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</si>
  <si>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</si>
  <si>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</si>
  <si>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</si>
  <si>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</si>
  <si>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</si>
  <si>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</si>
  <si>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</si>
  <si>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</si>
  <si>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</si>
  <si>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</si>
  <si>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</si>
  <si>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</si>
  <si>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</si>
  <si>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</si>
  <si>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</si>
  <si>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</si>
  <si>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</si>
  <si>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</si>
  <si>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</si>
  <si>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</si>
  <si>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</si>
  <si>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</si>
  <si>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</si>
  <si>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</si>
  <si>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</si>
  <si>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</si>
  <si>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</si>
  <si>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</si>
  <si>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</si>
  <si>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</si>
  <si>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</si>
  <si>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</si>
  <si>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</si>
  <si>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</si>
  <si>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</si>
  <si>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</si>
  <si>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</si>
  <si>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</si>
  <si>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</si>
  <si>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</si>
  <si>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</si>
  <si>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</si>
  <si>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</si>
  <si>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</si>
  <si>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</si>
  <si>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</si>
  <si>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</si>
  <si>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</si>
  <si>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</si>
  <si>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</si>
  <si>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</si>
  <si>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</si>
  <si>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</si>
  <si>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</si>
  <si>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</si>
  <si>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</si>
  <si>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</si>
  <si>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</si>
  <si>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</si>
  <si>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</si>
  <si>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</si>
  <si>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</si>
  <si>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</si>
  <si>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</si>
  <si>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</si>
  <si>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</si>
  <si>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</si>
  <si>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</si>
  <si>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</si>
  <si>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</si>
  <si>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</si>
  <si>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</si>
  <si>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</si>
  <si>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</si>
  <si>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</si>
  <si>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</si>
  <si>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</si>
  <si>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</si>
  <si>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</si>
  <si>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</si>
  <si>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</si>
  <si>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</si>
  <si>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</si>
  <si>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</si>
  <si>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</si>
  <si>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</si>
  <si>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</si>
  <si>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</si>
  <si>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</si>
  <si>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</si>
  <si>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</si>
  <si>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</si>
  <si>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</si>
  <si>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</si>
  <si>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</si>
  <si>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</si>
  <si>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</si>
  <si>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</si>
  <si>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</si>
  <si>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</si>
  <si>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</si>
  <si>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</si>
  <si>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</si>
  <si>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</si>
  <si>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</si>
  <si>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</si>
  <si>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</si>
  <si>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</si>
  <si>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</si>
  <si>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</si>
  <si>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</si>
  <si>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</si>
  <si>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</si>
  <si>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</si>
  <si>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</si>
  <si>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</si>
  <si>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</si>
  <si>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</si>
  <si>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</si>
  <si>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</si>
  <si>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</si>
  <si>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</si>
  <si>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</si>
  <si>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</si>
  <si>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</si>
  <si>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</si>
  <si>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</si>
  <si>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</si>
  <si>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</si>
  <si>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</si>
  <si>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</si>
  <si>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</si>
  <si>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</si>
  <si>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</si>
  <si>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</si>
  <si>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</si>
  <si>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</si>
  <si>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</si>
  <si>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</si>
  <si>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</si>
  <si>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</si>
  <si>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</si>
  <si>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</si>
  <si>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</si>
  <si>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</si>
  <si>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</si>
  <si>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</si>
  <si>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</si>
  <si>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</si>
  <si>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</si>
  <si>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</si>
  <si>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</si>
  <si>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</si>
  <si>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</si>
  <si>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</si>
  <si>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</si>
  <si>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</si>
  <si>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</si>
  <si>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</si>
  <si>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</si>
  <si>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</si>
  <si>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</si>
  <si>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</si>
  <si>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</si>
  <si>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</si>
  <si>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</si>
  <si>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</si>
  <si>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</si>
  <si>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</si>
  <si>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</si>
  <si>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</si>
  <si>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</si>
  <si>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</si>
  <si>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</si>
  <si>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</si>
  <si>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</si>
  <si>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</si>
  <si>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</si>
  <si>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</si>
  <si>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</si>
  <si>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</si>
  <si>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</si>
  <si>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</si>
  <si>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</si>
  <si>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</si>
  <si>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</si>
  <si>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</si>
  <si>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</si>
  <si>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</si>
  <si>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</si>
  <si>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</si>
  <si>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</si>
  <si>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</si>
  <si>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</si>
  <si>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</si>
  <si>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</si>
  <si>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</si>
  <si>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</si>
  <si>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</si>
  <si>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</si>
  <si>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</si>
  <si>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</si>
  <si>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</si>
  <si>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</si>
  <si>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</si>
  <si>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</si>
  <si>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</si>
  <si>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</si>
  <si>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</si>
  <si>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</si>
  <si>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</si>
  <si>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</si>
  <si>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</si>
  <si>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</si>
  <si>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</si>
  <si>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</si>
  <si>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</si>
  <si>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</si>
  <si>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</si>
  <si>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</si>
  <si>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</si>
  <si>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</si>
  <si>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</si>
  <si>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</si>
  <si>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</si>
  <si>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</si>
  <si>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</si>
  <si>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</si>
  <si>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</si>
  <si>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</si>
  <si>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</si>
  <si>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</si>
  <si>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</si>
  <si>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</si>
  <si>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</si>
  <si>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</si>
  <si>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</si>
  <si>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</si>
  <si>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</si>
  <si>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</si>
  <si>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</si>
  <si>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</si>
  <si>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</si>
  <si>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</si>
  <si>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</si>
  <si>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</si>
  <si>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</si>
  <si>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</si>
  <si>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</si>
  <si>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</si>
  <si>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</si>
  <si>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</si>
  <si>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</si>
  <si>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</si>
  <si>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</si>
  <si>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</si>
  <si>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</si>
  <si>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</si>
  <si>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</si>
  <si>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</si>
  <si>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</si>
  <si>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</si>
  <si>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</si>
  <si>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</si>
  <si>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</si>
  <si>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</si>
  <si>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</si>
  <si>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</si>
  <si>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</si>
  <si>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</si>
  <si>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</si>
  <si>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</si>
  <si>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</si>
  <si>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</si>
  <si>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</si>
  <si>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</si>
  <si>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</si>
  <si>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</si>
  <si>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</si>
  <si>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</si>
  <si>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</si>
  <si>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</si>
  <si>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</si>
  <si>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</si>
  <si>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</si>
  <si>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</si>
  <si>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</si>
  <si>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</si>
  <si>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</si>
  <si>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</si>
  <si>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</si>
  <si>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</si>
  <si>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</si>
  <si>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</si>
  <si>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</si>
  <si>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</si>
  <si>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</si>
  <si>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</si>
  <si>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</si>
  <si>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</si>
  <si>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</si>
  <si>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</si>
  <si>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</si>
  <si>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</si>
  <si>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</si>
  <si>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</si>
  <si>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</si>
  <si>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</si>
  <si>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</si>
  <si>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</si>
  <si>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</si>
  <si>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</si>
  <si>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</si>
  <si>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</si>
  <si>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</si>
  <si>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</si>
  <si>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</si>
  <si>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</si>
  <si>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</si>
  <si>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</si>
  <si>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</si>
  <si>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</si>
  <si>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</si>
  <si>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</si>
  <si>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</si>
  <si>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</si>
  <si>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</si>
  <si>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</si>
  <si>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</si>
  <si>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</si>
  <si>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</si>
  <si>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</si>
  <si>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</si>
  <si>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</si>
  <si>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</si>
  <si>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</si>
  <si>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</si>
  <si>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</si>
  <si>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</si>
  <si>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</si>
  <si>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</si>
  <si>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</si>
  <si>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</si>
  <si>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</si>
  <si>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</si>
  <si>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</si>
  <si>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</si>
  <si>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</si>
  <si>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</si>
  <si>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</si>
  <si>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</si>
  <si>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</si>
  <si>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</si>
  <si>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</si>
  <si>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</si>
  <si>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</si>
  <si>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</si>
  <si>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</si>
  <si>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</si>
  <si>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</si>
  <si>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</si>
  <si>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</si>
  <si>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</si>
  <si>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</si>
  <si>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</si>
  <si>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</si>
  <si>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</si>
  <si>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</si>
  <si>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</si>
  <si>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</si>
  <si>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</si>
  <si>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</si>
  <si>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</si>
  <si>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</si>
  <si>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</si>
  <si>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</si>
  <si>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</si>
  <si>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</si>
  <si>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</si>
  <si>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</si>
  <si>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</si>
  <si>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</si>
  <si>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</si>
  <si>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</si>
  <si>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</si>
  <si>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</si>
  <si>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</si>
  <si>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</si>
  <si>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</si>
  <si>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</si>
  <si>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</si>
  <si>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</si>
  <si>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</si>
  <si>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</si>
  <si>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</si>
  <si>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</si>
  <si>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</si>
  <si>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</si>
  <si>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</si>
  <si>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</si>
  <si>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</si>
  <si>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</si>
  <si>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</si>
  <si>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</si>
  <si>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</si>
  <si>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</si>
  <si>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</si>
  <si>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</si>
  <si>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</si>
  <si>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</si>
  <si>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</si>
  <si>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</si>
  <si>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</si>
  <si>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</si>
  <si>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</si>
  <si>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</si>
  <si>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</si>
  <si>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</si>
  <si>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</si>
  <si>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</si>
  <si>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</si>
  <si>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</si>
  <si>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</si>
  <si>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</si>
  <si>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</si>
  <si>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</si>
  <si>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</si>
  <si>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</si>
  <si>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</si>
  <si>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</si>
  <si>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</si>
  <si>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</si>
  <si>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</si>
  <si>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</si>
  <si>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</si>
  <si>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</si>
  <si>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</si>
  <si>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</si>
  <si>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</si>
  <si>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</si>
  <si>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</si>
  <si>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</si>
  <si>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</si>
  <si>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</si>
  <si>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</si>
  <si>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</si>
  <si>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</si>
  <si>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</si>
  <si>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</si>
  <si>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</si>
  <si>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</si>
  <si>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</si>
  <si>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</si>
  <si>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</si>
  <si>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</si>
  <si>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</si>
  <si>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</si>
  <si>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</si>
  <si>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</si>
  <si>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</si>
  <si>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</si>
  <si>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</si>
  <si>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</si>
  <si>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</si>
  <si>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</si>
  <si>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</si>
  <si>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</si>
  <si>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</si>
  <si>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</si>
  <si>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</si>
  <si>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</si>
  <si>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</si>
  <si>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</si>
  <si>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</si>
  <si>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</si>
  <si>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</si>
  <si>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</si>
  <si>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</si>
  <si>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</si>
  <si>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</si>
  <si>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</si>
  <si>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</si>
  <si>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</si>
  <si>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</si>
  <si>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</si>
  <si>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</si>
  <si>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</si>
  <si>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</si>
  <si>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</si>
  <si>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</si>
  <si>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</si>
  <si>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</si>
  <si>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</si>
  <si>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</si>
  <si>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</si>
  <si>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</si>
  <si>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</si>
  <si>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</si>
  <si>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</si>
  <si>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</si>
  <si>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</si>
  <si>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</si>
  <si>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</si>
  <si>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</si>
  <si>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</si>
  <si>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</si>
  <si>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</si>
  <si>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</si>
  <si>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</si>
  <si>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</si>
  <si>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</si>
  <si>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</si>
  <si>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</si>
  <si>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</si>
  <si>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</si>
  <si>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</si>
  <si>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</si>
  <si>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</si>
  <si>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</si>
  <si>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</si>
  <si>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</si>
  <si>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</si>
  <si>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</si>
  <si>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</si>
  <si>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</si>
  <si>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</si>
  <si>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</si>
  <si>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</si>
  <si>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</si>
  <si>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</si>
  <si>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</si>
  <si>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</si>
  <si>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</si>
  <si>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</si>
  <si>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</si>
  <si>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</si>
  <si>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</si>
  <si>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</si>
  <si>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</si>
  <si>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</si>
  <si>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</si>
  <si>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</si>
  <si>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</si>
  <si>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</si>
  <si>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</si>
  <si>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</si>
  <si>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</si>
  <si>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</si>
  <si>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</si>
  <si>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</si>
  <si>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</si>
  <si>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</si>
  <si>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</si>
  <si>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</si>
  <si>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</si>
  <si>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</si>
  <si>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</si>
  <si>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</si>
  <si>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</si>
  <si>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</si>
  <si>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</si>
  <si>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</si>
  <si>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</si>
  <si>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</si>
  <si>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</si>
  <si>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</si>
  <si>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</si>
  <si>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</si>
  <si>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</si>
  <si>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</si>
  <si>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</si>
  <si>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</si>
  <si>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</si>
  <si>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</si>
  <si>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</si>
  <si>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</si>
  <si>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</si>
  <si>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</si>
  <si>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</si>
  <si>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</si>
  <si>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</si>
  <si>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</si>
  <si>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</si>
  <si>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</si>
  <si>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</si>
  <si>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</si>
  <si>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</si>
  <si>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</si>
  <si>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</si>
  <si>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</si>
  <si>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</si>
  <si>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</si>
  <si>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</si>
  <si>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</si>
  <si>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</si>
  <si>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</si>
  <si>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</si>
  <si>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</si>
  <si>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</si>
  <si>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</si>
  <si>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</si>
  <si>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</si>
  <si>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</si>
  <si>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</si>
  <si>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</si>
  <si>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</si>
  <si>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</si>
  <si>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</si>
  <si>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</si>
  <si>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</si>
  <si>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</si>
  <si>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</si>
  <si>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</si>
  <si>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</si>
  <si>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</si>
  <si>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</si>
  <si>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</si>
  <si>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</si>
  <si>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</si>
  <si>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</si>
  <si>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</si>
  <si>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</si>
  <si>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</si>
  <si>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</si>
  <si>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</si>
  <si>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</si>
  <si>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</si>
  <si>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</si>
  <si>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</si>
  <si>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</si>
  <si>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</si>
  <si>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</si>
  <si>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</si>
  <si>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</si>
  <si>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</si>
  <si>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</si>
  <si>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</si>
  <si>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</si>
  <si>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</si>
  <si>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</si>
  <si>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</si>
  <si>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</si>
  <si>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</si>
  <si>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</si>
  <si>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</si>
  <si>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</si>
  <si>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</si>
  <si>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</si>
  <si>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</si>
  <si>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</si>
  <si>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</si>
  <si>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</si>
  <si>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</si>
  <si>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</si>
  <si>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</si>
  <si>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</si>
  <si>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</si>
  <si>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</si>
  <si>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</si>
  <si>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</si>
  <si>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</si>
  <si>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</si>
  <si>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</si>
  <si>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</si>
  <si>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</si>
  <si>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</si>
  <si>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</si>
  <si>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</si>
  <si>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</si>
  <si>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</si>
  <si>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</si>
  <si>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</si>
  <si>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</si>
  <si>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</si>
  <si>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</si>
  <si>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</si>
  <si>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</si>
  <si>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</si>
  <si>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</si>
  <si>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</si>
  <si>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</si>
  <si>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</si>
  <si>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</si>
  <si>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</si>
  <si>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</si>
  <si>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</si>
  <si>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</si>
  <si>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</si>
  <si>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</si>
  <si>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</si>
  <si>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</si>
  <si>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</si>
  <si>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</si>
  <si>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</si>
  <si>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</si>
  <si>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</si>
  <si>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</si>
  <si>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</si>
  <si>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</si>
  <si>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</si>
  <si>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</si>
  <si>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</si>
  <si>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</si>
  <si>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</si>
  <si>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</si>
  <si>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</si>
  <si>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</si>
  <si>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</si>
  <si>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</si>
  <si>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</si>
  <si>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</si>
  <si>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</si>
  <si>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</si>
  <si>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</si>
  <si>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</si>
  <si>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</si>
  <si>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</si>
  <si>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</si>
  <si>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</si>
  <si>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</si>
  <si>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</si>
  <si>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</si>
  <si>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</si>
  <si>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</si>
  <si>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</si>
  <si>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</si>
  <si>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</si>
  <si>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</si>
  <si>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</si>
  <si>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</si>
  <si>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</si>
  <si>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</si>
  <si>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</si>
  <si>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</si>
  <si>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</si>
  <si>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</si>
  <si>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</si>
  <si>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</si>
  <si>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</si>
  <si>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</si>
  <si>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</si>
  <si>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</si>
  <si>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</si>
  <si>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</si>
  <si>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</si>
  <si>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</si>
  <si>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</si>
  <si>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</si>
  <si>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</si>
  <si>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</si>
  <si>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</si>
  <si>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</si>
  <si>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</si>
  <si>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</si>
  <si>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</si>
  <si>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</si>
  <si>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</si>
  <si>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</si>
  <si>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</si>
  <si>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</si>
  <si>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</si>
  <si>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</si>
  <si>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</si>
  <si>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</si>
  <si>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</si>
  <si>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</si>
  <si>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</si>
  <si>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</si>
  <si>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</si>
  <si>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</si>
  <si>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</si>
  <si>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</si>
  <si>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</si>
  <si>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</si>
  <si>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</si>
  <si>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</si>
  <si>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</si>
  <si>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</si>
  <si>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</si>
  <si>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</si>
  <si>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</si>
  <si>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</si>
  <si>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</si>
  <si>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</si>
  <si>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</si>
  <si>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</si>
  <si>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</si>
  <si>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</si>
  <si>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</si>
  <si>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</si>
  <si>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</si>
  <si>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</si>
  <si>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</si>
  <si>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</si>
  <si>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</si>
  <si>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</si>
  <si>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</si>
  <si>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</si>
  <si>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</si>
  <si>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</si>
  <si>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</si>
  <si>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</si>
  <si>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</si>
  <si>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</si>
  <si>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</si>
  <si>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</si>
  <si>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</si>
  <si>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</si>
  <si>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</si>
  <si>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</si>
  <si>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</si>
  <si>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</si>
  <si>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</si>
  <si>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</si>
  <si>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</si>
  <si>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</si>
  <si>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</si>
  <si>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</si>
  <si>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</si>
  <si>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</si>
  <si>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</si>
  <si>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</si>
  <si>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</si>
  <si>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</si>
  <si>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</si>
  <si>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</si>
  <si>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</si>
  <si>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</si>
  <si>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</si>
  <si>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</si>
  <si>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</si>
  <si>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</si>
  <si>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</si>
  <si>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</si>
  <si>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</si>
  <si>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</si>
  <si>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</si>
  <si>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</si>
  <si>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</si>
  <si>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</si>
  <si>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</si>
  <si>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</si>
  <si>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</si>
  <si>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</si>
  <si>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</si>
  <si>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</si>
  <si>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</si>
  <si>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</si>
  <si>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</si>
  <si>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</si>
  <si>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</si>
  <si>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</si>
  <si>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</si>
  <si>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</si>
  <si>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</si>
  <si>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</si>
  <si>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</si>
  <si>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</si>
  <si>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</si>
  <si>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</si>
  <si>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</si>
  <si>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</si>
  <si>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</si>
  <si>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</si>
  <si>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</si>
  <si>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</si>
  <si>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</si>
  <si>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</si>
  <si>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</si>
  <si>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</si>
  <si>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</si>
  <si>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</si>
  <si>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</si>
  <si>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</si>
  <si>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</si>
  <si>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</si>
  <si>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</si>
  <si>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</si>
  <si>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</si>
  <si>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</si>
  <si>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</si>
  <si>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</si>
  <si>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</si>
  <si>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</si>
  <si>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</si>
  <si>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</si>
  <si>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</si>
  <si>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</si>
  <si>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</si>
  <si>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</si>
  <si>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</si>
  <si>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</si>
  <si>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</si>
  <si>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</si>
  <si>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</si>
  <si>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</si>
  <si>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</si>
  <si>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</si>
  <si>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</si>
  <si>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</si>
  <si>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</si>
  <si>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</si>
  <si>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</si>
  <si>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</si>
  <si>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</si>
  <si>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</si>
  <si>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</si>
  <si>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</si>
  <si>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</si>
  <si>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</si>
  <si>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</si>
  <si>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</si>
  <si>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</si>
  <si>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</si>
  <si>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</si>
  <si>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</si>
  <si>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</si>
  <si>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</si>
  <si>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</si>
  <si>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</si>
  <si>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</si>
  <si>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</si>
  <si>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</si>
  <si>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</si>
  <si>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</si>
  <si>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</si>
  <si>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</si>
  <si>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</si>
  <si>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</si>
  <si>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</si>
  <si>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</si>
  <si>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</si>
  <si>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</si>
  <si>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</si>
  <si>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</si>
  <si>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</si>
  <si>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</si>
  <si>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</si>
  <si>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</si>
  <si>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</si>
  <si>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</si>
  <si>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</si>
  <si>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</si>
  <si>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</si>
  <si>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</si>
  <si>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</si>
  <si>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</si>
  <si>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</si>
  <si>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</si>
  <si>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</si>
  <si>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</si>
  <si>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</si>
  <si>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</si>
  <si>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</si>
  <si>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</si>
  <si>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</si>
  <si>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</si>
  <si>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</si>
  <si>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</si>
  <si>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</si>
  <si>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</si>
  <si>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</si>
  <si>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</si>
  <si>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</si>
  <si>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</si>
  <si>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</si>
  <si>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</si>
  <si>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</si>
  <si>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</si>
  <si>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</si>
  <si>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</si>
  <si>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</si>
  <si>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</si>
  <si>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</si>
  <si>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</si>
  <si>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</si>
  <si>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</si>
  <si>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</si>
  <si>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</si>
  <si>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</si>
  <si>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</si>
  <si>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</si>
  <si>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</si>
  <si>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</si>
  <si>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</si>
  <si>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</si>
  <si>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</si>
  <si>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</si>
  <si>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</si>
  <si>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</si>
  <si>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</si>
  <si>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</si>
  <si>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</si>
  <si>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</si>
  <si>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</si>
  <si>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</si>
  <si>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</si>
  <si>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</si>
  <si>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</si>
  <si>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</si>
  <si>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</si>
  <si>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</si>
  <si>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</si>
  <si>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</si>
  <si>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</si>
  <si>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</si>
  <si>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</si>
  <si>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</si>
  <si>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</si>
  <si>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</si>
  <si>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</si>
  <si>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</si>
  <si>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</si>
  <si>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</si>
  <si>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</si>
  <si>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</si>
  <si>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</si>
  <si>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</si>
  <si>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</si>
  <si>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</si>
  <si>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</si>
  <si>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</si>
  <si>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</si>
  <si>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</si>
  <si>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</si>
  <si>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</si>
  <si>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</si>
  <si>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</si>
  <si>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</si>
  <si>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</si>
  <si>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</si>
  <si>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</si>
  <si>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</si>
  <si>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</si>
  <si>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</si>
  <si>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</si>
  <si>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</si>
  <si>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</si>
  <si>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</si>
  <si>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</si>
  <si>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</si>
  <si>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</si>
  <si>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</si>
  <si>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</si>
  <si>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</si>
  <si>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</si>
  <si>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</si>
  <si>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</si>
  <si>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</si>
  <si>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</si>
  <si>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</si>
  <si>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</si>
  <si>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</si>
  <si>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</si>
  <si>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</si>
  <si>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</si>
  <si>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</si>
  <si>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</si>
  <si>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</si>
  <si>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</si>
  <si>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</si>
  <si>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</si>
  <si>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</si>
  <si>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</si>
  <si>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</si>
  <si>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</si>
  <si>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</si>
  <si>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</si>
  <si>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</si>
  <si>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</si>
  <si>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</si>
  <si>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</si>
  <si>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</si>
  <si>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</si>
  <si>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</si>
  <si>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</si>
  <si>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</si>
  <si>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</si>
  <si>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</si>
  <si>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</si>
  <si>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</si>
  <si>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</si>
  <si>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</si>
  <si>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</si>
  <si>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</si>
  <si>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</si>
  <si>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</si>
  <si>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</si>
  <si>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</si>
  <si>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</si>
  <si>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</si>
  <si>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</si>
  <si>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</si>
  <si>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</si>
  <si>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</si>
  <si>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</si>
  <si>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</si>
  <si>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</si>
  <si>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</si>
  <si>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</si>
  <si>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</si>
  <si>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</si>
  <si>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</si>
  <si>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</si>
  <si>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</si>
  <si>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</si>
  <si>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</si>
  <si>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</si>
  <si>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</si>
  <si>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</si>
  <si>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</si>
  <si>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</si>
  <si>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</si>
  <si>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</si>
  <si>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</si>
  <si>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</si>
  <si>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</si>
  <si>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</si>
  <si>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</si>
  <si>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</si>
  <si>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</si>
  <si>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</si>
  <si>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</si>
  <si>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</si>
  <si>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</si>
  <si>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</si>
  <si>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</si>
  <si>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</si>
  <si>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</si>
  <si>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</si>
  <si>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</si>
  <si>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</si>
  <si>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</si>
  <si>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</si>
  <si>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</si>
  <si>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</si>
  <si>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</si>
  <si>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</si>
  <si>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</si>
  <si>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</si>
  <si>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</si>
  <si>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</si>
  <si>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</si>
  <si>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</si>
  <si>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</si>
  <si>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</si>
  <si>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</si>
  <si>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</si>
  <si>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</si>
  <si>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</si>
  <si>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</si>
  <si>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</si>
  <si>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</si>
  <si>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</si>
  <si>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</si>
  <si>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</si>
  <si>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</si>
  <si>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</si>
  <si>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</si>
  <si>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</si>
  <si>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</si>
  <si>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</si>
  <si>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</si>
  <si>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</si>
  <si>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</si>
  <si>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</si>
  <si>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</si>
  <si>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</si>
  <si>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</si>
  <si>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</si>
  <si>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</si>
  <si>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</si>
  <si>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</si>
  <si>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</si>
  <si>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</si>
  <si>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</si>
  <si>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</si>
  <si>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</si>
  <si>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</si>
  <si>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</si>
  <si>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</si>
  <si>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</si>
  <si>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</si>
  <si>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</si>
  <si>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</si>
  <si>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</si>
  <si>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</si>
  <si>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</si>
  <si>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</si>
  <si>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</si>
  <si>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</si>
  <si>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</si>
  <si>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</si>
  <si>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</si>
  <si>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</si>
  <si>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</si>
  <si>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</si>
  <si>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</si>
  <si>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</si>
  <si>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</si>
  <si>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</si>
  <si>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</si>
  <si>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</si>
  <si>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</si>
  <si>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</si>
  <si>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</si>
  <si>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</si>
  <si>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</si>
  <si>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</si>
  <si>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</si>
  <si>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</si>
  <si>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</si>
  <si>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</si>
  <si>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</si>
  <si>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</si>
  <si>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</si>
  <si>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</si>
  <si>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</si>
  <si>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</si>
  <si>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</si>
  <si>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</si>
  <si>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</si>
  <si>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</si>
  <si>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</si>
  <si>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</si>
  <si>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</si>
  <si>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</si>
  <si>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</si>
  <si>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</si>
  <si>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</si>
  <si>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</si>
  <si>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</si>
  <si>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</si>
  <si>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</si>
  <si>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</si>
  <si>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</si>
  <si>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</si>
  <si>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</si>
  <si>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</si>
  <si>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</si>
  <si>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</si>
  <si>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</si>
  <si>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</si>
  <si>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</si>
  <si>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</si>
  <si>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</si>
  <si>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</si>
  <si>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</si>
  <si>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</si>
  <si>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</si>
  <si>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</si>
  <si>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</si>
  <si>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</si>
  <si>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</si>
  <si>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</si>
  <si>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</si>
  <si>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</si>
  <si>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</si>
  <si>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</si>
  <si>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</si>
  <si>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</si>
  <si>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</si>
  <si>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</si>
  <si>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</si>
  <si>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</si>
  <si>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</si>
  <si>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</si>
  <si>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</si>
  <si>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</si>
  <si>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</si>
  <si>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</si>
  <si>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</si>
  <si>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</si>
  <si>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</si>
  <si>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</si>
  <si>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</si>
  <si>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</si>
  <si>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</si>
  <si>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</si>
  <si>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</si>
  <si>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</si>
  <si>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</si>
  <si>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</si>
  <si>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</si>
  <si>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</si>
  <si>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</si>
  <si>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</si>
  <si>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</si>
  <si>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</si>
  <si>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</si>
  <si>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</si>
  <si>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</si>
  <si>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</si>
  <si>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</si>
  <si>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</si>
  <si>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</si>
  <si>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</si>
  <si>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</si>
  <si>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</si>
  <si>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</si>
  <si>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</si>
  <si>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</si>
  <si>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</si>
  <si>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</si>
  <si>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</si>
  <si>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</si>
  <si>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</si>
  <si>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</si>
  <si>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</si>
  <si>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</si>
  <si>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</si>
  <si>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</si>
  <si>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</si>
  <si>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</si>
  <si>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</si>
  <si>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</si>
  <si>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</si>
  <si>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</si>
  <si>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</si>
  <si>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</si>
  <si>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</si>
  <si>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</si>
  <si>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</si>
  <si>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</si>
  <si>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</si>
  <si>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</si>
  <si>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</si>
  <si>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</si>
  <si>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</si>
  <si>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</si>
  <si>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</si>
  <si>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</si>
  <si>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</si>
  <si>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</si>
  <si>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</si>
  <si>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</si>
  <si>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</si>
  <si>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</si>
  <si>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</si>
  <si>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</si>
  <si>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</si>
  <si>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</si>
  <si>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</si>
  <si>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</si>
  <si>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</si>
  <si>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</si>
  <si>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</si>
  <si>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</si>
  <si>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</si>
  <si>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</si>
  <si>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</si>
  <si>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</si>
  <si>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</si>
  <si>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</si>
  <si>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</si>
  <si>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</si>
  <si>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</si>
  <si>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</si>
  <si>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</si>
  <si>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</si>
  <si>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</si>
  <si>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</si>
  <si>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</si>
  <si>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</si>
  <si>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</si>
  <si>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</si>
  <si>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</si>
  <si>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</si>
  <si>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</si>
  <si>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</si>
  <si>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</si>
  <si>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</si>
  <si>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</si>
  <si>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</si>
  <si>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</si>
  <si>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</si>
  <si>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</si>
  <si>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</si>
  <si>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</si>
  <si>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</si>
  <si>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</si>
  <si>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</si>
  <si>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</si>
  <si>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</si>
  <si>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</si>
  <si>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</si>
  <si>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</si>
  <si>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</si>
  <si>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</si>
  <si>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</si>
  <si>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</si>
  <si>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</si>
  <si>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</si>
  <si>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</si>
  <si>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</si>
  <si>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</si>
  <si>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</si>
  <si>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</si>
  <si>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</si>
  <si>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</si>
  <si>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</si>
  <si>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</si>
  <si>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</si>
  <si>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</si>
  <si>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</si>
  <si>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</si>
  <si>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</si>
  <si>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</si>
  <si>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</si>
  <si>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</si>
  <si>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</si>
  <si>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</si>
  <si>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</si>
  <si>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</si>
  <si>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</si>
  <si>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</si>
  <si>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</si>
  <si>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</si>
  <si>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</si>
  <si>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</si>
  <si>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</si>
  <si>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</si>
  <si>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</si>
  <si>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</si>
  <si>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</si>
  <si>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</si>
  <si>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</si>
  <si>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</si>
  <si>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</si>
  <si>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</si>
  <si>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</si>
  <si>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</si>
  <si>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</si>
  <si>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</si>
  <si>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</si>
  <si>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</si>
  <si>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</si>
  <si>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</si>
  <si>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</si>
  <si>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</si>
  <si>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</si>
  <si>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</si>
  <si>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</si>
  <si>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</si>
  <si>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</si>
  <si>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</si>
  <si>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</si>
  <si>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</si>
  <si>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</si>
  <si>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</si>
  <si>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</si>
  <si>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</si>
  <si>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</si>
  <si>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</si>
  <si>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</si>
  <si>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</si>
  <si>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</si>
  <si>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</si>
  <si>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</si>
  <si>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</si>
  <si>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</si>
  <si>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</si>
  <si>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</si>
  <si>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</si>
  <si>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</si>
  <si>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</si>
  <si>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</si>
  <si>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</si>
  <si>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</si>
  <si>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</si>
  <si>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</si>
  <si>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</si>
  <si>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</si>
  <si>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</si>
  <si>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</si>
  <si>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</si>
  <si>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</si>
  <si>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</si>
  <si>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</si>
  <si>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</si>
  <si>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</si>
  <si>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</si>
  <si>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</si>
  <si>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</si>
  <si>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</si>
  <si>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</si>
  <si>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</si>
  <si>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</si>
  <si>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</si>
  <si>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</si>
  <si>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</si>
  <si>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</si>
  <si>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</si>
  <si>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</si>
  <si>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</si>
  <si>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</si>
  <si>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</si>
  <si>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</si>
  <si>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</si>
  <si>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</si>
  <si>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</si>
  <si>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</si>
  <si>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</si>
  <si>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</si>
  <si>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</si>
  <si>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</si>
  <si>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</si>
  <si>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</si>
  <si>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</si>
  <si>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</si>
  <si>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</si>
  <si>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</si>
  <si>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</si>
  <si>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</si>
  <si>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</si>
  <si>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</si>
  <si>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</si>
  <si>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</si>
  <si>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</si>
  <si>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</si>
  <si>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</si>
  <si>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</si>
  <si>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</si>
  <si>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</si>
  <si>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</si>
  <si>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</si>
  <si>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</si>
  <si>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</si>
  <si>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</si>
  <si>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</si>
  <si>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</si>
  <si>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</si>
  <si>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</si>
  <si>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</si>
  <si>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</si>
  <si>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</si>
  <si>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</si>
  <si>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</si>
  <si>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</si>
  <si>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</si>
  <si>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</si>
  <si>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</si>
  <si>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</si>
  <si>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</si>
  <si>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</si>
  <si>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</si>
  <si>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</si>
  <si>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</si>
  <si>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</si>
  <si>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</si>
  <si>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</si>
  <si>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</si>
  <si>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</si>
  <si>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</si>
  <si>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</si>
  <si>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</si>
  <si>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</si>
  <si>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</si>
  <si>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</si>
  <si>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</si>
  <si>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</si>
  <si>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</si>
  <si>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</si>
  <si>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</si>
  <si>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</si>
  <si>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</si>
  <si>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</si>
  <si>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</si>
  <si>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</si>
  <si>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</si>
  <si>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</si>
  <si>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</si>
  <si>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</si>
  <si>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</si>
  <si>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</si>
  <si>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</si>
  <si>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</si>
  <si>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</si>
  <si>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</si>
  <si>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</si>
  <si>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</si>
  <si>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</si>
  <si>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</si>
  <si>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</si>
  <si>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</si>
  <si>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</si>
  <si>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</si>
  <si>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</si>
  <si>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</si>
  <si>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</si>
  <si>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</si>
  <si>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</si>
  <si>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</si>
  <si>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</si>
  <si>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</si>
  <si>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</si>
  <si>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</si>
  <si>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</si>
  <si>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</si>
  <si>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</si>
  <si>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</si>
  <si>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</si>
  <si>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</si>
  <si>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</si>
  <si>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</si>
  <si>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</si>
  <si>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</si>
  <si>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</si>
  <si>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</si>
  <si>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</si>
  <si>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</si>
  <si>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</si>
  <si>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</si>
  <si>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</si>
  <si>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</si>
  <si>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</si>
  <si>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</si>
  <si>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</si>
  <si>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</si>
  <si>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</si>
  <si>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</si>
  <si>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</si>
  <si>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</si>
  <si>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</si>
  <si>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</si>
  <si>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</si>
  <si>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</si>
  <si>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</si>
  <si>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</si>
  <si>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</si>
  <si>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</si>
  <si>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</si>
  <si>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</si>
  <si>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</si>
  <si>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</si>
  <si>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</si>
  <si>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</si>
  <si>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</si>
  <si>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</si>
  <si>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</si>
  <si>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</si>
  <si>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</si>
  <si>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</si>
  <si>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</si>
  <si>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</si>
  <si>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</si>
  <si>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</si>
  <si>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</si>
  <si>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</si>
  <si>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</si>
  <si>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</si>
  <si>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</si>
  <si>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</si>
  <si>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</si>
  <si>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</si>
  <si>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</si>
  <si>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</si>
  <si>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</si>
  <si>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</si>
  <si>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</si>
  <si>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</si>
  <si>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</si>
  <si>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</si>
  <si>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</si>
  <si>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</si>
  <si>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</si>
  <si>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</si>
  <si>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</si>
  <si>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</si>
  <si>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</si>
  <si>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</si>
  <si>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</si>
  <si>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</si>
  <si>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</si>
  <si>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</si>
  <si>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</si>
  <si>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</si>
  <si>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</si>
  <si>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</si>
  <si>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</si>
  <si>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</si>
  <si>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</si>
  <si>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</si>
  <si>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</si>
  <si>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</si>
  <si>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</si>
  <si>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</si>
  <si>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</si>
  <si>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</si>
  <si>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</si>
  <si>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</si>
  <si>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</si>
  <si>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</si>
  <si>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</si>
  <si>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</si>
  <si>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</si>
  <si>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</si>
  <si>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</si>
  <si>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</si>
  <si>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</si>
  <si>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</si>
  <si>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</si>
  <si>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</si>
  <si>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</si>
  <si>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</si>
  <si>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</si>
  <si>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</si>
  <si>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</si>
  <si>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</si>
  <si>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</si>
  <si>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</si>
  <si>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</si>
  <si>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</si>
  <si>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</si>
  <si>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</si>
  <si>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</si>
  <si>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</si>
  <si>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</si>
  <si>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</si>
  <si>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</si>
  <si>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</si>
  <si>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</si>
  <si>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</si>
  <si>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</si>
  <si>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</si>
  <si>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</si>
  <si>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</si>
  <si>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</si>
  <si>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</si>
  <si>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</si>
  <si>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</si>
  <si>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</si>
  <si>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</si>
  <si>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</si>
  <si>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</si>
  <si>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</si>
  <si>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</si>
  <si>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</si>
  <si>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</si>
  <si>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</si>
  <si>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</si>
  <si>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</si>
  <si>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</si>
  <si>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</si>
  <si>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</si>
  <si>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</si>
  <si>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</si>
  <si>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</si>
  <si>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</si>
  <si>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</si>
  <si>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</si>
  <si>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</si>
  <si>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</si>
  <si>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</si>
  <si>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</si>
  <si>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</si>
  <si>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</si>
  <si>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</si>
  <si>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</si>
  <si>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</si>
  <si>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</si>
  <si>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</si>
  <si>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</si>
  <si>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</si>
  <si>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</si>
  <si>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</si>
  <si>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</si>
  <si>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</si>
  <si>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</si>
  <si>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</si>
  <si>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</si>
  <si>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</si>
  <si>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</si>
  <si>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</si>
  <si>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</si>
  <si>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</si>
  <si>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</si>
  <si>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</si>
  <si>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</si>
  <si>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</si>
  <si>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</si>
  <si>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</si>
  <si>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</si>
  <si>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</si>
  <si>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</si>
  <si>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</si>
  <si>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</si>
  <si>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</si>
  <si>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</si>
  <si>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</si>
  <si>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</si>
  <si>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</si>
  <si>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</si>
  <si>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</si>
  <si>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</si>
  <si>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</si>
  <si>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</si>
  <si>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</si>
  <si>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</si>
  <si>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</si>
  <si>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</si>
  <si>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</si>
  <si>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</si>
  <si>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</si>
  <si>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</si>
  <si>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</si>
  <si>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</si>
  <si>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</si>
  <si>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</si>
  <si>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</si>
  <si>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</si>
  <si>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</si>
  <si>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</si>
  <si>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</si>
  <si>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</si>
  <si>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</si>
  <si>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</si>
  <si>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</si>
  <si>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</si>
  <si>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</si>
  <si>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</si>
  <si>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</si>
  <si>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</si>
  <si>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</si>
  <si>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</si>
  <si>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</si>
  <si>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</si>
  <si>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</si>
  <si>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</si>
  <si>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</si>
  <si>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</si>
  <si>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</si>
  <si>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</si>
  <si>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</si>
  <si>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</si>
  <si>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</si>
  <si>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</si>
  <si>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</si>
  <si>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</si>
  <si>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</si>
  <si>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</si>
  <si>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</si>
  <si>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</si>
  <si>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</si>
  <si>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</si>
  <si>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</si>
  <si>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</si>
  <si>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</si>
  <si>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</si>
  <si>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</si>
  <si>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</si>
  <si>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</si>
  <si>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</si>
  <si>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</si>
  <si>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</si>
  <si>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</si>
  <si>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</si>
  <si>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</si>
  <si>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</si>
  <si>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</si>
  <si>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</si>
  <si>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</si>
  <si>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</si>
  <si>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</si>
  <si>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</si>
  <si>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</si>
  <si>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</si>
  <si>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</si>
  <si>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</si>
  <si>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</si>
  <si>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</si>
  <si>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</si>
  <si>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</si>
  <si>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</si>
  <si>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</si>
  <si>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</si>
  <si>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</si>
  <si>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</si>
  <si>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</si>
  <si>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</si>
  <si>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</si>
  <si>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</si>
  <si>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</si>
  <si>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</si>
  <si>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</si>
  <si>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</si>
  <si>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</si>
  <si>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</si>
  <si>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</si>
  <si>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</si>
  <si>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</si>
  <si>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</si>
  <si>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</si>
  <si>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</si>
  <si>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</si>
  <si>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</si>
  <si>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</si>
  <si>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</si>
  <si>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</si>
  <si>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</si>
  <si>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</si>
  <si>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</si>
  <si>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</si>
  <si>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</si>
  <si>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</si>
  <si>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</si>
  <si>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</si>
  <si>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</si>
  <si>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</si>
  <si>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</si>
  <si>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</si>
  <si>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</si>
  <si>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</si>
  <si>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</si>
  <si>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</si>
  <si>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</si>
  <si>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</si>
  <si>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</si>
  <si>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</si>
  <si>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</si>
  <si>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</si>
  <si>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</si>
  <si>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</si>
  <si>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</si>
  <si>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</si>
  <si>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</si>
  <si>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</si>
  <si>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</si>
  <si>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</si>
  <si>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</si>
  <si>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</si>
  <si>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</si>
  <si>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</si>
  <si>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</si>
  <si>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</si>
  <si>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</si>
  <si>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</si>
  <si>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</si>
  <si>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</si>
  <si>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</si>
  <si>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</si>
  <si>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</si>
  <si>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</si>
  <si>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</si>
  <si>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</si>
  <si>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</si>
  <si>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</si>
  <si>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</si>
  <si>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</si>
  <si>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</si>
  <si>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</si>
  <si>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</si>
  <si>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</si>
  <si>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</si>
  <si>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</si>
  <si>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</si>
  <si>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</si>
  <si>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</si>
  <si>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</si>
  <si>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</si>
  <si>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</si>
  <si>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</si>
  <si>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</si>
  <si>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</si>
  <si>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</si>
  <si>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</si>
  <si>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</si>
  <si>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</si>
  <si>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</si>
  <si>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</si>
  <si>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</si>
  <si>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</si>
  <si>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</si>
  <si>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</si>
  <si>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</si>
  <si>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</si>
  <si>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</si>
  <si>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</si>
  <si>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</si>
  <si>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</si>
  <si>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</si>
  <si>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</si>
  <si>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</si>
  <si>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</si>
  <si>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</si>
  <si>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</si>
  <si>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</si>
  <si>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</si>
  <si>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</si>
  <si>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</si>
  <si>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</si>
  <si>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</si>
  <si>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</si>
  <si>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</si>
  <si>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</si>
  <si>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</si>
  <si>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</si>
  <si>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</si>
  <si>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</si>
  <si>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</si>
  <si>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</si>
  <si>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</si>
  <si>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</si>
  <si>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</si>
  <si>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</si>
  <si>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</si>
  <si>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</si>
  <si>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</si>
  <si>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</si>
  <si>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</si>
  <si>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</si>
  <si>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</si>
  <si>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</si>
  <si>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</si>
  <si>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</si>
  <si>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</si>
  <si>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</si>
  <si>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</si>
  <si>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</si>
  <si>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</si>
  <si>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</si>
  <si>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</si>
  <si>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</si>
  <si>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</si>
  <si>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</si>
  <si>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</si>
  <si>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</si>
  <si>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</si>
  <si>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</si>
  <si>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</si>
  <si>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</si>
  <si>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</si>
  <si>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</si>
  <si>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</si>
  <si>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</si>
  <si>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</si>
  <si>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</si>
  <si>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</si>
  <si>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</si>
  <si>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</si>
  <si>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</si>
  <si>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</si>
  <si>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</si>
  <si>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</si>
  <si>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</si>
  <si>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</si>
  <si>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</si>
  <si>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</si>
  <si>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</si>
  <si>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</si>
  <si>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</si>
  <si>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</si>
  <si>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</si>
  <si>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</si>
  <si>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</si>
  <si>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</si>
  <si>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</si>
  <si>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</si>
  <si>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</si>
  <si>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</si>
  <si>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</si>
  <si>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</si>
  <si>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</si>
  <si>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</si>
  <si>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</si>
  <si>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</si>
  <si>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</si>
  <si>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</si>
  <si>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</si>
  <si>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</si>
  <si>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</si>
  <si>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</si>
  <si>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</si>
  <si>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</si>
  <si>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</si>
  <si>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</si>
  <si>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</si>
  <si>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</si>
  <si>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</si>
  <si>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</si>
  <si>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</si>
  <si>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</si>
  <si>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</si>
  <si>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</si>
  <si>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</si>
  <si>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</si>
  <si>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</si>
  <si>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</si>
  <si>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</si>
  <si>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</si>
  <si>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</si>
  <si>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</si>
  <si>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</si>
  <si>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</si>
  <si>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</si>
  <si>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</si>
  <si>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</si>
  <si>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</si>
  <si>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</si>
  <si>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</si>
  <si>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</si>
  <si>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</si>
  <si>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</si>
  <si>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</si>
  <si>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</si>
  <si>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</si>
  <si>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</si>
  <si>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</si>
  <si>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</si>
  <si>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</si>
  <si>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</si>
  <si>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</si>
  <si>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</si>
  <si>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</si>
  <si>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</si>
  <si>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</si>
  <si>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</si>
  <si>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</si>
  <si>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</si>
  <si>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</si>
  <si>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</si>
  <si>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</si>
  <si>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</si>
  <si>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</si>
  <si>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</si>
  <si>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</si>
  <si>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</si>
  <si>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</si>
  <si>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</si>
  <si>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</si>
  <si>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</si>
  <si>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</si>
  <si>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</si>
  <si>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</si>
  <si>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</si>
  <si>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</si>
  <si>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</si>
  <si>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</si>
  <si>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</si>
  <si>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</si>
  <si>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</si>
  <si>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</si>
  <si>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</si>
  <si>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</si>
  <si>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</si>
  <si>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</si>
  <si>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</si>
  <si>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</si>
  <si>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</si>
  <si>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</si>
  <si>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</si>
  <si>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</si>
  <si>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</si>
  <si>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</si>
  <si>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</si>
  <si>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</si>
  <si>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</si>
  <si>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</si>
  <si>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</si>
  <si>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</si>
  <si>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</si>
  <si>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</si>
  <si>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</si>
  <si>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</si>
  <si>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</si>
  <si>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</si>
  <si>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</si>
  <si>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</si>
  <si>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</si>
  <si>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</si>
  <si>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</si>
  <si>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</si>
  <si>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</si>
  <si>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</si>
  <si>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</si>
  <si>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</si>
  <si>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</si>
  <si>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</si>
  <si>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</si>
  <si>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</si>
  <si>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</si>
  <si>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</si>
  <si>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</si>
  <si>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</si>
  <si>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</si>
  <si>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</si>
  <si>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</si>
  <si>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</si>
  <si>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</si>
  <si>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</si>
  <si>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</si>
  <si>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</si>
  <si>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</si>
  <si>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</si>
  <si>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</si>
  <si>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</si>
  <si>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</si>
  <si>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</si>
  <si>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</si>
  <si>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</si>
  <si>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</si>
  <si>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</si>
  <si>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</si>
  <si>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</si>
  <si>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</si>
  <si>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</si>
  <si>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</si>
  <si>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</si>
  <si>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</si>
  <si>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</si>
  <si>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</si>
  <si>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</si>
  <si>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</si>
  <si>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</si>
  <si>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</si>
  <si>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</si>
  <si>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</si>
  <si>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</si>
  <si>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</si>
  <si>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</si>
  <si>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</si>
  <si>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</si>
  <si>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</si>
  <si>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</si>
  <si>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</si>
  <si>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</si>
  <si>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</si>
  <si>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</si>
  <si>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</si>
  <si>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</si>
  <si>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</si>
  <si>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</si>
  <si>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</si>
  <si>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</si>
  <si>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</si>
  <si>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</si>
  <si>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</si>
  <si>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</si>
  <si>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</si>
  <si>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</si>
  <si>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</si>
  <si>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</si>
  <si>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</si>
  <si>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</si>
  <si>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</si>
  <si>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</si>
  <si>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</si>
  <si>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</si>
  <si>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</si>
  <si>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</si>
  <si>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</si>
  <si>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</si>
  <si>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</si>
  <si>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</si>
  <si>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</si>
  <si>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</si>
  <si>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</si>
  <si>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</si>
  <si>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</si>
  <si>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</si>
  <si>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</si>
  <si>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</si>
  <si>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</si>
  <si>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</si>
  <si>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</si>
  <si>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</si>
  <si>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</si>
  <si>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</si>
  <si>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</si>
  <si>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</si>
  <si>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</si>
  <si>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</si>
  <si>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</si>
  <si>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</si>
  <si>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</si>
  <si>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</si>
  <si>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</si>
  <si>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</si>
  <si>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</si>
  <si>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</si>
  <si>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</si>
  <si>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</si>
  <si>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</si>
  <si>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</si>
  <si>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</si>
  <si>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</si>
  <si>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</si>
  <si>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</si>
  <si>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</si>
  <si>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</si>
  <si>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</si>
  <si>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</si>
  <si>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</si>
  <si>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</si>
  <si>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</si>
  <si>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</si>
  <si>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</si>
  <si>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</si>
  <si>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</si>
  <si>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</si>
  <si>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</si>
  <si>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</si>
  <si>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</si>
  <si>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</si>
  <si>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</si>
  <si>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</si>
  <si>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</si>
  <si>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</si>
  <si>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</si>
  <si>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</si>
  <si>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</si>
  <si>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</si>
  <si>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</si>
  <si>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</si>
  <si>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</si>
  <si>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</si>
  <si>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</si>
  <si>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</si>
  <si>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</si>
  <si>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</si>
  <si>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</si>
  <si>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</si>
  <si>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</si>
  <si>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</si>
  <si>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</si>
  <si>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</si>
  <si>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</si>
  <si>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</si>
  <si>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</si>
  <si>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</si>
  <si>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</si>
  <si>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</si>
  <si>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</si>
  <si>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</si>
  <si>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</si>
  <si>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</si>
  <si>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</si>
  <si>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</si>
  <si>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</si>
  <si>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</si>
  <si>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</si>
  <si>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</si>
  <si>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</si>
  <si>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</si>
  <si>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</si>
  <si>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</si>
  <si>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</si>
  <si>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</si>
  <si>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</si>
  <si>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</si>
  <si>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</si>
  <si>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</si>
  <si>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</si>
  <si>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</si>
  <si>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</si>
  <si>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</si>
  <si>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</si>
  <si>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</si>
  <si>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</si>
  <si>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</si>
  <si>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</si>
  <si>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</si>
  <si>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</si>
  <si>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</si>
  <si>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</si>
  <si>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</si>
  <si>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</si>
  <si>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</si>
  <si>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</si>
  <si>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</si>
  <si>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</si>
  <si>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</si>
  <si>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</si>
  <si>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</si>
  <si>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</si>
  <si>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</si>
  <si>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</si>
  <si>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</si>
  <si>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</si>
  <si>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</si>
  <si>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</si>
  <si>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</si>
  <si>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</si>
  <si>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</si>
  <si>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</si>
  <si>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</si>
  <si>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</si>
  <si>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</si>
  <si>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</si>
  <si>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</si>
  <si>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</si>
  <si>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</si>
  <si>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</si>
  <si>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</si>
  <si>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</si>
  <si>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</si>
  <si>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</si>
  <si>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</si>
  <si>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</si>
  <si>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</si>
  <si>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</si>
  <si>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</si>
  <si>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</si>
  <si>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</si>
  <si>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</si>
  <si>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</si>
  <si>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</si>
  <si>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</si>
  <si>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</si>
  <si>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</si>
  <si>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</si>
  <si>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</si>
  <si>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</si>
  <si>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</si>
  <si>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</si>
  <si>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</si>
  <si>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</si>
  <si>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</si>
  <si>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</si>
  <si>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</si>
  <si>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</si>
  <si>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</si>
  <si>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</si>
  <si>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</si>
  <si>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</si>
  <si>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</si>
  <si>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</si>
  <si>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</si>
  <si>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</si>
  <si>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</si>
  <si>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</si>
  <si>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</si>
  <si>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</si>
  <si>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</si>
  <si>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</si>
  <si>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</si>
  <si>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</si>
  <si>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</si>
  <si>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</si>
  <si>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</si>
  <si>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</si>
  <si>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</si>
  <si>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</si>
  <si>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</si>
  <si>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</si>
  <si>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</si>
  <si>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</si>
  <si>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</si>
  <si>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</si>
  <si>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</si>
  <si>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</si>
  <si>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</si>
  <si>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</si>
  <si>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</si>
  <si>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</si>
  <si>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</si>
  <si>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</si>
  <si>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</si>
  <si>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</si>
  <si>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</si>
  <si>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</si>
  <si>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</si>
  <si>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</si>
  <si>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</si>
  <si>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</si>
  <si>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</si>
  <si>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</si>
  <si>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</si>
  <si>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</si>
  <si>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</si>
  <si>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</si>
  <si>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</si>
  <si>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</si>
  <si>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</si>
  <si>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</si>
  <si>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</si>
  <si>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</si>
  <si>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</si>
  <si>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</si>
  <si>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</si>
  <si>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</si>
  <si>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</si>
  <si>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</si>
  <si>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</si>
  <si>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</si>
  <si>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</si>
  <si>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</si>
  <si>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</si>
  <si>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</si>
  <si>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</si>
  <si>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</si>
  <si>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</si>
  <si>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</si>
  <si>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</si>
  <si>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</si>
  <si>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</si>
  <si>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</si>
  <si>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</si>
  <si>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</si>
  <si>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</si>
  <si>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</si>
  <si>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</si>
  <si>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</si>
  <si>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</si>
  <si>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</si>
  <si>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</si>
  <si>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</si>
  <si>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</si>
  <si>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</si>
  <si>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</si>
  <si>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</si>
  <si>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</si>
  <si>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</si>
  <si>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</si>
  <si>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</si>
  <si>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</si>
  <si>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</si>
  <si>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</si>
  <si>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</si>
  <si>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</si>
  <si>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</si>
  <si>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</si>
  <si>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</si>
  <si>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</si>
  <si>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</si>
  <si>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</si>
  <si>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</si>
  <si>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</si>
  <si>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</si>
  <si>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</si>
  <si>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</si>
  <si>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</si>
  <si>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</si>
  <si>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</si>
  <si>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</si>
  <si>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</si>
  <si>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</si>
  <si>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</si>
  <si>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</si>
  <si>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</si>
  <si>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</si>
  <si>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</si>
  <si>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</si>
  <si>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</si>
  <si>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</si>
  <si>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</si>
  <si>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</si>
  <si>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</si>
  <si>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</si>
  <si>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</si>
  <si>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</si>
  <si>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</si>
  <si>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</si>
  <si>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</si>
  <si>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</si>
  <si>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</si>
  <si>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</si>
  <si>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</si>
  <si>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</si>
  <si>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</si>
  <si>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</si>
  <si>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</si>
  <si>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</si>
  <si>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</si>
  <si>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</si>
  <si>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</si>
  <si>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</si>
  <si>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</si>
  <si>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</si>
  <si>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</si>
  <si>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</si>
  <si>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</si>
  <si>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</si>
  <si>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</si>
  <si>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</si>
  <si>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</si>
  <si>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</si>
  <si>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</si>
  <si>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</si>
  <si>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</si>
  <si>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</si>
  <si>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</si>
  <si>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</si>
  <si>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</si>
  <si>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</si>
  <si>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</si>
  <si>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</si>
  <si>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</si>
  <si>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</si>
  <si>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</si>
  <si>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</si>
  <si>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</si>
  <si>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</si>
  <si>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</si>
  <si>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</si>
  <si>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</si>
  <si>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</si>
  <si>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</si>
  <si>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</si>
  <si>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</si>
  <si>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</si>
  <si>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</si>
  <si>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</si>
  <si>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</si>
  <si>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</si>
  <si>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</si>
  <si>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</si>
  <si>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</si>
  <si>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</si>
  <si>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</si>
  <si>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</si>
  <si>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</si>
  <si>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</si>
  <si>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</si>
  <si>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</si>
  <si>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</si>
  <si>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</si>
  <si>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</si>
  <si>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</si>
  <si>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</si>
  <si>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15, 2026 Version</t>
  </si>
  <si>
    <t xml:space="preserve">West Development Ventures, LLC </t>
  </si>
  <si>
    <t>Town of Mammoth Lakes</t>
  </si>
  <si>
    <t>Mark Wardlaw</t>
  </si>
  <si>
    <t>PO Box 1609</t>
  </si>
  <si>
    <t xml:space="preserve">Mammoth Lakes </t>
  </si>
  <si>
    <t>760-934-8989</t>
  </si>
  <si>
    <t>760-934-8608</t>
  </si>
  <si>
    <t xml:space="preserve">Mammoth Lakes Family Apartments </t>
  </si>
  <si>
    <t>1700 Old Mammoth Road; 44 Manzanita Road; 312 Lupin Street; 129 Dorrance Drive</t>
  </si>
  <si>
    <t>Mammoth Lakes</t>
  </si>
  <si>
    <t xml:space="preserve">93546 / 93541 </t>
  </si>
  <si>
    <t>040-040-038; 033-124-007; 033-150-065</t>
  </si>
  <si>
    <t>40%/60%</t>
  </si>
  <si>
    <t>520 Capitol Mall, Suite 150</t>
  </si>
  <si>
    <t xml:space="preserve">Sacramento </t>
  </si>
  <si>
    <t xml:space="preserve">CA </t>
  </si>
  <si>
    <t xml:space="preserve">Mike Kelley </t>
  </si>
  <si>
    <t>916-834-5986</t>
  </si>
  <si>
    <t>mikek@westdv.com</t>
  </si>
  <si>
    <t xml:space="preserve">Kelley Ventures, LLC </t>
  </si>
  <si>
    <t>Administrative GP</t>
  </si>
  <si>
    <t xml:space="preserve">520 Capitol Mall, Suite 150 </t>
  </si>
  <si>
    <t>CA</t>
  </si>
  <si>
    <t>LIHTC Advisors, LLC / Mike Kelley</t>
  </si>
  <si>
    <t>Central Valley Coalition for Affordable Housing</t>
  </si>
  <si>
    <t>Managing GP</t>
  </si>
  <si>
    <t xml:space="preserve">3351 M Street, Suite 150 </t>
  </si>
  <si>
    <t xml:space="preserve">Merced </t>
  </si>
  <si>
    <t>Christina Alley</t>
  </si>
  <si>
    <t>209-388-0782</t>
  </si>
  <si>
    <t>chris@centralvalleycoalition.com</t>
  </si>
  <si>
    <t xml:space="preserve">Sabelhaus &amp; Strain PC </t>
  </si>
  <si>
    <t>1724 10th Street, Suite 110</t>
  </si>
  <si>
    <t xml:space="preserve">Stephen Strain </t>
  </si>
  <si>
    <t>916-444-0286</t>
  </si>
  <si>
    <t>sstrain@sabelhauslaw.com</t>
  </si>
  <si>
    <t xml:space="preserve">Attorney / Consultant </t>
  </si>
  <si>
    <t>Sacramento, CA 95814</t>
  </si>
  <si>
    <t xml:space="preserve">DG Group Architecture </t>
  </si>
  <si>
    <t>430 E. State Street, Suite 100</t>
  </si>
  <si>
    <t>Eagle, ID 83616</t>
  </si>
  <si>
    <t>Douglas L. Gibson</t>
  </si>
  <si>
    <t>Sacramento, CA 95811</t>
  </si>
  <si>
    <t xml:space="preserve">Bernard E. Rea, CPA </t>
  </si>
  <si>
    <t>P.O. Box 492</t>
  </si>
  <si>
    <t xml:space="preserve">Aubrey, TX 76227 </t>
  </si>
  <si>
    <t>Bernie Rea</t>
  </si>
  <si>
    <t xml:space="preserve">Boston Financial </t>
  </si>
  <si>
    <t xml:space="preserve">336 Franklin Street </t>
  </si>
  <si>
    <t>Boston, MA 02110</t>
  </si>
  <si>
    <t xml:space="preserve">Laura Surdel </t>
  </si>
  <si>
    <t>774-567-5693</t>
  </si>
  <si>
    <t xml:space="preserve">Raney Planning &amp; Management, Inc. </t>
  </si>
  <si>
    <t xml:space="preserve">Buckingham Property Management </t>
  </si>
  <si>
    <t>PO Box 5477</t>
  </si>
  <si>
    <t>Fresno, CA 93755</t>
  </si>
  <si>
    <t xml:space="preserve">Rosemary Lynch </t>
  </si>
  <si>
    <t xml:space="preserve">California Munifical Finance Authority </t>
  </si>
  <si>
    <t>2111 Palomar Airport Road, Suite 320</t>
  </si>
  <si>
    <t>Carlsbad, CA 92011</t>
  </si>
  <si>
    <t xml:space="preserve">Anthony Stubbs </t>
  </si>
  <si>
    <t>1501 Sports Drive, Suite A</t>
  </si>
  <si>
    <t>Sacramento, CA 95834</t>
  </si>
  <si>
    <t xml:space="preserve">Stefanie Williams </t>
  </si>
  <si>
    <t>208-908-4871</t>
  </si>
  <si>
    <t>209-933-9113</t>
  </si>
  <si>
    <t>breacpa@aol.com</t>
  </si>
  <si>
    <t>916-372-6100</t>
  </si>
  <si>
    <t>swilliams@laurinassociates.com</t>
  </si>
  <si>
    <t>760-930-1333</t>
  </si>
  <si>
    <t>760-683-3390</t>
  </si>
  <si>
    <t>559-801-0716</t>
  </si>
  <si>
    <t>559-452-8249</t>
  </si>
  <si>
    <t>rlynch@buckinghampm.com</t>
  </si>
  <si>
    <t>Third party debt encumbering the seller's property</t>
  </si>
  <si>
    <t>17 &amp; 19 y/o</t>
  </si>
  <si>
    <t xml:space="preserve">Affordable multi-family residential buildings </t>
  </si>
  <si>
    <t>2007 &amp; 2008</t>
  </si>
  <si>
    <t>Mammoth Lakes Family Associates LP &amp; Mammoth Lakes Family Associates II, LP</t>
  </si>
  <si>
    <t>Caleb Roope</t>
  </si>
  <si>
    <t>Manager of AGP</t>
  </si>
  <si>
    <t>3351 M Street, Suite 100</t>
  </si>
  <si>
    <t xml:space="preserve">Christina Alley </t>
  </si>
  <si>
    <t>Manager of MGP</t>
  </si>
  <si>
    <t>Merced, CA 95348</t>
  </si>
  <si>
    <t>Secured by Fee Interest</t>
  </si>
  <si>
    <t>One or Two Story Garden</t>
  </si>
  <si>
    <t xml:space="preserve">Residental Multfamily 1 </t>
  </si>
  <si>
    <t xml:space="preserve">No </t>
  </si>
  <si>
    <t>35 feet</t>
  </si>
  <si>
    <t xml:space="preserve">Town of Mammoth Lakes </t>
  </si>
  <si>
    <t xml:space="preserve">Air Conditioning </t>
  </si>
  <si>
    <t xml:space="preserve">Office </t>
  </si>
  <si>
    <t xml:space="preserve">Taxes / Benefits </t>
  </si>
  <si>
    <t xml:space="preserve">Supplies,Snow Removal </t>
  </si>
  <si>
    <t>mwardlaw@ci.mammoth-lakes.ca.us</t>
  </si>
  <si>
    <t>Partner Engineering and Science, Inc.</t>
  </si>
  <si>
    <t>William Stockdale</t>
  </si>
  <si>
    <t>wstockdale@partneresri.com</t>
  </si>
  <si>
    <t>1512 Eureka Rd, Suites 205 and 207</t>
  </si>
  <si>
    <t>Roseville, CA 95661</t>
  </si>
  <si>
    <t>800-419-4923</t>
  </si>
  <si>
    <t>Non-targeted</t>
  </si>
  <si>
    <t>Citibank, N.A.</t>
  </si>
  <si>
    <t>Boston Financial</t>
  </si>
  <si>
    <t>West Development Ventures, LLC</t>
  </si>
  <si>
    <t>Stanislaus Regional Housing Authority - varies by site</t>
  </si>
  <si>
    <t>Housing Trust Fund</t>
  </si>
  <si>
    <t>Other: Insurance Impound/Initial Premium</t>
  </si>
  <si>
    <t>Other: Developer Legal</t>
  </si>
  <si>
    <t>Fixed</t>
  </si>
  <si>
    <t>325 E. Hillcrest Drive, Suite 160</t>
  </si>
  <si>
    <t>Thousand Oaks</t>
  </si>
  <si>
    <t>Mike Hemmens</t>
  </si>
  <si>
    <t>Tax-Exempt Construction Loan</t>
  </si>
  <si>
    <t>Mike Hemmes</t>
  </si>
  <si>
    <t>Taxable Construction Loan</t>
  </si>
  <si>
    <t>P.O. Box 1609</t>
  </si>
  <si>
    <t>Mammoth Lake</t>
  </si>
  <si>
    <t>Nolan Bobroff</t>
  </si>
  <si>
    <t>Assumed Subordinate Soft Debt</t>
  </si>
  <si>
    <t>Assumed Accrued Interest</t>
  </si>
  <si>
    <t>225 Franklin Street</t>
  </si>
  <si>
    <t>Boston, MA</t>
  </si>
  <si>
    <t>Laura Surdel</t>
  </si>
  <si>
    <t>Low Income Housing Tax Credit Equity</t>
  </si>
  <si>
    <t>525 Capitol Mall, Suite 150</t>
  </si>
  <si>
    <t>Mike Kelley</t>
  </si>
  <si>
    <t>Acquired Reserves</t>
  </si>
  <si>
    <t>Tax-Exempt Permanent Loan</t>
  </si>
  <si>
    <t>Assumed Subordiate Soft Loans</t>
  </si>
  <si>
    <t>Above residual receipts line for cash flow</t>
  </si>
  <si>
    <t>Below residual receipts line for cash flow</t>
  </si>
  <si>
    <t>Costs of Issuance</t>
  </si>
  <si>
    <t>Provided</t>
  </si>
  <si>
    <t>Not Applicable</t>
  </si>
  <si>
    <t>The Pacific Companies</t>
  </si>
  <si>
    <t>info@tpchousing.com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</si>
</sst>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ont>
    <font>
      <sz val="10"/>
      <color indexed="8"/>
      <name val="ARIAL"/>
      <charset val="1"/>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34954">
    <xf numFmtId="0" fontId="0" fillId="0" borderId="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2" borderId="0" applyNumberFormat="0" applyBorder="0" applyAlignment="0" applyProtection="0"/>
    <xf numFmtId="0" fontId="89" fillId="12" borderId="0" applyNumberFormat="0" applyBorder="0" applyAlignment="0" applyProtection="0"/>
    <xf numFmtId="0" fontId="89" fillId="12" borderId="0" applyNumberFormat="0" applyBorder="0" applyAlignment="0" applyProtection="0"/>
    <xf numFmtId="0" fontId="89" fillId="12" borderId="0" applyNumberFormat="0" applyBorder="0" applyAlignment="0" applyProtection="0"/>
    <xf numFmtId="0" fontId="89" fillId="12" borderId="0" applyNumberFormat="0" applyBorder="0" applyAlignment="0" applyProtection="0"/>
    <xf numFmtId="0" fontId="89" fillId="12" borderId="0" applyNumberFormat="0" applyBorder="0" applyAlignment="0" applyProtection="0"/>
    <xf numFmtId="0" fontId="89" fillId="12" borderId="0" applyNumberFormat="0" applyBorder="0" applyAlignment="0" applyProtection="0"/>
    <xf numFmtId="0" fontId="89" fillId="12"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4"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1" fillId="35" borderId="0" applyNumberFormat="0" applyBorder="0" applyAlignment="0" applyProtection="0"/>
    <xf numFmtId="0" fontId="91" fillId="35" borderId="0" applyNumberFormat="0" applyBorder="0" applyAlignment="0" applyProtection="0"/>
    <xf numFmtId="0" fontId="92" fillId="36" borderId="18" applyNumberFormat="0" applyAlignment="0" applyProtection="0"/>
    <xf numFmtId="0" fontId="92" fillId="36" borderId="18" applyNumberFormat="0" applyAlignment="0" applyProtection="0"/>
    <xf numFmtId="0" fontId="93" fillId="37" borderId="19" applyNumberFormat="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5" fillId="0" borderId="0" applyFont="0" applyFill="0" applyBorder="0" applyAlignment="0" applyProtection="0"/>
    <xf numFmtId="43" fontId="30" fillId="0" borderId="0" applyFont="0" applyFill="0" applyBorder="0" applyAlignment="0" applyProtection="0"/>
    <xf numFmtId="43" fontId="65" fillId="0" borderId="0" applyFont="0" applyFill="0" applyBorder="0" applyAlignment="0" applyProtection="0"/>
    <xf numFmtId="44" fontId="82"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65" fillId="0" borderId="0" applyFont="0" applyFill="0" applyBorder="0" applyAlignment="0" applyProtection="0"/>
    <xf numFmtId="44" fontId="82" fillId="0" borderId="0" applyFont="0" applyFill="0" applyBorder="0" applyAlignment="0" applyProtection="0"/>
    <xf numFmtId="44" fontId="30" fillId="0" borderId="0" applyFont="0" applyFill="0" applyBorder="0" applyAlignment="0" applyProtection="0"/>
    <xf numFmtId="44" fontId="84" fillId="0" borderId="0" applyFont="0" applyFill="0" applyBorder="0" applyAlignment="0" applyProtection="0"/>
    <xf numFmtId="44" fontId="30" fillId="0" borderId="0" applyFont="0" applyFill="0" applyBorder="0" applyAlignment="0" applyProtection="0"/>
    <xf numFmtId="44" fontId="65" fillId="0" borderId="0" applyFont="0" applyFill="0" applyBorder="0" applyAlignment="0" applyProtection="0">
      <alignment vertical="top"/>
    </xf>
    <xf numFmtId="44" fontId="65" fillId="0" borderId="0" applyFont="0" applyFill="0" applyBorder="0" applyAlignment="0" applyProtection="0">
      <alignment vertical="top"/>
    </xf>
    <xf numFmtId="44" fontId="30" fillId="0" borderId="0" applyFont="0" applyFill="0" applyBorder="0" applyAlignment="0" applyProtection="0"/>
    <xf numFmtId="44" fontId="65" fillId="0" borderId="0" applyFont="0" applyFill="0" applyBorder="0" applyAlignment="0" applyProtection="0">
      <alignment vertical="top"/>
    </xf>
    <xf numFmtId="44" fontId="65" fillId="0" borderId="0" applyFont="0" applyFill="0" applyBorder="0" applyAlignment="0" applyProtection="0"/>
    <xf numFmtId="44" fontId="81"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5" fillId="0" borderId="0" applyFont="0" applyFill="0" applyBorder="0" applyAlignment="0" applyProtection="0"/>
    <xf numFmtId="44" fontId="74"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65" fillId="0" borderId="0" applyFont="0" applyFill="0" applyBorder="0" applyAlignment="0" applyProtection="0"/>
    <xf numFmtId="44" fontId="30" fillId="0" borderId="0" applyFont="0" applyFill="0" applyBorder="0" applyAlignment="0" applyProtection="0"/>
    <xf numFmtId="44" fontId="75" fillId="0" borderId="0" applyFont="0" applyFill="0" applyBorder="0" applyAlignment="0" applyProtection="0"/>
    <xf numFmtId="44" fontId="30" fillId="0" borderId="0" applyFont="0" applyFill="0" applyBorder="0" applyAlignment="0" applyProtection="0"/>
    <xf numFmtId="44" fontId="81"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30"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1"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30"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30" fillId="0" borderId="0" applyFont="0" applyFill="0" applyBorder="0" applyAlignment="0" applyProtection="0"/>
    <xf numFmtId="44" fontId="65" fillId="0" borderId="0" applyFont="0" applyFill="0" applyBorder="0" applyAlignment="0" applyProtection="0"/>
    <xf numFmtId="44" fontId="30" fillId="0" borderId="0" applyFont="0" applyFill="0" applyBorder="0" applyAlignment="0" applyProtection="0"/>
    <xf numFmtId="44" fontId="76"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80" fillId="0" borderId="0" applyFont="0" applyFill="0" applyBorder="0" applyAlignment="0" applyProtection="0"/>
    <xf numFmtId="44" fontId="30" fillId="0" borderId="0" applyFont="0" applyFill="0" applyBorder="0" applyAlignment="0" applyProtection="0"/>
    <xf numFmtId="0" fontId="94" fillId="0" borderId="0" applyNumberFormat="0" applyFill="0" applyBorder="0" applyAlignment="0" applyProtection="0"/>
    <xf numFmtId="0" fontId="95" fillId="38" borderId="0" applyNumberFormat="0" applyBorder="0" applyAlignment="0" applyProtection="0"/>
    <xf numFmtId="0" fontId="96" fillId="0" borderId="20" applyNumberFormat="0" applyFill="0" applyAlignment="0" applyProtection="0"/>
    <xf numFmtId="0" fontId="96" fillId="0" borderId="20" applyNumberFormat="0" applyFill="0" applyAlignment="0" applyProtection="0"/>
    <xf numFmtId="0" fontId="97" fillId="0" borderId="21" applyNumberFormat="0" applyFill="0" applyAlignment="0" applyProtection="0"/>
    <xf numFmtId="0" fontId="97" fillId="0" borderId="21" applyNumberFormat="0" applyFill="0" applyAlignment="0" applyProtection="0"/>
    <xf numFmtId="0" fontId="98" fillId="0" borderId="22" applyNumberFormat="0" applyFill="0" applyAlignment="0" applyProtection="0"/>
    <xf numFmtId="0" fontId="98" fillId="0" borderId="22"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6" fillId="0" borderId="0" applyNumberFormat="0" applyFill="0" applyBorder="0" applyAlignment="0" applyProtection="0">
      <alignment vertical="top"/>
      <protection locked="0"/>
    </xf>
    <xf numFmtId="0" fontId="99" fillId="39" borderId="18" applyNumberFormat="0" applyAlignment="0" applyProtection="0"/>
    <xf numFmtId="0" fontId="23" fillId="0" borderId="0" applyNumberFormat="0" applyBorder="0"/>
    <xf numFmtId="0" fontId="24" fillId="0" borderId="0" applyBorder="0" applyAlignment="0"/>
    <xf numFmtId="0" fontId="25" fillId="0" borderId="0" applyFill="0" applyBorder="0" applyAlignment="0"/>
    <xf numFmtId="0" fontId="100" fillId="0" borderId="23" applyNumberFormat="0" applyFill="0" applyAlignment="0" applyProtection="0"/>
    <xf numFmtId="0" fontId="101" fillId="40" borderId="0" applyNumberFormat="0" applyBorder="0" applyAlignment="0" applyProtection="0"/>
    <xf numFmtId="0" fontId="102" fillId="0" borderId="0"/>
    <xf numFmtId="0" fontId="65" fillId="0" borderId="0"/>
    <xf numFmtId="0" fontId="102" fillId="0" borderId="0"/>
    <xf numFmtId="0" fontId="65" fillId="0" borderId="0"/>
    <xf numFmtId="0" fontId="65" fillId="0" borderId="0"/>
    <xf numFmtId="0" fontId="3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5" fillId="0" borderId="0"/>
    <xf numFmtId="169" fontId="66" fillId="0" borderId="0"/>
    <xf numFmtId="0" fontId="89" fillId="0" borderId="0"/>
    <xf numFmtId="0" fontId="30" fillId="0" borderId="0"/>
    <xf numFmtId="0" fontId="30" fillId="0" borderId="0"/>
    <xf numFmtId="0" fontId="71" fillId="0" borderId="0"/>
    <xf numFmtId="0" fontId="65" fillId="0" borderId="0"/>
    <xf numFmtId="0" fontId="71" fillId="0" borderId="0"/>
    <xf numFmtId="0" fontId="65" fillId="0" borderId="0"/>
    <xf numFmtId="0" fontId="77" fillId="0" borderId="0"/>
    <xf numFmtId="0" fontId="65" fillId="0" borderId="0"/>
    <xf numFmtId="0" fontId="89" fillId="0" borderId="0"/>
    <xf numFmtId="0" fontId="65"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7" fillId="0" borderId="0"/>
    <xf numFmtId="0" fontId="89" fillId="0" borderId="0"/>
    <xf numFmtId="0" fontId="89" fillId="0" borderId="0"/>
    <xf numFmtId="0" fontId="89" fillId="0" borderId="0"/>
    <xf numFmtId="0" fontId="89" fillId="0" borderId="0"/>
    <xf numFmtId="0" fontId="65"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5" fillId="0" borderId="0"/>
    <xf numFmtId="0" fontId="89" fillId="0" borderId="0"/>
    <xf numFmtId="0" fontId="89" fillId="0" borderId="0"/>
    <xf numFmtId="0" fontId="89" fillId="0" borderId="0"/>
    <xf numFmtId="0" fontId="89" fillId="0" borderId="0"/>
    <xf numFmtId="0" fontId="77" fillId="0" borderId="0"/>
    <xf numFmtId="0" fontId="65" fillId="0" borderId="0">
      <alignment vertical="top"/>
    </xf>
    <xf numFmtId="0" fontId="89" fillId="0" borderId="0"/>
    <xf numFmtId="0" fontId="89" fillId="0" borderId="0"/>
    <xf numFmtId="0" fontId="89" fillId="0" borderId="0"/>
    <xf numFmtId="0" fontId="89" fillId="0" borderId="0"/>
    <xf numFmtId="0" fontId="77" fillId="0" borderId="0"/>
    <xf numFmtId="0" fontId="30" fillId="0" borderId="0"/>
    <xf numFmtId="0" fontId="89" fillId="0" borderId="0"/>
    <xf numFmtId="0" fontId="30" fillId="0" borderId="0"/>
    <xf numFmtId="0" fontId="89" fillId="0" borderId="0"/>
    <xf numFmtId="0" fontId="89" fillId="0" borderId="0"/>
    <xf numFmtId="0" fontId="89" fillId="0" borderId="0"/>
    <xf numFmtId="0" fontId="89" fillId="0" borderId="0"/>
    <xf numFmtId="0" fontId="71" fillId="0" borderId="0"/>
    <xf numFmtId="0" fontId="65" fillId="0" borderId="0">
      <alignment vertical="top"/>
    </xf>
    <xf numFmtId="0" fontId="71" fillId="0" borderId="0"/>
    <xf numFmtId="0" fontId="65" fillId="0" borderId="0">
      <alignment vertical="top"/>
    </xf>
    <xf numFmtId="0" fontId="65" fillId="0" borderId="0">
      <alignment vertical="top"/>
    </xf>
    <xf numFmtId="0" fontId="89" fillId="0" borderId="0"/>
    <xf numFmtId="0" fontId="71" fillId="0" borderId="0"/>
    <xf numFmtId="0" fontId="89" fillId="0" borderId="0"/>
    <xf numFmtId="0" fontId="65"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30" fillId="0" borderId="0"/>
    <xf numFmtId="0" fontId="65" fillId="0" borderId="0">
      <alignment vertical="top"/>
    </xf>
    <xf numFmtId="0" fontId="89" fillId="0" borderId="0"/>
    <xf numFmtId="0" fontId="89" fillId="0" borderId="0"/>
    <xf numFmtId="0" fontId="89" fillId="0" borderId="0"/>
    <xf numFmtId="0" fontId="89" fillId="0" borderId="0"/>
    <xf numFmtId="0" fontId="3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3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5" fillId="0" borderId="0"/>
    <xf numFmtId="0" fontId="65" fillId="0" borderId="0">
      <alignment vertical="top"/>
    </xf>
    <xf numFmtId="0" fontId="65" fillId="0" borderId="0">
      <alignment vertical="top"/>
    </xf>
    <xf numFmtId="0" fontId="65" fillId="0" borderId="0"/>
    <xf numFmtId="0" fontId="65" fillId="0" borderId="0">
      <alignment vertical="top"/>
    </xf>
    <xf numFmtId="0" fontId="65" fillId="0" borderId="0"/>
    <xf numFmtId="0" fontId="6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3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30" fillId="0" borderId="0"/>
    <xf numFmtId="0" fontId="89" fillId="0" borderId="0"/>
    <xf numFmtId="0" fontId="89" fillId="0" borderId="0"/>
    <xf numFmtId="0" fontId="89" fillId="0" borderId="0"/>
    <xf numFmtId="0" fontId="21" fillId="0" borderId="0" applyProtection="0">
      <protection locked="0"/>
    </xf>
    <xf numFmtId="0" fontId="30" fillId="0" borderId="0" applyProtection="0">
      <protection locked="0"/>
    </xf>
    <xf numFmtId="0" fontId="30" fillId="0" borderId="0" applyProtection="0">
      <protection locked="0"/>
    </xf>
    <xf numFmtId="0" fontId="66" fillId="0" borderId="0"/>
    <xf numFmtId="0" fontId="21" fillId="0" borderId="0"/>
    <xf numFmtId="0" fontId="81"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81"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104" fillId="36" borderId="25" applyNumberFormat="0" applyAlignment="0" applyProtection="0"/>
    <xf numFmtId="0" fontId="104" fillId="36" borderId="25" applyNumberFormat="0" applyAlignment="0" applyProtection="0"/>
    <xf numFmtId="0" fontId="26" fillId="0" borderId="0" applyNumberFormat="0" applyFill="0" applyBorder="0">
      <alignment horizontal="left"/>
    </xf>
    <xf numFmtId="0" fontId="105" fillId="0" borderId="0" applyNumberFormat="0" applyFill="0" applyBorder="0" applyAlignment="0" applyProtection="0"/>
    <xf numFmtId="0" fontId="106" fillId="0" borderId="26" applyNumberFormat="0" applyFill="0" applyAlignment="0" applyProtection="0"/>
    <xf numFmtId="0" fontId="106" fillId="0" borderId="26" applyNumberFormat="0" applyFill="0" applyAlignment="0" applyProtection="0"/>
    <xf numFmtId="0" fontId="107" fillId="0" borderId="0" applyNumberFormat="0" applyFill="0" applyBorder="0" applyAlignment="0" applyProtection="0"/>
    <xf numFmtId="0" fontId="21" fillId="0" borderId="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9" fontId="21" fillId="0" borderId="0" applyFont="0" applyFill="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12" fillId="0" borderId="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1"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114"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115" fillId="0" borderId="0" applyNumberForma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05" fillId="0" borderId="0" applyNumberForma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44" fontId="21" fillId="0" borderId="0" applyFont="0" applyFill="0" applyBorder="0" applyAlignment="0" applyProtection="0"/>
    <xf numFmtId="9" fontId="124" fillId="0" borderId="0" applyFont="0" applyFill="0" applyBorder="0" applyAlignment="0" applyProtection="0"/>
    <xf numFmtId="0" fontId="124" fillId="0" borderId="0"/>
    <xf numFmtId="0" fontId="15" fillId="0" borderId="0"/>
    <xf numFmtId="0" fontId="21" fillId="0" borderId="0"/>
    <xf numFmtId="43" fontId="15" fillId="0" borderId="0" applyFont="0" applyFill="0" applyBorder="0" applyAlignment="0" applyProtection="0"/>
    <xf numFmtId="9" fontId="15" fillId="0" borderId="0" applyFont="0" applyFill="0" applyBorder="0" applyAlignment="0" applyProtection="0"/>
    <xf numFmtId="0" fontId="14" fillId="0" borderId="0"/>
    <xf numFmtId="44" fontId="14" fillId="0" borderId="0" applyFont="0" applyFill="0" applyBorder="0" applyAlignment="0" applyProtection="0"/>
    <xf numFmtId="9" fontId="14" fillId="0" borderId="0" applyFont="0" applyFill="0" applyBorder="0" applyAlignment="0" applyProtection="0"/>
    <xf numFmtId="43" fontId="151" fillId="0" borderId="0" applyFon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4" fontId="153"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0" fontId="7" fillId="0" borderId="0"/>
    <xf numFmtId="0" fontId="21" fillId="0" borderId="0" applyBorder="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91"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11" borderId="0" applyNumberFormat="0" applyBorder="0" applyAlignment="0" applyProtection="0"/>
    <xf numFmtId="0" fontId="4" fillId="17"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1" borderId="24" applyNumberFormat="0" applyFont="0" applyAlignment="0" applyProtection="0"/>
    <xf numFmtId="44" fontId="4" fillId="0" borderId="0" applyFont="0" applyFill="0" applyBorder="0" applyAlignment="0" applyProtection="0"/>
    <xf numFmtId="0" fontId="4" fillId="41" borderId="24" applyNumberFormat="0" applyFont="0" applyAlignment="0" applyProtection="0"/>
    <xf numFmtId="0" fontId="4" fillId="13"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11" borderId="0" applyNumberFormat="0" applyBorder="0" applyAlignment="0" applyProtection="0"/>
    <xf numFmtId="0" fontId="4" fillId="17"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1" borderId="24" applyNumberFormat="0" applyFont="0" applyAlignment="0" applyProtection="0"/>
    <xf numFmtId="44" fontId="4" fillId="0" borderId="0" applyFont="0" applyFill="0" applyBorder="0" applyAlignment="0" applyProtection="0"/>
    <xf numFmtId="0" fontId="4" fillId="41" borderId="24" applyNumberFormat="0" applyFont="0" applyAlignment="0" applyProtection="0"/>
    <xf numFmtId="0" fontId="4" fillId="13"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0" borderId="0"/>
    <xf numFmtId="0" fontId="4" fillId="11" borderId="0" applyNumberFormat="0" applyBorder="0" applyAlignment="0" applyProtection="0"/>
    <xf numFmtId="0" fontId="4" fillId="17"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1" borderId="24" applyNumberFormat="0" applyFont="0" applyAlignment="0" applyProtection="0"/>
    <xf numFmtId="44" fontId="4" fillId="0" borderId="0" applyFont="0" applyFill="0" applyBorder="0" applyAlignment="0" applyProtection="0"/>
    <xf numFmtId="0" fontId="4" fillId="41" borderId="24" applyNumberFormat="0" applyFont="0" applyAlignment="0" applyProtection="0"/>
    <xf numFmtId="0" fontId="4" fillId="13"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11" borderId="0" applyNumberFormat="0" applyBorder="0" applyAlignment="0" applyProtection="0"/>
    <xf numFmtId="0" fontId="4" fillId="17"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1" borderId="24" applyNumberFormat="0" applyFont="0" applyAlignment="0" applyProtection="0"/>
    <xf numFmtId="44" fontId="4" fillId="0" borderId="0" applyFont="0" applyFill="0" applyBorder="0" applyAlignment="0" applyProtection="0"/>
    <xf numFmtId="0" fontId="4" fillId="41" borderId="24" applyNumberFormat="0" applyFont="0" applyAlignment="0" applyProtection="0"/>
    <xf numFmtId="0" fontId="4" fillId="13"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65" fillId="0" borderId="0">
      <alignment vertical="top"/>
    </xf>
    <xf numFmtId="0" fontId="65" fillId="0" borderId="0">
      <alignment vertical="top"/>
    </xf>
    <xf numFmtId="0" fontId="4" fillId="0" borderId="0"/>
    <xf numFmtId="0" fontId="4" fillId="0" borderId="0"/>
    <xf numFmtId="0" fontId="65" fillId="0" borderId="0">
      <alignment vertical="top"/>
    </xf>
    <xf numFmtId="0" fontId="192" fillId="0" borderId="0">
      <alignment vertical="top"/>
    </xf>
    <xf numFmtId="0" fontId="65" fillId="0" borderId="0">
      <alignment vertical="top"/>
    </xf>
    <xf numFmtId="0" fontId="65" fillId="0" borderId="0">
      <alignment vertical="top"/>
    </xf>
    <xf numFmtId="0" fontId="192"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11" borderId="0" applyNumberFormat="0" applyBorder="0" applyAlignment="0" applyProtection="0"/>
    <xf numFmtId="0" fontId="4" fillId="17"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43" fontId="81" fillId="0" borderId="0" applyFont="0" applyFill="0" applyBorder="0" applyAlignment="0" applyProtection="0"/>
    <xf numFmtId="0" fontId="4" fillId="16" borderId="0" applyNumberFormat="0" applyBorder="0" applyAlignment="0" applyProtection="0"/>
    <xf numFmtId="0" fontId="4" fillId="22" borderId="0" applyNumberFormat="0" applyBorder="0" applyAlignment="0" applyProtection="0"/>
    <xf numFmtId="43" fontId="8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1" borderId="24" applyNumberFormat="0" applyFont="0" applyAlignment="0" applyProtection="0"/>
    <xf numFmtId="44" fontId="4" fillId="0" borderId="0" applyFont="0" applyFill="0" applyBorder="0" applyAlignment="0" applyProtection="0"/>
    <xf numFmtId="0" fontId="4" fillId="41" borderId="24" applyNumberFormat="0" applyFont="0" applyAlignment="0" applyProtection="0"/>
    <xf numFmtId="0" fontId="4" fillId="13"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43" fontId="8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11" borderId="0" applyNumberFormat="0" applyBorder="0" applyAlignment="0" applyProtection="0"/>
    <xf numFmtId="0" fontId="4" fillId="17"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1" borderId="24" applyNumberFormat="0" applyFont="0" applyAlignment="0" applyProtection="0"/>
    <xf numFmtId="44" fontId="4" fillId="0" borderId="0" applyFont="0" applyFill="0" applyBorder="0" applyAlignment="0" applyProtection="0"/>
    <xf numFmtId="0" fontId="4" fillId="41" borderId="24" applyNumberFormat="0" applyFont="0" applyAlignment="0" applyProtection="0"/>
    <xf numFmtId="0" fontId="4" fillId="13"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0" borderId="0"/>
    <xf numFmtId="0" fontId="4" fillId="11" borderId="0" applyNumberFormat="0" applyBorder="0" applyAlignment="0" applyProtection="0"/>
    <xf numFmtId="0" fontId="4" fillId="17"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1" borderId="24" applyNumberFormat="0" applyFont="0" applyAlignment="0" applyProtection="0"/>
    <xf numFmtId="44" fontId="4" fillId="0" borderId="0" applyFont="0" applyFill="0" applyBorder="0" applyAlignment="0" applyProtection="0"/>
    <xf numFmtId="0" fontId="4" fillId="41" borderId="24" applyNumberFormat="0" applyFont="0" applyAlignment="0" applyProtection="0"/>
    <xf numFmtId="0" fontId="4" fillId="13"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11" borderId="0" applyNumberFormat="0" applyBorder="0" applyAlignment="0" applyProtection="0"/>
    <xf numFmtId="0" fontId="4" fillId="17"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1" borderId="24" applyNumberFormat="0" applyFont="0" applyAlignment="0" applyProtection="0"/>
    <xf numFmtId="44" fontId="4" fillId="0" borderId="0" applyFont="0" applyFill="0" applyBorder="0" applyAlignment="0" applyProtection="0"/>
    <xf numFmtId="0" fontId="4" fillId="41" borderId="24" applyNumberFormat="0" applyFont="0" applyAlignment="0" applyProtection="0"/>
    <xf numFmtId="0" fontId="4" fillId="13"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0" borderId="0"/>
    <xf numFmtId="0" fontId="4" fillId="0" borderId="0"/>
    <xf numFmtId="0" fontId="65" fillId="0" borderId="0">
      <alignment vertical="top"/>
    </xf>
    <xf numFmtId="0" fontId="65" fillId="0" borderId="0">
      <alignment vertical="top"/>
    </xf>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103" fillId="0" borderId="0"/>
    <xf numFmtId="0" fontId="81" fillId="41" borderId="24" applyNumberFormat="0" applyFont="0" applyAlignment="0" applyProtection="0"/>
    <xf numFmtId="0" fontId="81" fillId="41" borderId="24" applyNumberFormat="0" applyFont="0" applyAlignment="0" applyProtection="0"/>
    <xf numFmtId="43" fontId="21" fillId="0" borderId="0" applyFont="0" applyFill="0" applyBorder="0" applyAlignment="0" applyProtection="0"/>
    <xf numFmtId="0" fontId="21"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21" fillId="0" borderId="0"/>
    <xf numFmtId="0" fontId="21" fillId="0" borderId="0"/>
    <xf numFmtId="0" fontId="21" fillId="0" borderId="0"/>
    <xf numFmtId="0" fontId="4" fillId="0" borderId="0"/>
    <xf numFmtId="0" fontId="4" fillId="0" borderId="0"/>
    <xf numFmtId="0" fontId="4" fillId="0" borderId="0"/>
    <xf numFmtId="0" fontId="4" fillId="0" borderId="0"/>
    <xf numFmtId="0" fontId="21" fillId="0" borderId="0"/>
    <xf numFmtId="0" fontId="4" fillId="41" borderId="24" applyNumberFormat="0" applyFont="0" applyAlignment="0" applyProtection="0"/>
    <xf numFmtId="0" fontId="4" fillId="41" borderId="24" applyNumberFormat="0" applyFont="0" applyAlignment="0" applyProtection="0"/>
    <xf numFmtId="169" fontId="193" fillId="0"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8">
    <xf numFmtId="0" fontId="0" fillId="0" borderId="0" xfId="0"/>
    <xf numFmtId="0" fontId="0" fillId="0" borderId="0" xfId="0" applyAlignment="1">
      <alignment horizontal="center"/>
    </xf>
    <xf numFmtId="0" fontId="28" fillId="0" borderId="0" xfId="0" applyFont="1"/>
    <xf numFmtId="0" fontId="21" fillId="0" borderId="0" xfId="0" applyFont="1"/>
    <xf numFmtId="0" fontId="30" fillId="0" borderId="0" xfId="0" applyFont="1"/>
    <xf numFmtId="0" fontId="0" fillId="0" borderId="4" xfId="0" applyBorder="1"/>
    <xf numFmtId="0" fontId="30" fillId="0" borderId="0" xfId="0" applyFont="1" applyAlignment="1">
      <alignment horizontal="center"/>
    </xf>
    <xf numFmtId="0" fontId="21"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8" fillId="0" borderId="4" xfId="0" applyFont="1" applyBorder="1"/>
    <xf numFmtId="164" fontId="0" fillId="0" borderId="0" xfId="0" applyNumberFormat="1" applyAlignment="1">
      <alignment horizontal="right"/>
    </xf>
    <xf numFmtId="0" fontId="28" fillId="0" borderId="0" xfId="0" applyFont="1" applyAlignment="1">
      <alignment horizontal="center"/>
    </xf>
    <xf numFmtId="0" fontId="21" fillId="0" borderId="0" xfId="543"/>
    <xf numFmtId="0" fontId="30" fillId="0" borderId="0" xfId="0" applyFont="1" applyAlignment="1">
      <alignment horizontal="left" vertical="top" wrapText="1"/>
    </xf>
    <xf numFmtId="0" fontId="36" fillId="0" borderId="0" xfId="0" applyFont="1"/>
    <xf numFmtId="0" fontId="29" fillId="0" borderId="0" xfId="0" applyFont="1" applyAlignment="1">
      <alignment vertical="top"/>
    </xf>
    <xf numFmtId="0" fontId="29" fillId="0" borderId="0" xfId="0" applyFont="1" applyAlignment="1">
      <alignment vertical="top" wrapText="1"/>
    </xf>
    <xf numFmtId="0" fontId="30" fillId="0" borderId="0" xfId="0" applyFont="1" applyAlignment="1">
      <alignment horizontal="left" indent="4"/>
    </xf>
    <xf numFmtId="0" fontId="29" fillId="0" borderId="0" xfId="0" applyFont="1" applyAlignment="1">
      <alignment horizontal="left" vertical="top"/>
    </xf>
    <xf numFmtId="0" fontId="29" fillId="0" borderId="0" xfId="0" applyFont="1" applyAlignment="1">
      <alignment horizontal="left"/>
    </xf>
    <xf numFmtId="0" fontId="29" fillId="0" borderId="0" xfId="0" applyFont="1"/>
    <xf numFmtId="0" fontId="41" fillId="0" borderId="0" xfId="543" applyFont="1"/>
    <xf numFmtId="1" fontId="29" fillId="0" borderId="0" xfId="0" applyNumberFormat="1" applyFont="1" applyAlignment="1">
      <alignment horizontal="left"/>
    </xf>
    <xf numFmtId="0" fontId="31" fillId="0" borderId="0" xfId="0" applyFont="1"/>
    <xf numFmtId="1" fontId="29" fillId="0" borderId="0" xfId="0" applyNumberFormat="1" applyFont="1" applyAlignment="1">
      <alignment horizontal="right"/>
    </xf>
    <xf numFmtId="0" fontId="0" fillId="0" borderId="0" xfId="0" applyAlignment="1">
      <alignment horizontal="right"/>
    </xf>
    <xf numFmtId="0" fontId="40" fillId="0" borderId="0" xfId="0" applyFont="1"/>
    <xf numFmtId="0" fontId="33" fillId="0" borderId="0" xfId="0" applyFont="1"/>
    <xf numFmtId="172" fontId="21" fillId="0" borderId="0" xfId="543" applyNumberFormat="1"/>
    <xf numFmtId="9" fontId="21" fillId="0" borderId="0" xfId="543" applyNumberFormat="1" applyAlignment="1">
      <alignment horizontal="left"/>
    </xf>
    <xf numFmtId="168" fontId="21" fillId="0" borderId="0" xfId="543" applyNumberFormat="1"/>
    <xf numFmtId="0" fontId="30" fillId="0" borderId="0" xfId="0" applyFont="1" applyAlignment="1">
      <alignment horizontal="right"/>
    </xf>
    <xf numFmtId="0" fontId="44" fillId="0" borderId="0" xfId="0" applyFont="1"/>
    <xf numFmtId="0" fontId="30" fillId="0" borderId="0" xfId="0" applyFont="1" applyAlignment="1">
      <alignment horizontal="left"/>
    </xf>
    <xf numFmtId="0" fontId="32" fillId="0" borderId="0" xfId="0" applyFont="1"/>
    <xf numFmtId="0" fontId="34" fillId="0" borderId="0" xfId="0" applyFont="1"/>
    <xf numFmtId="0" fontId="28"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8" fillId="0" borderId="1" xfId="0" applyFont="1" applyBorder="1" applyAlignment="1">
      <alignment horizontal="center" wrapText="1"/>
    </xf>
    <xf numFmtId="0" fontId="28"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8" fillId="0" borderId="4" xfId="0" applyFont="1" applyBorder="1" applyAlignment="1">
      <alignment horizontal="center"/>
    </xf>
    <xf numFmtId="0" fontId="37" fillId="0" borderId="3" xfId="0" applyFont="1" applyBorder="1" applyAlignment="1">
      <alignment horizontal="left"/>
    </xf>
    <xf numFmtId="0" fontId="37" fillId="0" borderId="9" xfId="0" applyFont="1" applyBorder="1" applyAlignment="1">
      <alignment horizontal="left"/>
    </xf>
    <xf numFmtId="0" fontId="28" fillId="0" borderId="4" xfId="0" applyFont="1" applyBorder="1" applyAlignment="1">
      <alignment horizontal="right"/>
    </xf>
    <xf numFmtId="0" fontId="28" fillId="0" borderId="5" xfId="0" applyFont="1" applyBorder="1" applyAlignment="1">
      <alignment horizontal="right"/>
    </xf>
    <xf numFmtId="0" fontId="37" fillId="0" borderId="0" xfId="0" applyFont="1" applyAlignment="1">
      <alignment horizontal="left"/>
    </xf>
    <xf numFmtId="0" fontId="28" fillId="0" borderId="0" xfId="0" applyFont="1" applyAlignment="1">
      <alignment horizontal="right"/>
    </xf>
    <xf numFmtId="0" fontId="28"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30" fillId="0" borderId="11" xfId="0" applyFont="1" applyBorder="1" applyAlignment="1">
      <alignment horizontal="left"/>
    </xf>
    <xf numFmtId="0" fontId="28" fillId="0" borderId="9" xfId="0" applyFont="1" applyBorder="1"/>
    <xf numFmtId="164" fontId="0" fillId="0" borderId="0" xfId="0" applyNumberFormat="1" applyAlignment="1">
      <alignment horizontal="center"/>
    </xf>
    <xf numFmtId="0" fontId="0" fillId="0" borderId="12" xfId="0" applyBorder="1"/>
    <xf numFmtId="0" fontId="30" fillId="0" borderId="3" xfId="0" applyFont="1" applyBorder="1"/>
    <xf numFmtId="0" fontId="30" fillId="0" borderId="0" xfId="543" applyFont="1"/>
    <xf numFmtId="0" fontId="46" fillId="0" borderId="0" xfId="543" applyFont="1"/>
    <xf numFmtId="49" fontId="21" fillId="0" borderId="0" xfId="543" applyNumberFormat="1"/>
    <xf numFmtId="0" fontId="44" fillId="0" borderId="0" xfId="543" applyFont="1"/>
    <xf numFmtId="168" fontId="41" fillId="0" borderId="6" xfId="543" applyNumberFormat="1" applyFont="1" applyBorder="1" applyAlignment="1">
      <alignment horizontal="left"/>
    </xf>
    <xf numFmtId="168" fontId="41" fillId="0" borderId="6" xfId="543" applyNumberFormat="1" applyFont="1" applyBorder="1" applyAlignment="1">
      <alignment horizontal="center"/>
    </xf>
    <xf numFmtId="0" fontId="21" fillId="0" borderId="8" xfId="543" applyBorder="1"/>
    <xf numFmtId="0" fontId="41" fillId="0" borderId="0" xfId="543" applyFont="1" applyAlignment="1">
      <alignment horizontal="center"/>
    </xf>
    <xf numFmtId="0" fontId="40" fillId="0" borderId="9" xfId="543" applyFont="1" applyBorder="1" applyAlignment="1">
      <alignment horizontal="left" vertical="top" wrapText="1"/>
    </xf>
    <xf numFmtId="0" fontId="40" fillId="0" borderId="6" xfId="543" applyFont="1" applyBorder="1" applyAlignment="1">
      <alignment horizontal="center" vertical="top" wrapText="1"/>
    </xf>
    <xf numFmtId="0" fontId="21" fillId="0" borderId="9" xfId="543" applyBorder="1"/>
    <xf numFmtId="0" fontId="21" fillId="0" borderId="10" xfId="543" applyBorder="1"/>
    <xf numFmtId="0" fontId="21" fillId="0" borderId="1" xfId="543" applyBorder="1"/>
    <xf numFmtId="0" fontId="41" fillId="0" borderId="2" xfId="543" applyFont="1" applyBorder="1" applyAlignment="1">
      <alignment horizontal="center"/>
    </xf>
    <xf numFmtId="0" fontId="43" fillId="0" borderId="8" xfId="543" applyFont="1" applyBorder="1" applyAlignment="1">
      <alignment horizontal="left" vertical="top" wrapText="1"/>
    </xf>
    <xf numFmtId="0" fontId="40" fillId="0" borderId="0" xfId="543" applyFont="1" applyAlignment="1">
      <alignment horizontal="center" vertical="top" wrapText="1"/>
    </xf>
    <xf numFmtId="0" fontId="21" fillId="0" borderId="12" xfId="543" applyBorder="1"/>
    <xf numFmtId="0" fontId="43" fillId="0" borderId="0" xfId="543" applyFont="1" applyAlignment="1">
      <alignment horizontal="center" vertical="top" wrapText="1"/>
    </xf>
    <xf numFmtId="0" fontId="43" fillId="0" borderId="9" xfId="543" applyFont="1" applyBorder="1" applyAlignment="1">
      <alignment horizontal="left" vertical="top" wrapText="1"/>
    </xf>
    <xf numFmtId="0" fontId="21" fillId="0" borderId="2" xfId="543" applyBorder="1"/>
    <xf numFmtId="0" fontId="21" fillId="0" borderId="7" xfId="543" applyBorder="1"/>
    <xf numFmtId="0" fontId="40" fillId="0" borderId="0" xfId="543" applyFont="1"/>
    <xf numFmtId="0" fontId="21" fillId="0" borderId="0" xfId="543" applyAlignment="1">
      <alignment horizontal="center"/>
    </xf>
    <xf numFmtId="0" fontId="29" fillId="0" borderId="6" xfId="543" applyFont="1" applyBorder="1" applyAlignment="1">
      <alignment vertical="top" wrapText="1"/>
    </xf>
    <xf numFmtId="0" fontId="30" fillId="0" borderId="0" xfId="0" applyFont="1" applyAlignment="1">
      <alignment horizontal="left" vertical="top"/>
    </xf>
    <xf numFmtId="0" fontId="0" fillId="2" borderId="2" xfId="0" applyFill="1" applyBorder="1"/>
    <xf numFmtId="0" fontId="0" fillId="2" borderId="7" xfId="0" applyFill="1" applyBorder="1"/>
    <xf numFmtId="0" fontId="28" fillId="0" borderId="6" xfId="0" applyFont="1" applyBorder="1" applyAlignment="1">
      <alignment horizontal="right"/>
    </xf>
    <xf numFmtId="0" fontId="27" fillId="0" borderId="0" xfId="0" applyFont="1" applyAlignment="1">
      <alignment horizontal="center" vertical="center"/>
    </xf>
    <xf numFmtId="0" fontId="28" fillId="0" borderId="0" xfId="0" applyFont="1" applyAlignment="1">
      <alignment vertical="top"/>
    </xf>
    <xf numFmtId="166" fontId="0" fillId="0" borderId="0" xfId="0" applyNumberFormat="1" applyAlignment="1">
      <alignment horizontal="right"/>
    </xf>
    <xf numFmtId="0" fontId="51" fillId="0" borderId="0" xfId="0" applyFont="1"/>
    <xf numFmtId="0" fontId="38" fillId="0" borderId="0" xfId="0" applyFont="1"/>
    <xf numFmtId="0" fontId="22" fillId="0" borderId="0" xfId="244" applyBorder="1" applyProtection="1"/>
    <xf numFmtId="0" fontId="22" fillId="0" borderId="0" xfId="244" applyFill="1" applyBorder="1" applyAlignment="1">
      <alignment horizontal="center" vertical="center"/>
    </xf>
    <xf numFmtId="0" fontId="21" fillId="0" borderId="3" xfId="543" applyBorder="1"/>
    <xf numFmtId="0" fontId="43" fillId="0" borderId="4" xfId="543" applyFont="1" applyBorder="1" applyAlignment="1">
      <alignment horizontal="right" vertical="top" wrapText="1"/>
    </xf>
    <xf numFmtId="0" fontId="30" fillId="0" borderId="6" xfId="0" applyFont="1" applyBorder="1"/>
    <xf numFmtId="0" fontId="30" fillId="0" borderId="2" xfId="0" applyFont="1" applyBorder="1"/>
    <xf numFmtId="0" fontId="30" fillId="0" borderId="7" xfId="0" applyFont="1" applyBorder="1"/>
    <xf numFmtId="0" fontId="30" fillId="0" borderId="12" xfId="0" applyFont="1" applyBorder="1"/>
    <xf numFmtId="0" fontId="30" fillId="0" borderId="9" xfId="0" applyFont="1" applyBorder="1"/>
    <xf numFmtId="0" fontId="30" fillId="0" borderId="10" xfId="0" applyFont="1" applyBorder="1"/>
    <xf numFmtId="0" fontId="35" fillId="0" borderId="6" xfId="0" applyFont="1" applyBorder="1" applyAlignment="1">
      <alignment vertical="top" wrapText="1"/>
    </xf>
    <xf numFmtId="0" fontId="35" fillId="0" borderId="5" xfId="0" applyFont="1" applyBorder="1" applyAlignment="1">
      <alignment vertical="top" wrapText="1"/>
    </xf>
    <xf numFmtId="0" fontId="35" fillId="0" borderId="4" xfId="0" applyFont="1" applyBorder="1" applyAlignment="1">
      <alignment vertical="top" wrapText="1"/>
    </xf>
    <xf numFmtId="0" fontId="35" fillId="2" borderId="6" xfId="0" applyFont="1" applyFill="1" applyBorder="1" applyAlignment="1">
      <alignment vertical="top" wrapText="1"/>
    </xf>
    <xf numFmtId="0" fontId="0" fillId="0" borderId="8" xfId="0" applyBorder="1"/>
    <xf numFmtId="0" fontId="28" fillId="0" borderId="2" xfId="0" applyFont="1" applyBorder="1"/>
    <xf numFmtId="0" fontId="30" fillId="0" borderId="0" xfId="0" applyFont="1" applyAlignment="1">
      <alignment vertical="top"/>
    </xf>
    <xf numFmtId="0" fontId="30" fillId="0" borderId="0" xfId="0" applyFont="1" applyAlignment="1">
      <alignment vertical="top" wrapText="1"/>
    </xf>
    <xf numFmtId="0" fontId="21" fillId="0" borderId="0" xfId="0" applyFont="1" applyAlignment="1">
      <alignment horizontal="left"/>
    </xf>
    <xf numFmtId="0" fontId="21" fillId="0" borderId="0" xfId="0" applyFont="1" applyAlignment="1">
      <alignment vertical="top"/>
    </xf>
    <xf numFmtId="0" fontId="50" fillId="0" borderId="0" xfId="0" applyFont="1"/>
    <xf numFmtId="0" fontId="21" fillId="0" borderId="3" xfId="0" applyFont="1" applyBorder="1"/>
    <xf numFmtId="0" fontId="21"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5" fillId="3" borderId="4" xfId="0" applyFont="1" applyFill="1" applyBorder="1" applyAlignment="1">
      <alignment vertical="top" wrapText="1"/>
    </xf>
    <xf numFmtId="0" fontId="35" fillId="3" borderId="5" xfId="0" applyFont="1" applyFill="1" applyBorder="1" applyAlignment="1">
      <alignment vertical="top" wrapText="1"/>
    </xf>
    <xf numFmtId="0" fontId="53" fillId="0" borderId="0" xfId="0" applyFont="1"/>
    <xf numFmtId="0" fontId="30" fillId="0" borderId="4" xfId="0" applyFont="1" applyBorder="1"/>
    <xf numFmtId="0" fontId="28" fillId="0" borderId="2" xfId="0" applyFont="1" applyBorder="1" applyAlignment="1">
      <alignment horizontal="center"/>
    </xf>
    <xf numFmtId="0" fontId="28" fillId="0" borderId="0" xfId="0" applyFont="1" applyAlignment="1">
      <alignment horizontal="center" vertical="center" wrapText="1"/>
    </xf>
    <xf numFmtId="0" fontId="28" fillId="0" borderId="7" xfId="543" applyFont="1" applyBorder="1" applyAlignment="1">
      <alignment horizontal="right"/>
    </xf>
    <xf numFmtId="0" fontId="29" fillId="0" borderId="9" xfId="543" applyFont="1" applyBorder="1"/>
    <xf numFmtId="0" fontId="30" fillId="0" borderId="6" xfId="543" applyFont="1" applyBorder="1"/>
    <xf numFmtId="0" fontId="29" fillId="0" borderId="6" xfId="543" applyFont="1" applyBorder="1" applyAlignment="1">
      <alignment horizontal="right"/>
    </xf>
    <xf numFmtId="0" fontId="28" fillId="0" borderId="0" xfId="0" applyFont="1" applyAlignment="1">
      <alignment horizontal="center" vertical="center"/>
    </xf>
    <xf numFmtId="0" fontId="30" fillId="0" borderId="0" xfId="0" applyFont="1" applyAlignment="1">
      <alignment horizontal="left" vertical="center"/>
    </xf>
    <xf numFmtId="0" fontId="58" fillId="0" borderId="3" xfId="0" applyFont="1" applyBorder="1" applyAlignment="1">
      <alignment horizontal="left" vertical="top"/>
    </xf>
    <xf numFmtId="0" fontId="58" fillId="0" borderId="13" xfId="0" applyFont="1" applyBorder="1" applyAlignment="1">
      <alignment horizontal="center" wrapText="1"/>
    </xf>
    <xf numFmtId="0" fontId="58" fillId="0" borderId="13" xfId="0" applyFont="1" applyBorder="1" applyAlignment="1">
      <alignment horizontal="center" vertical="top" wrapText="1"/>
    </xf>
    <xf numFmtId="0" fontId="58" fillId="2" borderId="13" xfId="0" applyFont="1" applyFill="1" applyBorder="1" applyAlignment="1">
      <alignment horizontal="center" wrapText="1"/>
    </xf>
    <xf numFmtId="0" fontId="59" fillId="2" borderId="11" xfId="0" applyFont="1" applyFill="1" applyBorder="1" applyAlignment="1">
      <alignment horizontal="left" vertical="top" wrapText="1"/>
    </xf>
    <xf numFmtId="0" fontId="60" fillId="4" borderId="11" xfId="0" applyFont="1" applyFill="1" applyBorder="1" applyAlignment="1">
      <alignment vertical="top" wrapText="1"/>
    </xf>
    <xf numFmtId="0" fontId="60" fillId="2" borderId="11" xfId="0" applyFont="1" applyFill="1" applyBorder="1" applyAlignment="1">
      <alignment vertical="top" wrapText="1"/>
    </xf>
    <xf numFmtId="0" fontId="60" fillId="0" borderId="11" xfId="0" applyFont="1" applyBorder="1" applyAlignment="1">
      <alignment vertical="top" wrapText="1"/>
    </xf>
    <xf numFmtId="0" fontId="60" fillId="0" borderId="11" xfId="0" applyFont="1" applyBorder="1" applyAlignment="1">
      <alignment horizontal="right" vertical="top" wrapText="1"/>
    </xf>
    <xf numFmtId="168" fontId="60" fillId="0" borderId="11" xfId="0" applyNumberFormat="1" applyFont="1" applyBorder="1" applyAlignment="1">
      <alignment vertical="top" wrapText="1"/>
    </xf>
    <xf numFmtId="168" fontId="60" fillId="5" borderId="11" xfId="0" applyNumberFormat="1" applyFont="1" applyFill="1" applyBorder="1" applyAlignment="1" applyProtection="1">
      <alignment vertical="top" wrapText="1"/>
      <protection locked="0"/>
    </xf>
    <xf numFmtId="168" fontId="60" fillId="6" borderId="11" xfId="0" applyNumberFormat="1" applyFont="1" applyFill="1" applyBorder="1" applyAlignment="1">
      <alignment horizontal="center" vertical="top" wrapText="1"/>
    </xf>
    <xf numFmtId="0" fontId="58" fillId="0" borderId="11" xfId="0" applyFont="1" applyBorder="1" applyAlignment="1">
      <alignment horizontal="right" vertical="top" wrapText="1"/>
    </xf>
    <xf numFmtId="168" fontId="58" fillId="0" borderId="11" xfId="0" applyNumberFormat="1" applyFont="1" applyBorder="1" applyAlignment="1">
      <alignment vertical="top" wrapText="1"/>
    </xf>
    <xf numFmtId="168" fontId="60" fillId="4" borderId="11" xfId="0" applyNumberFormat="1" applyFont="1" applyFill="1" applyBorder="1" applyAlignment="1">
      <alignment vertical="top" wrapText="1"/>
    </xf>
    <xf numFmtId="0" fontId="58" fillId="2" borderId="11" xfId="0" applyFont="1" applyFill="1" applyBorder="1" applyAlignment="1">
      <alignment vertical="top" wrapText="1"/>
    </xf>
    <xf numFmtId="0" fontId="58" fillId="0" borderId="11" xfId="0" applyFont="1" applyBorder="1" applyAlignment="1">
      <alignment vertical="top" wrapText="1"/>
    </xf>
    <xf numFmtId="0" fontId="24" fillId="0" borderId="11" xfId="0" applyFont="1" applyBorder="1" applyAlignment="1">
      <alignment horizontal="right" vertical="top" wrapText="1"/>
    </xf>
    <xf numFmtId="0" fontId="60" fillId="0" borderId="11" xfId="0" applyFont="1" applyBorder="1" applyAlignment="1" applyProtection="1">
      <alignment horizontal="right" vertical="top" wrapText="1"/>
      <protection locked="0"/>
    </xf>
    <xf numFmtId="0" fontId="58" fillId="0" borderId="0" xfId="0" applyFont="1" applyAlignment="1">
      <alignment horizontal="left" vertical="top"/>
    </xf>
    <xf numFmtId="0" fontId="60" fillId="0" borderId="0" xfId="0" applyFont="1" applyAlignment="1">
      <alignment horizontal="left" vertical="top"/>
    </xf>
    <xf numFmtId="0" fontId="60" fillId="0" borderId="0" xfId="0" applyFont="1" applyAlignment="1">
      <alignment vertical="top" wrapText="1"/>
    </xf>
    <xf numFmtId="0" fontId="60" fillId="0" borderId="0" xfId="0" applyFont="1" applyAlignment="1">
      <alignment vertical="top"/>
    </xf>
    <xf numFmtId="0" fontId="58" fillId="0" borderId="0" xfId="0" applyFont="1" applyAlignment="1">
      <alignment horizontal="right" vertical="top"/>
    </xf>
    <xf numFmtId="0" fontId="60" fillId="2" borderId="0" xfId="0" applyFont="1" applyFill="1" applyAlignment="1">
      <alignment vertical="top" wrapText="1"/>
    </xf>
    <xf numFmtId="0" fontId="58" fillId="0" borderId="0" xfId="0" applyFont="1" applyAlignment="1">
      <alignment vertical="top"/>
    </xf>
    <xf numFmtId="166" fontId="30" fillId="0" borderId="0" xfId="0" applyNumberFormat="1" applyFont="1" applyAlignment="1">
      <alignment horizontal="left"/>
    </xf>
    <xf numFmtId="0" fontId="61" fillId="0" borderId="0" xfId="0" applyFont="1"/>
    <xf numFmtId="0" fontId="21" fillId="0" borderId="0" xfId="244" applyFont="1" applyFill="1" applyBorder="1" applyAlignment="1" applyProtection="1">
      <alignment horizontal="left"/>
    </xf>
    <xf numFmtId="0" fontId="52" fillId="0" borderId="0" xfId="0" applyFont="1"/>
    <xf numFmtId="0" fontId="52" fillId="0" borderId="0" xfId="244" applyFont="1" applyFill="1" applyBorder="1" applyAlignment="1" applyProtection="1">
      <alignment horizontal="left"/>
    </xf>
    <xf numFmtId="0" fontId="27" fillId="3" borderId="11" xfId="0" applyFont="1" applyFill="1" applyBorder="1" applyAlignment="1">
      <alignment vertical="top"/>
    </xf>
    <xf numFmtId="0" fontId="0" fillId="7" borderId="0" xfId="0" applyFill="1"/>
    <xf numFmtId="0" fontId="41" fillId="0" borderId="0" xfId="0" applyFont="1"/>
    <xf numFmtId="0" fontId="63" fillId="0" borderId="0" xfId="0" applyFont="1"/>
    <xf numFmtId="0" fontId="39" fillId="0" borderId="0" xfId="0" applyFont="1" applyAlignment="1">
      <alignment horizontal="center"/>
    </xf>
    <xf numFmtId="0" fontId="39" fillId="0" borderId="0" xfId="0" applyFont="1" applyAlignment="1">
      <alignment horizontal="left"/>
    </xf>
    <xf numFmtId="49" fontId="28" fillId="0" borderId="0" xfId="0" applyNumberFormat="1" applyFont="1" applyAlignment="1">
      <alignment horizontal="center"/>
    </xf>
    <xf numFmtId="0" fontId="55" fillId="0" borderId="0" xfId="0" applyFont="1" applyAlignment="1">
      <alignment horizontal="center"/>
    </xf>
    <xf numFmtId="168" fontId="30" fillId="0" borderId="0" xfId="0" applyNumberFormat="1" applyFont="1" applyAlignment="1">
      <alignment horizontal="center"/>
    </xf>
    <xf numFmtId="168" fontId="40" fillId="0" borderId="0" xfId="0" applyNumberFormat="1" applyFont="1" applyAlignment="1">
      <alignment horizontal="left" vertical="top" wrapText="1"/>
    </xf>
    <xf numFmtId="0" fontId="57" fillId="0" borderId="3" xfId="0" applyFont="1" applyBorder="1"/>
    <xf numFmtId="168" fontId="0" fillId="0" borderId="0" xfId="0" applyNumberFormat="1" applyAlignment="1">
      <alignment horizontal="center"/>
    </xf>
    <xf numFmtId="0" fontId="41" fillId="0" borderId="0" xfId="0" applyFont="1" applyAlignment="1">
      <alignment vertical="top" wrapText="1"/>
    </xf>
    <xf numFmtId="0" fontId="58" fillId="0" borderId="4" xfId="0" applyFont="1" applyBorder="1" applyAlignment="1">
      <alignment horizontal="right"/>
    </xf>
    <xf numFmtId="0" fontId="65" fillId="0" borderId="0" xfId="0" applyFont="1"/>
    <xf numFmtId="3" fontId="30" fillId="0" borderId="0" xfId="0" applyNumberFormat="1" applyFont="1" applyAlignment="1">
      <alignment horizontal="center"/>
    </xf>
    <xf numFmtId="168" fontId="21" fillId="0" borderId="0" xfId="0" applyNumberFormat="1" applyFont="1" applyAlignment="1">
      <alignment horizontal="left" vertical="top"/>
    </xf>
    <xf numFmtId="168" fontId="30" fillId="0" borderId="0" xfId="0" applyNumberFormat="1" applyFont="1" applyAlignment="1">
      <alignment horizontal="left" vertical="top"/>
    </xf>
    <xf numFmtId="0" fontId="60" fillId="0" borderId="11" xfId="0" applyFont="1" applyBorder="1" applyAlignment="1">
      <alignment horizontal="right" vertical="top"/>
    </xf>
    <xf numFmtId="0" fontId="60" fillId="0" borderId="0" xfId="0" applyFont="1" applyAlignment="1">
      <alignment horizontal="right" vertical="top" wrapText="1"/>
    </xf>
    <xf numFmtId="0" fontId="60" fillId="2" borderId="12" xfId="0" applyFont="1" applyFill="1" applyBorder="1" applyAlignment="1">
      <alignment vertical="top" wrapText="1"/>
    </xf>
    <xf numFmtId="0" fontId="60" fillId="0" borderId="14" xfId="0" applyFont="1" applyBorder="1" applyAlignment="1">
      <alignment vertical="top" wrapText="1"/>
    </xf>
    <xf numFmtId="168" fontId="60" fillId="5" borderId="11" xfId="0" applyNumberFormat="1" applyFont="1" applyFill="1" applyBorder="1" applyAlignment="1" applyProtection="1">
      <alignment vertical="top"/>
      <protection locked="0"/>
    </xf>
    <xf numFmtId="0" fontId="60" fillId="2" borderId="11" xfId="0" applyFont="1" applyFill="1" applyBorder="1" applyAlignment="1" applyProtection="1">
      <alignment vertical="top"/>
      <protection locked="0"/>
    </xf>
    <xf numFmtId="0" fontId="60" fillId="0" borderId="11" xfId="0" applyFont="1" applyBorder="1" applyAlignment="1" applyProtection="1">
      <alignment vertical="top"/>
      <protection locked="0"/>
    </xf>
    <xf numFmtId="168" fontId="60" fillId="0" borderId="11" xfId="0" applyNumberFormat="1" applyFont="1" applyBorder="1" applyAlignment="1">
      <alignment vertical="top"/>
    </xf>
    <xf numFmtId="168" fontId="60" fillId="6" borderId="11" xfId="0" applyNumberFormat="1" applyFont="1" applyFill="1" applyBorder="1" applyAlignment="1">
      <alignment horizontal="center" vertical="top"/>
    </xf>
    <xf numFmtId="0" fontId="28" fillId="0" borderId="0" xfId="542" applyFont="1" applyProtection="1">
      <protection locked="0"/>
    </xf>
    <xf numFmtId="0" fontId="21" fillId="0" borderId="0" xfId="539" applyProtection="1"/>
    <xf numFmtId="0" fontId="41" fillId="8" borderId="0" xfId="539" applyFont="1" applyFill="1" applyAlignment="1" applyProtection="1">
      <alignment horizontal="centerContinuous"/>
    </xf>
    <xf numFmtId="0" fontId="28" fillId="0" borderId="0" xfId="543" applyFont="1"/>
    <xf numFmtId="0" fontId="30" fillId="0" borderId="0" xfId="543" applyFont="1" applyAlignment="1">
      <alignment horizontal="left"/>
    </xf>
    <xf numFmtId="0" fontId="30" fillId="0" borderId="15" xfId="0" applyFont="1" applyBorder="1"/>
    <xf numFmtId="2" fontId="44" fillId="0" borderId="11" xfId="0" applyNumberFormat="1" applyFont="1" applyBorder="1"/>
    <xf numFmtId="0" fontId="21" fillId="0" borderId="0" xfId="0" applyFont="1" applyProtection="1">
      <protection locked="0"/>
    </xf>
    <xf numFmtId="0" fontId="68" fillId="0" borderId="0" xfId="0" applyFont="1" applyAlignment="1">
      <alignment horizontal="center"/>
    </xf>
    <xf numFmtId="0" fontId="30" fillId="0" borderId="0" xfId="271"/>
    <xf numFmtId="0" fontId="28" fillId="0" borderId="0" xfId="271" applyFont="1"/>
    <xf numFmtId="0" fontId="30" fillId="0" borderId="0" xfId="271" applyAlignment="1">
      <alignment horizontal="left"/>
    </xf>
    <xf numFmtId="168" fontId="28" fillId="0" borderId="2" xfId="543" applyNumberFormat="1" applyFont="1" applyBorder="1" applyAlignment="1">
      <alignment horizontal="center" vertical="center"/>
    </xf>
    <xf numFmtId="0" fontId="43" fillId="0" borderId="0" xfId="543" applyFont="1" applyAlignment="1">
      <alignment horizontal="right" vertical="top" wrapText="1"/>
    </xf>
    <xf numFmtId="0" fontId="41" fillId="0" borderId="2" xfId="543" applyFont="1" applyBorder="1" applyAlignment="1">
      <alignment horizontal="right" vertical="top" wrapText="1"/>
    </xf>
    <xf numFmtId="0" fontId="26" fillId="0" borderId="0" xfId="0" applyFont="1"/>
    <xf numFmtId="0" fontId="70" fillId="0" borderId="0" xfId="0" applyFont="1"/>
    <xf numFmtId="0" fontId="68" fillId="0" borderId="0" xfId="0" applyFont="1"/>
    <xf numFmtId="0" fontId="41"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8" fillId="0" borderId="0" xfId="0" applyNumberFormat="1" applyFont="1" applyAlignment="1">
      <alignment horizontal="center"/>
    </xf>
    <xf numFmtId="3" fontId="30" fillId="0" borderId="0" xfId="0" applyNumberFormat="1" applyFont="1"/>
    <xf numFmtId="0" fontId="69" fillId="0" borderId="0" xfId="0" applyFont="1"/>
    <xf numFmtId="168" fontId="26" fillId="0" borderId="0" xfId="0" applyNumberFormat="1" applyFont="1"/>
    <xf numFmtId="10" fontId="26" fillId="0" borderId="0" xfId="0" applyNumberFormat="1" applyFont="1" applyAlignment="1">
      <alignment horizontal="center"/>
    </xf>
    <xf numFmtId="3" fontId="72" fillId="0" borderId="0" xfId="0" applyNumberFormat="1" applyFont="1"/>
    <xf numFmtId="3" fontId="26" fillId="0" borderId="0" xfId="0" applyNumberFormat="1" applyFont="1"/>
    <xf numFmtId="168" fontId="69" fillId="0" borderId="0" xfId="0" applyNumberFormat="1" applyFont="1"/>
    <xf numFmtId="168" fontId="69" fillId="0" borderId="0" xfId="0" applyNumberFormat="1" applyFont="1" applyAlignment="1">
      <alignment horizontal="center"/>
    </xf>
    <xf numFmtId="0" fontId="26" fillId="5" borderId="0" xfId="0" applyFont="1" applyFill="1" applyAlignment="1">
      <alignment horizontal="left"/>
    </xf>
    <xf numFmtId="0" fontId="26" fillId="5" borderId="0" xfId="0" applyFont="1" applyFill="1"/>
    <xf numFmtId="10" fontId="26" fillId="0" borderId="0" xfId="0" applyNumberFormat="1" applyFont="1"/>
    <xf numFmtId="172" fontId="26" fillId="0" borderId="0" xfId="0" applyNumberFormat="1" applyFont="1"/>
    <xf numFmtId="172" fontId="26" fillId="0" borderId="0" xfId="0" applyNumberFormat="1" applyFont="1" applyAlignment="1">
      <alignment horizontal="center"/>
    </xf>
    <xf numFmtId="0" fontId="26" fillId="0" borderId="6" xfId="0" applyFont="1" applyBorder="1"/>
    <xf numFmtId="10" fontId="26" fillId="0" borderId="6" xfId="0" applyNumberFormat="1" applyFont="1" applyBorder="1" applyAlignment="1">
      <alignment horizontal="center"/>
    </xf>
    <xf numFmtId="3" fontId="26" fillId="0" borderId="6" xfId="0" applyNumberFormat="1" applyFont="1" applyBorder="1"/>
    <xf numFmtId="10" fontId="30" fillId="0" borderId="0" xfId="0" applyNumberFormat="1" applyFont="1" applyAlignment="1">
      <alignment horizontal="center"/>
    </xf>
    <xf numFmtId="3" fontId="30" fillId="0" borderId="0" xfId="0" applyNumberFormat="1" applyFont="1" applyAlignment="1">
      <alignment vertical="top"/>
    </xf>
    <xf numFmtId="10" fontId="28" fillId="0" borderId="0" xfId="0" applyNumberFormat="1" applyFont="1" applyAlignment="1">
      <alignment horizontal="center"/>
    </xf>
    <xf numFmtId="0" fontId="68" fillId="0" borderId="6" xfId="0" applyFont="1" applyBorder="1" applyAlignment="1">
      <alignment horizontal="center"/>
    </xf>
    <xf numFmtId="172" fontId="30" fillId="0" borderId="0" xfId="0" applyNumberFormat="1" applyFont="1" applyAlignment="1">
      <alignment horizontal="center"/>
    </xf>
    <xf numFmtId="10" fontId="73" fillId="0" borderId="0" xfId="0" applyNumberFormat="1" applyFont="1" applyAlignment="1">
      <alignment horizontal="center"/>
    </xf>
    <xf numFmtId="0" fontId="30" fillId="9" borderId="6" xfId="0" applyFont="1" applyFill="1" applyBorder="1"/>
    <xf numFmtId="0" fontId="30" fillId="0" borderId="4" xfId="271" applyBorder="1"/>
    <xf numFmtId="0" fontId="30" fillId="0" borderId="6" xfId="271" applyBorder="1"/>
    <xf numFmtId="0" fontId="30" fillId="0" borderId="1" xfId="0" applyFont="1" applyBorder="1"/>
    <xf numFmtId="168" fontId="30" fillId="0" borderId="3" xfId="0" applyNumberFormat="1" applyFont="1" applyBorder="1" applyAlignment="1">
      <alignment vertical="top"/>
    </xf>
    <xf numFmtId="168" fontId="30" fillId="0" borderId="4" xfId="0" applyNumberFormat="1" applyFont="1" applyBorder="1" applyAlignment="1">
      <alignment vertical="top"/>
    </xf>
    <xf numFmtId="168" fontId="30" fillId="0" borderId="5" xfId="0" applyNumberFormat="1" applyFont="1" applyBorder="1" applyAlignment="1">
      <alignment vertical="top"/>
    </xf>
    <xf numFmtId="168" fontId="30" fillId="0" borderId="8" xfId="0" applyNumberFormat="1" applyFont="1" applyBorder="1" applyAlignment="1">
      <alignment vertical="top"/>
    </xf>
    <xf numFmtId="168" fontId="30" fillId="0" borderId="0" xfId="0" applyNumberFormat="1" applyFont="1" applyAlignment="1">
      <alignment vertical="top"/>
    </xf>
    <xf numFmtId="0" fontId="30" fillId="0" borderId="0" xfId="0" applyFont="1" applyAlignment="1">
      <alignment horizontal="right" vertical="top"/>
    </xf>
    <xf numFmtId="0" fontId="30"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30" fillId="5" borderId="4" xfId="0" applyFont="1" applyFill="1" applyBorder="1" applyAlignment="1" applyProtection="1">
      <alignment horizontal="left" vertical="top"/>
      <protection locked="0"/>
    </xf>
    <xf numFmtId="0" fontId="30" fillId="5" borderId="5" xfId="0" applyFont="1" applyFill="1" applyBorder="1" applyAlignment="1" applyProtection="1">
      <alignment horizontal="left" vertical="top"/>
      <protection locked="0"/>
    </xf>
    <xf numFmtId="4" fontId="55" fillId="0" borderId="0" xfId="0" applyNumberFormat="1" applyFont="1" applyAlignment="1">
      <alignment horizontal="center"/>
    </xf>
    <xf numFmtId="0" fontId="40" fillId="0" borderId="1" xfId="543" applyFont="1" applyBorder="1" applyAlignment="1">
      <alignment horizontal="left" vertical="top" wrapText="1"/>
    </xf>
    <xf numFmtId="0" fontId="40" fillId="0" borderId="12" xfId="543" applyFont="1" applyBorder="1" applyAlignment="1">
      <alignment horizontal="center" vertical="top" wrapText="1"/>
    </xf>
    <xf numFmtId="0" fontId="40" fillId="0" borderId="8" xfId="543" applyFont="1" applyBorder="1" applyAlignment="1">
      <alignment horizontal="left" vertical="top" wrapText="1"/>
    </xf>
    <xf numFmtId="0" fontId="35" fillId="3" borderId="4" xfId="271" applyFont="1" applyFill="1" applyBorder="1" applyAlignment="1">
      <alignment vertical="top" wrapText="1"/>
    </xf>
    <xf numFmtId="0" fontId="27" fillId="3" borderId="11" xfId="271" applyFont="1" applyFill="1" applyBorder="1" applyAlignment="1">
      <alignment vertical="top"/>
    </xf>
    <xf numFmtId="0" fontId="28" fillId="0" borderId="9" xfId="271" applyFont="1" applyBorder="1" applyAlignment="1">
      <alignment horizontal="center" wrapText="1"/>
    </xf>
    <xf numFmtId="0" fontId="35" fillId="3" borderId="4" xfId="271" applyFont="1" applyFill="1" applyBorder="1" applyAlignment="1" applyProtection="1">
      <alignment vertical="top" wrapText="1"/>
      <protection locked="0"/>
    </xf>
    <xf numFmtId="0" fontId="35" fillId="3" borderId="5" xfId="271" applyFont="1" applyFill="1" applyBorder="1" applyAlignment="1" applyProtection="1">
      <alignment vertical="top" wrapText="1"/>
      <protection locked="0"/>
    </xf>
    <xf numFmtId="0" fontId="28" fillId="0" borderId="13" xfId="271" applyFont="1" applyBorder="1" applyAlignment="1">
      <alignment horizontal="center" wrapText="1"/>
    </xf>
    <xf numFmtId="0" fontId="53" fillId="2" borderId="11" xfId="271" applyFont="1" applyFill="1" applyBorder="1" applyAlignment="1">
      <alignment horizontal="left" vertical="top" wrapText="1"/>
    </xf>
    <xf numFmtId="0" fontId="30" fillId="0" borderId="11" xfId="271" applyBorder="1" applyAlignment="1" applyProtection="1">
      <alignment vertical="top" wrapText="1"/>
      <protection locked="0"/>
    </xf>
    <xf numFmtId="168" fontId="30" fillId="5" borderId="11" xfId="271" applyNumberFormat="1" applyFill="1" applyBorder="1" applyAlignment="1" applyProtection="1">
      <alignment vertical="top" wrapText="1"/>
      <protection locked="0"/>
    </xf>
    <xf numFmtId="0" fontId="30" fillId="5" borderId="3" xfId="271" applyFill="1" applyBorder="1" applyAlignment="1" applyProtection="1">
      <alignment vertical="top" wrapText="1"/>
      <protection locked="0"/>
    </xf>
    <xf numFmtId="0" fontId="30" fillId="5" borderId="11" xfId="271" applyFill="1" applyBorder="1" applyAlignment="1" applyProtection="1">
      <alignment vertical="top" wrapText="1"/>
      <protection locked="0"/>
    </xf>
    <xf numFmtId="0" fontId="30" fillId="0" borderId="11" xfId="271" applyBorder="1" applyAlignment="1">
      <alignment horizontal="right" vertical="top" wrapText="1"/>
    </xf>
    <xf numFmtId="168" fontId="30" fillId="0" borderId="11" xfId="271" applyNumberFormat="1" applyBorder="1" applyAlignment="1">
      <alignment vertical="top" wrapText="1"/>
    </xf>
    <xf numFmtId="0" fontId="28" fillId="0" borderId="11" xfId="271" applyFont="1" applyBorder="1" applyAlignment="1">
      <alignment horizontal="right" vertical="top" wrapText="1"/>
    </xf>
    <xf numFmtId="0" fontId="30" fillId="5" borderId="11" xfId="271" applyFill="1" applyBorder="1" applyAlignment="1" applyProtection="1">
      <alignment horizontal="right" vertical="top" wrapText="1"/>
      <protection locked="0"/>
    </xf>
    <xf numFmtId="168" fontId="28" fillId="0" borderId="11" xfId="271" applyNumberFormat="1" applyFont="1" applyBorder="1" applyAlignment="1">
      <alignment vertical="top" wrapText="1"/>
    </xf>
    <xf numFmtId="0" fontId="38" fillId="0" borderId="11" xfId="271" applyFont="1" applyBorder="1" applyAlignment="1">
      <alignment horizontal="right" vertical="top" wrapText="1"/>
    </xf>
    <xf numFmtId="0" fontId="35" fillId="0" borderId="0" xfId="271" applyFont="1" applyAlignment="1" applyProtection="1">
      <alignment vertical="top" wrapText="1"/>
      <protection locked="0"/>
    </xf>
    <xf numFmtId="0" fontId="30" fillId="0" borderId="5" xfId="271" applyBorder="1" applyAlignment="1" applyProtection="1">
      <alignment vertical="top" wrapText="1"/>
      <protection locked="0"/>
    </xf>
    <xf numFmtId="0" fontId="28" fillId="0" borderId="3" xfId="271" applyFont="1" applyBorder="1" applyAlignment="1">
      <alignment horizontal="left" vertical="top"/>
    </xf>
    <xf numFmtId="0" fontId="30" fillId="0" borderId="4" xfId="271" applyBorder="1" applyAlignment="1" applyProtection="1">
      <alignment horizontal="left" vertical="top"/>
      <protection locked="0"/>
    </xf>
    <xf numFmtId="0" fontId="30" fillId="0" borderId="4" xfId="271" applyBorder="1" applyAlignment="1" applyProtection="1">
      <alignment vertical="top" wrapText="1"/>
      <protection locked="0"/>
    </xf>
    <xf numFmtId="0" fontId="35" fillId="0" borderId="0" xfId="271" applyFont="1" applyAlignment="1">
      <alignment vertical="top" wrapText="1"/>
    </xf>
    <xf numFmtId="0" fontId="30" fillId="0" borderId="4" xfId="271" applyBorder="1" applyAlignment="1">
      <alignment vertical="top" wrapText="1"/>
    </xf>
    <xf numFmtId="0" fontId="53" fillId="2" borderId="11" xfId="271" applyFont="1" applyFill="1" applyBorder="1" applyAlignment="1" applyProtection="1">
      <alignment horizontal="left" vertical="top" wrapText="1"/>
      <protection locked="0"/>
    </xf>
    <xf numFmtId="0" fontId="57" fillId="0" borderId="11" xfId="0" applyFont="1" applyBorder="1" applyAlignment="1">
      <alignment horizontal="right" vertical="top" wrapText="1"/>
    </xf>
    <xf numFmtId="0" fontId="30" fillId="8" borderId="0" xfId="542" quotePrefix="1" applyFont="1" applyFill="1" applyAlignment="1">
      <alignment horizontal="left"/>
    </xf>
    <xf numFmtId="0" fontId="30" fillId="8" borderId="0" xfId="542" applyFont="1" applyFill="1"/>
    <xf numFmtId="0" fontId="38" fillId="8" borderId="0" xfId="542" applyFont="1" applyFill="1"/>
    <xf numFmtId="0" fontId="57" fillId="0" borderId="11" xfId="271" applyFont="1" applyBorder="1" applyAlignment="1">
      <alignment horizontal="right" vertical="top"/>
    </xf>
    <xf numFmtId="0" fontId="57" fillId="0" borderId="11" xfId="271" applyFont="1" applyBorder="1" applyAlignment="1">
      <alignment horizontal="right" vertical="top" wrapText="1"/>
    </xf>
    <xf numFmtId="0" fontId="30" fillId="0" borderId="0" xfId="271" applyAlignment="1">
      <alignment horizontal="left" vertical="top"/>
    </xf>
    <xf numFmtId="0" fontId="28" fillId="0" borderId="0" xfId="271" applyFont="1" applyAlignment="1">
      <alignment horizontal="right"/>
    </xf>
    <xf numFmtId="0" fontId="29" fillId="0" borderId="0" xfId="271" applyFont="1" applyAlignment="1">
      <alignment horizontal="center"/>
    </xf>
    <xf numFmtId="5" fontId="30" fillId="0" borderId="0" xfId="542" applyNumberFormat="1" applyFont="1"/>
    <xf numFmtId="1" fontId="30" fillId="0" borderId="15" xfId="271" applyNumberFormat="1" applyBorder="1"/>
    <xf numFmtId="1" fontId="30" fillId="0" borderId="14" xfId="271" applyNumberFormat="1" applyBorder="1"/>
    <xf numFmtId="0" fontId="29" fillId="0" borderId="6" xfId="271" applyFont="1" applyBorder="1" applyAlignment="1">
      <alignment horizontal="left"/>
    </xf>
    <xf numFmtId="0" fontId="29" fillId="0" borderId="6" xfId="271" applyFont="1" applyBorder="1" applyAlignment="1">
      <alignment horizontal="right"/>
    </xf>
    <xf numFmtId="165" fontId="30" fillId="0" borderId="0" xfId="271" applyNumberFormat="1"/>
    <xf numFmtId="170" fontId="30" fillId="0" borderId="14" xfId="271" applyNumberFormat="1" applyBorder="1"/>
    <xf numFmtId="1" fontId="28" fillId="0" borderId="11" xfId="271" applyNumberFormat="1" applyFont="1" applyBorder="1"/>
    <xf numFmtId="165" fontId="28" fillId="0" borderId="11" xfId="271" applyNumberFormat="1" applyFont="1" applyBorder="1"/>
    <xf numFmtId="3" fontId="60" fillId="0" borderId="11" xfId="0" applyNumberFormat="1" applyFont="1" applyBorder="1" applyAlignment="1">
      <alignment vertical="top" wrapText="1"/>
    </xf>
    <xf numFmtId="166" fontId="30" fillId="0" borderId="0" xfId="0" applyNumberFormat="1" applyFont="1"/>
    <xf numFmtId="0" fontId="0" fillId="0" borderId="0" xfId="0" applyProtection="1">
      <protection locked="0"/>
    </xf>
    <xf numFmtId="0" fontId="26" fillId="0" borderId="0" xfId="0" applyFont="1" applyProtection="1">
      <protection locked="0"/>
    </xf>
    <xf numFmtId="0" fontId="26" fillId="0" borderId="0" xfId="271" applyFont="1" applyProtection="1">
      <protection locked="0"/>
    </xf>
    <xf numFmtId="168" fontId="26" fillId="0" borderId="0" xfId="271" applyNumberFormat="1" applyFont="1" applyProtection="1">
      <protection locked="0"/>
    </xf>
    <xf numFmtId="0" fontId="34" fillId="0" borderId="1" xfId="0" applyFont="1" applyBorder="1"/>
    <xf numFmtId="0" fontId="21" fillId="0" borderId="2" xfId="0" applyFont="1" applyBorder="1" applyAlignment="1">
      <alignment horizontal="left"/>
    </xf>
    <xf numFmtId="0" fontId="21" fillId="0" borderId="2" xfId="0" applyFont="1" applyBorder="1"/>
    <xf numFmtId="0" fontId="34" fillId="0" borderId="8" xfId="0" applyFont="1" applyBorder="1"/>
    <xf numFmtId="0" fontId="34" fillId="0" borderId="9" xfId="0" applyFont="1" applyBorder="1"/>
    <xf numFmtId="0" fontId="28" fillId="0" borderId="0" xfId="0" applyFont="1" applyAlignment="1">
      <alignment horizontal="left" vertical="top"/>
    </xf>
    <xf numFmtId="0" fontId="78" fillId="0" borderId="0" xfId="0" applyFont="1" applyAlignment="1">
      <alignment vertical="center" wrapText="1"/>
    </xf>
    <xf numFmtId="0" fontId="78" fillId="0" borderId="0" xfId="0" applyFont="1" applyAlignment="1">
      <alignment vertical="center"/>
    </xf>
    <xf numFmtId="0" fontId="78" fillId="0" borderId="0" xfId="0" applyFont="1" applyAlignment="1">
      <alignment horizontal="left" vertical="center" indent="1"/>
    </xf>
    <xf numFmtId="172" fontId="30" fillId="5" borderId="0" xfId="0" applyNumberFormat="1" applyFont="1" applyFill="1" applyAlignment="1">
      <alignment horizontal="center"/>
    </xf>
    <xf numFmtId="0" fontId="79" fillId="0" borderId="0" xfId="0" applyFont="1" applyAlignment="1">
      <alignment horizontal="left" vertical="center"/>
    </xf>
    <xf numFmtId="0" fontId="40" fillId="0" borderId="2" xfId="543" applyFont="1" applyBorder="1" applyAlignment="1">
      <alignment horizontal="center" vertical="top" wrapText="1"/>
    </xf>
    <xf numFmtId="49" fontId="51" fillId="0" borderId="0" xfId="0" applyNumberFormat="1" applyFont="1" applyAlignment="1">
      <alignment horizontal="center"/>
    </xf>
    <xf numFmtId="0" fontId="57" fillId="0" borderId="0" xfId="0" applyFont="1"/>
    <xf numFmtId="5" fontId="83" fillId="0" borderId="11" xfId="541" applyNumberFormat="1" applyFont="1" applyBorder="1" applyAlignment="1" applyProtection="1">
      <alignment horizontal="center"/>
    </xf>
    <xf numFmtId="5" fontId="83" fillId="42" borderId="11" xfId="541" applyNumberFormat="1" applyFont="1" applyFill="1" applyBorder="1" applyAlignment="1" applyProtection="1">
      <alignment horizontal="center"/>
    </xf>
    <xf numFmtId="5" fontId="83" fillId="2" borderId="11" xfId="541" applyNumberFormat="1" applyFont="1" applyFill="1" applyBorder="1" applyAlignment="1" applyProtection="1">
      <alignment horizontal="center"/>
    </xf>
    <xf numFmtId="0" fontId="57" fillId="0" borderId="0" xfId="0" applyFont="1" applyAlignment="1">
      <alignment vertical="top" wrapText="1"/>
    </xf>
    <xf numFmtId="0" fontId="57" fillId="0" borderId="0" xfId="0" applyFont="1" applyAlignment="1">
      <alignment vertical="top"/>
    </xf>
    <xf numFmtId="0" fontId="57" fillId="2" borderId="0" xfId="0" applyFont="1" applyFill="1" applyAlignment="1">
      <alignment vertical="top" wrapText="1"/>
    </xf>
    <xf numFmtId="0" fontId="85" fillId="0" borderId="13" xfId="0" applyFont="1" applyBorder="1" applyAlignment="1">
      <alignment vertical="top" wrapText="1"/>
    </xf>
    <xf numFmtId="0" fontId="35" fillId="0" borderId="0" xfId="0" applyFont="1" applyAlignment="1">
      <alignment vertical="top" wrapText="1"/>
    </xf>
    <xf numFmtId="0" fontId="85" fillId="2" borderId="13" xfId="0" applyFont="1" applyFill="1" applyBorder="1" applyAlignment="1">
      <alignment vertical="top" wrapText="1"/>
    </xf>
    <xf numFmtId="0" fontId="85" fillId="0" borderId="0" xfId="0" applyFont="1" applyAlignment="1">
      <alignment vertical="top" wrapText="1"/>
    </xf>
    <xf numFmtId="0" fontId="85" fillId="2" borderId="0" xfId="0" applyFont="1" applyFill="1" applyAlignment="1">
      <alignment vertical="top" wrapText="1"/>
    </xf>
    <xf numFmtId="0" fontId="57" fillId="0" borderId="0" xfId="0" applyFont="1" applyAlignment="1">
      <alignment horizontal="right" vertical="top" wrapText="1"/>
    </xf>
    <xf numFmtId="168" fontId="57" fillId="5" borderId="6" xfId="0" applyNumberFormat="1" applyFont="1" applyFill="1" applyBorder="1" applyAlignment="1" applyProtection="1">
      <alignment horizontal="right" vertical="top" wrapText="1"/>
      <protection locked="0"/>
    </xf>
    <xf numFmtId="168" fontId="57" fillId="0" borderId="6" xfId="0" applyNumberFormat="1" applyFont="1" applyBorder="1" applyAlignment="1">
      <alignment horizontal="right" vertical="top" wrapText="1"/>
    </xf>
    <xf numFmtId="0" fontId="28" fillId="0" borderId="0" xfId="0" applyFont="1" applyAlignment="1">
      <alignment horizontal="left" vertical="top" wrapText="1"/>
    </xf>
    <xf numFmtId="0" fontId="30" fillId="0" borderId="0" xfId="0" applyFont="1" applyAlignment="1">
      <alignment horizontal="right" vertical="top" wrapText="1"/>
    </xf>
    <xf numFmtId="10" fontId="30" fillId="5" borderId="6" xfId="0" applyNumberFormat="1" applyFont="1" applyFill="1" applyBorder="1" applyAlignment="1" applyProtection="1">
      <alignment horizontal="center" vertical="top" wrapText="1"/>
      <protection locked="0"/>
    </xf>
    <xf numFmtId="0" fontId="68" fillId="0" borderId="0" xfId="0" applyFont="1" applyAlignment="1">
      <alignment horizontal="left" vertical="center"/>
    </xf>
    <xf numFmtId="0" fontId="28" fillId="0" borderId="2" xfId="543" applyFont="1" applyBorder="1" applyAlignment="1">
      <alignment horizontal="center"/>
    </xf>
    <xf numFmtId="0" fontId="0" fillId="0" borderId="0" xfId="543" applyFont="1"/>
    <xf numFmtId="0" fontId="22" fillId="0" borderId="0" xfId="244" quotePrefix="1" applyAlignment="1" applyProtection="1">
      <alignment horizontal="left"/>
    </xf>
    <xf numFmtId="168" fontId="57"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109" fillId="0" borderId="0" xfId="0" applyFont="1" applyAlignment="1">
      <alignment horizontal="left" vertical="top"/>
    </xf>
    <xf numFmtId="0" fontId="110" fillId="0" borderId="0" xfId="0" applyFont="1" applyAlignment="1">
      <alignment horizontal="left" vertical="top"/>
    </xf>
    <xf numFmtId="0" fontId="78" fillId="0" borderId="0" xfId="0" applyFont="1"/>
    <xf numFmtId="0" fontId="28" fillId="8" borderId="11" xfId="542" applyFont="1" applyFill="1" applyBorder="1" applyAlignment="1">
      <alignment horizontal="left"/>
    </xf>
    <xf numFmtId="0" fontId="28" fillId="8" borderId="11" xfId="542" applyFont="1" applyFill="1" applyBorder="1" applyAlignment="1">
      <alignment horizontal="center"/>
    </xf>
    <xf numFmtId="0" fontId="67" fillId="8" borderId="11" xfId="542" applyFont="1" applyFill="1" applyBorder="1" applyAlignment="1">
      <alignment horizontal="left"/>
    </xf>
    <xf numFmtId="0" fontId="67" fillId="0" borderId="11" xfId="542" applyFont="1" applyBorder="1" applyAlignment="1">
      <alignment horizontal="left"/>
    </xf>
    <xf numFmtId="0" fontId="28" fillId="0" borderId="0" xfId="271" applyFont="1" applyAlignment="1" applyProtection="1">
      <alignment horizontal="center" wrapText="1"/>
      <protection locked="0"/>
    </xf>
    <xf numFmtId="0" fontId="30" fillId="0" borderId="0" xfId="271" applyAlignment="1" applyProtection="1">
      <alignment vertical="top" wrapText="1"/>
      <protection locked="0"/>
    </xf>
    <xf numFmtId="0" fontId="28" fillId="0" borderId="0" xfId="271" applyFont="1" applyAlignment="1" applyProtection="1">
      <alignment vertical="top" wrapText="1"/>
      <protection locked="0"/>
    </xf>
    <xf numFmtId="0" fontId="21" fillId="0" borderId="0" xfId="0" applyFont="1" applyAlignment="1">
      <alignment horizontal="center"/>
    </xf>
    <xf numFmtId="0" fontId="35" fillId="0" borderId="8" xfId="569" applyFont="1" applyBorder="1" applyAlignment="1">
      <alignment vertical="top" wrapText="1"/>
    </xf>
    <xf numFmtId="0" fontId="35" fillId="0" borderId="0" xfId="569" applyFont="1" applyAlignment="1">
      <alignment vertical="top" wrapText="1"/>
    </xf>
    <xf numFmtId="0" fontId="59" fillId="2" borderId="11" xfId="569" applyFont="1" applyFill="1" applyBorder="1" applyAlignment="1">
      <alignment horizontal="left" vertical="top" wrapText="1"/>
    </xf>
    <xf numFmtId="6" fontId="57" fillId="4" borderId="11" xfId="569" applyNumberFormat="1" applyFont="1" applyFill="1" applyBorder="1" applyAlignment="1">
      <alignment vertical="top" wrapText="1"/>
    </xf>
    <xf numFmtId="0" fontId="57" fillId="0" borderId="8" xfId="569" applyFont="1" applyBorder="1" applyAlignment="1">
      <alignment vertical="top" wrapText="1"/>
    </xf>
    <xf numFmtId="0" fontId="57" fillId="0" borderId="0" xfId="569" applyFont="1" applyAlignment="1">
      <alignment vertical="top" wrapText="1"/>
    </xf>
    <xf numFmtId="6" fontId="57" fillId="0" borderId="11" xfId="569" applyNumberFormat="1" applyFont="1" applyBorder="1" applyAlignment="1">
      <alignment vertical="top" wrapText="1"/>
    </xf>
    <xf numFmtId="6" fontId="57" fillId="5" borderId="11" xfId="569" applyNumberFormat="1" applyFont="1" applyFill="1" applyBorder="1" applyAlignment="1" applyProtection="1">
      <alignment vertical="top" wrapText="1"/>
      <protection locked="0"/>
    </xf>
    <xf numFmtId="6" fontId="57" fillId="6" borderId="11" xfId="569" applyNumberFormat="1" applyFont="1" applyFill="1" applyBorder="1" applyAlignment="1">
      <alignment horizontal="center" vertical="top" wrapText="1"/>
    </xf>
    <xf numFmtId="0" fontId="57" fillId="0" borderId="11" xfId="569" applyFont="1" applyBorder="1" applyAlignment="1">
      <alignment horizontal="right" vertical="top" wrapText="1"/>
    </xf>
    <xf numFmtId="0" fontId="58" fillId="0" borderId="11" xfId="569" applyFont="1" applyBorder="1" applyAlignment="1">
      <alignment horizontal="right" vertical="top" wrapText="1"/>
    </xf>
    <xf numFmtId="0" fontId="57" fillId="0" borderId="11" xfId="569" applyFont="1" applyBorder="1" applyAlignment="1">
      <alignment horizontal="right" vertical="top"/>
    </xf>
    <xf numFmtId="6" fontId="58" fillId="0" borderId="11" xfId="569" applyNumberFormat="1" applyFont="1" applyBorder="1" applyAlignment="1">
      <alignment vertical="top" wrapText="1"/>
    </xf>
    <xf numFmtId="0" fontId="58" fillId="0" borderId="8" xfId="569" applyFont="1" applyBorder="1" applyAlignment="1">
      <alignment vertical="top" wrapText="1"/>
    </xf>
    <xf numFmtId="0" fontId="58" fillId="0" borderId="0" xfId="569" applyFont="1" applyAlignment="1">
      <alignment vertical="top" wrapText="1"/>
    </xf>
    <xf numFmtId="0" fontId="24" fillId="0" borderId="11" xfId="569" applyFont="1" applyBorder="1" applyAlignment="1">
      <alignment horizontal="right" vertical="top" wrapText="1"/>
    </xf>
    <xf numFmtId="0" fontId="58" fillId="0" borderId="0" xfId="569" applyFont="1" applyAlignment="1">
      <alignment horizontal="left" vertical="top"/>
    </xf>
    <xf numFmtId="6" fontId="57" fillId="0" borderId="0" xfId="569" applyNumberFormat="1" applyFont="1" applyAlignment="1">
      <alignment horizontal="left" vertical="top"/>
    </xf>
    <xf numFmtId="0" fontId="110" fillId="0" borderId="0" xfId="569" applyFont="1" applyAlignment="1">
      <alignment horizontal="left" vertical="top"/>
    </xf>
    <xf numFmtId="6" fontId="57" fillId="0" borderId="0" xfId="569" applyNumberFormat="1" applyFont="1" applyAlignment="1">
      <alignment vertical="top" wrapText="1"/>
    </xf>
    <xf numFmtId="0" fontId="57" fillId="0" borderId="0" xfId="569" applyFont="1" applyAlignment="1">
      <alignment horizontal="left" vertical="top"/>
    </xf>
    <xf numFmtId="0" fontId="57" fillId="0" borderId="12" xfId="569" applyFont="1" applyBorder="1" applyAlignment="1">
      <alignment vertical="top" wrapText="1"/>
    </xf>
    <xf numFmtId="0" fontId="28" fillId="0" borderId="0" xfId="569" applyFont="1" applyAlignment="1">
      <alignment horizontal="left" vertical="top"/>
    </xf>
    <xf numFmtId="0" fontId="113" fillId="0" borderId="0" xfId="569" applyFont="1" applyAlignment="1">
      <alignment horizontal="left" vertical="top"/>
    </xf>
    <xf numFmtId="0" fontId="68" fillId="0" borderId="0" xfId="569" applyFont="1" applyAlignment="1">
      <alignment horizontal="left" vertical="center"/>
    </xf>
    <xf numFmtId="0" fontId="36" fillId="0" borderId="0" xfId="569" applyFont="1" applyAlignment="1">
      <alignment vertical="top" wrapText="1"/>
    </xf>
    <xf numFmtId="0" fontId="36" fillId="0" borderId="12" xfId="569" applyFont="1" applyBorder="1" applyAlignment="1">
      <alignment vertical="top" wrapText="1"/>
    </xf>
    <xf numFmtId="0" fontId="36" fillId="0" borderId="8" xfId="569" applyFont="1" applyBorder="1" applyAlignment="1">
      <alignment vertical="top" wrapText="1"/>
    </xf>
    <xf numFmtId="0" fontId="57" fillId="0" borderId="0" xfId="569" applyFont="1" applyAlignment="1">
      <alignment vertical="top"/>
    </xf>
    <xf numFmtId="168" fontId="57" fillId="0" borderId="0" xfId="569" applyNumberFormat="1" applyFont="1" applyAlignment="1" applyProtection="1">
      <alignment horizontal="right" vertical="top" wrapText="1"/>
      <protection locked="0"/>
    </xf>
    <xf numFmtId="0" fontId="21" fillId="0" borderId="0" xfId="569" applyAlignment="1">
      <alignment vertical="top" wrapText="1"/>
    </xf>
    <xf numFmtId="0" fontId="21" fillId="0" borderId="0" xfId="569" applyAlignment="1">
      <alignment vertical="top"/>
    </xf>
    <xf numFmtId="0" fontId="57" fillId="0" borderId="0" xfId="569" applyFont="1" applyAlignment="1">
      <alignment horizontal="right" vertical="top" wrapText="1"/>
    </xf>
    <xf numFmtId="0" fontId="28" fillId="0" borderId="0" xfId="569" applyFont="1" applyAlignment="1">
      <alignment horizontal="left" vertical="top" wrapText="1"/>
    </xf>
    <xf numFmtId="168" fontId="57" fillId="0" borderId="0" xfId="569" applyNumberFormat="1" applyFont="1" applyAlignment="1">
      <alignment horizontal="right" vertical="top" wrapText="1"/>
    </xf>
    <xf numFmtId="0" fontId="21" fillId="0" borderId="0" xfId="569" applyAlignment="1" applyProtection="1">
      <alignment horizontal="left" vertical="top" wrapText="1"/>
      <protection locked="0"/>
    </xf>
    <xf numFmtId="0" fontId="21" fillId="0" borderId="0" xfId="569" applyAlignment="1">
      <alignment horizontal="right" vertical="top" wrapText="1"/>
    </xf>
    <xf numFmtId="0" fontId="21" fillId="0" borderId="0" xfId="569" applyAlignment="1">
      <alignment horizontal="left" vertical="top"/>
    </xf>
    <xf numFmtId="0" fontId="85" fillId="0" borderId="0" xfId="569" applyFont="1" applyAlignment="1">
      <alignment vertical="top" wrapText="1"/>
    </xf>
    <xf numFmtId="0" fontId="85" fillId="0" borderId="12" xfId="569" applyFont="1" applyBorder="1" applyAlignment="1">
      <alignment vertical="top" wrapText="1"/>
    </xf>
    <xf numFmtId="0" fontId="85" fillId="0" borderId="8" xfId="569" applyFont="1" applyBorder="1" applyAlignment="1">
      <alignment vertical="top" wrapText="1"/>
    </xf>
    <xf numFmtId="0" fontId="35" fillId="0" borderId="0" xfId="569" applyFont="1" applyAlignment="1">
      <alignment horizontal="right" vertical="top" wrapText="1"/>
    </xf>
    <xf numFmtId="0" fontId="85" fillId="0" borderId="0" xfId="569" applyFont="1" applyAlignment="1">
      <alignment horizontal="right" vertical="top" wrapText="1"/>
    </xf>
    <xf numFmtId="0" fontId="58" fillId="0" borderId="3" xfId="569" applyFont="1" applyBorder="1" applyAlignment="1">
      <alignment horizontal="left"/>
    </xf>
    <xf numFmtId="0" fontId="58" fillId="0" borderId="13" xfId="569" applyFont="1" applyBorder="1" applyAlignment="1">
      <alignment horizontal="center" wrapText="1"/>
    </xf>
    <xf numFmtId="0" fontId="58" fillId="0" borderId="8" xfId="569" applyFont="1" applyBorder="1" applyAlignment="1">
      <alignment horizontal="center" wrapText="1"/>
    </xf>
    <xf numFmtId="0" fontId="58" fillId="0" borderId="0" xfId="569" applyFont="1" applyAlignment="1">
      <alignment horizontal="center" wrapText="1"/>
    </xf>
    <xf numFmtId="0" fontId="21" fillId="0" borderId="0" xfId="569"/>
    <xf numFmtId="0" fontId="27" fillId="0" borderId="0" xfId="569" applyFont="1" applyAlignment="1">
      <alignment horizontal="center" vertical="center"/>
    </xf>
    <xf numFmtId="0" fontId="28" fillId="0" borderId="0" xfId="569" applyFont="1"/>
    <xf numFmtId="0" fontId="21" fillId="0" borderId="1" xfId="569" applyBorder="1"/>
    <xf numFmtId="0" fontId="21" fillId="0" borderId="2" xfId="569" applyBorder="1"/>
    <xf numFmtId="0" fontId="21" fillId="0" borderId="8" xfId="569" applyBorder="1"/>
    <xf numFmtId="0" fontId="21" fillId="0" borderId="9" xfId="569" applyBorder="1"/>
    <xf numFmtId="0" fontId="21" fillId="0" borderId="6" xfId="569" applyBorder="1"/>
    <xf numFmtId="0" fontId="29" fillId="0" borderId="0" xfId="569" applyFont="1"/>
    <xf numFmtId="0" fontId="21" fillId="0" borderId="7" xfId="569" applyBorder="1"/>
    <xf numFmtId="0" fontId="21" fillId="0" borderId="12" xfId="569" applyBorder="1"/>
    <xf numFmtId="0" fontId="21" fillId="0" borderId="10" xfId="569" applyBorder="1"/>
    <xf numFmtId="0" fontId="29" fillId="0" borderId="0" xfId="569" applyFont="1" applyAlignment="1">
      <alignment vertical="top" wrapText="1"/>
    </xf>
    <xf numFmtId="0" fontId="21" fillId="0" borderId="0" xfId="569" applyAlignment="1">
      <alignment horizontal="right"/>
    </xf>
    <xf numFmtId="0" fontId="21" fillId="0" borderId="0" xfId="569" applyAlignment="1">
      <alignment wrapText="1"/>
    </xf>
    <xf numFmtId="0" fontId="21" fillId="0" borderId="0" xfId="569" applyAlignment="1">
      <alignment vertical="center"/>
    </xf>
    <xf numFmtId="0" fontId="45" fillId="0" borderId="0" xfId="569" applyFont="1" applyAlignment="1">
      <alignment vertical="center" wrapText="1"/>
    </xf>
    <xf numFmtId="0" fontId="39" fillId="0" borderId="0" xfId="569" applyFont="1" applyAlignment="1">
      <alignment vertical="top" wrapText="1"/>
    </xf>
    <xf numFmtId="0" fontId="28" fillId="0" borderId="0" xfId="569" applyFont="1" applyAlignment="1">
      <alignment vertical="top" wrapText="1"/>
    </xf>
    <xf numFmtId="0" fontId="29" fillId="0" borderId="0" xfId="569" applyFont="1" applyAlignment="1">
      <alignment horizontal="left" vertical="top" wrapText="1"/>
    </xf>
    <xf numFmtId="164" fontId="21" fillId="0" borderId="0" xfId="569" applyNumberFormat="1" applyAlignment="1">
      <alignment horizontal="right"/>
    </xf>
    <xf numFmtId="168" fontId="21" fillId="0" borderId="0" xfId="569" applyNumberFormat="1" applyAlignment="1">
      <alignment horizontal="right"/>
    </xf>
    <xf numFmtId="0" fontId="111" fillId="0" borderId="0" xfId="569" applyFont="1" applyAlignment="1">
      <alignment horizontal="left" vertical="top" wrapText="1"/>
    </xf>
    <xf numFmtId="168" fontId="21" fillId="0" borderId="0" xfId="569" applyNumberFormat="1" applyAlignment="1">
      <alignment wrapText="1"/>
    </xf>
    <xf numFmtId="0" fontId="26" fillId="0" borderId="11" xfId="253" applyFont="1" applyBorder="1" applyAlignment="1">
      <alignment horizontal="center" wrapText="1"/>
    </xf>
    <xf numFmtId="0" fontId="26" fillId="0" borderId="0" xfId="253" applyFont="1" applyAlignment="1">
      <alignment horizontal="center" wrapText="1"/>
    </xf>
    <xf numFmtId="3" fontId="26" fillId="0" borderId="11" xfId="271" applyNumberFormat="1" applyFont="1" applyBorder="1"/>
    <xf numFmtId="3" fontId="26" fillId="0" borderId="0" xfId="271" applyNumberFormat="1" applyFont="1"/>
    <xf numFmtId="0" fontId="69" fillId="0" borderId="0" xfId="271" applyFont="1" applyAlignment="1">
      <alignment horizontal="left"/>
    </xf>
    <xf numFmtId="0" fontId="69" fillId="0" borderId="0" xfId="271" applyFont="1" applyAlignment="1">
      <alignment horizontal="right"/>
    </xf>
    <xf numFmtId="168" fontId="26" fillId="0" borderId="11" xfId="271" applyNumberFormat="1" applyFont="1" applyBorder="1"/>
    <xf numFmtId="168" fontId="26" fillId="0" borderId="0" xfId="271" applyNumberFormat="1" applyFont="1"/>
    <xf numFmtId="0" fontId="57" fillId="0" borderId="0" xfId="569" applyFont="1" applyAlignment="1">
      <alignment horizontal="left"/>
    </xf>
    <xf numFmtId="0" fontId="21" fillId="0" borderId="3" xfId="569" applyBorder="1"/>
    <xf numFmtId="0" fontId="112" fillId="0" borderId="0" xfId="1834"/>
    <xf numFmtId="0" fontId="0" fillId="0" borderId="0" xfId="0" applyAlignment="1">
      <alignment horizontal="left" vertical="top"/>
    </xf>
    <xf numFmtId="0" fontId="111" fillId="0" borderId="0" xfId="0" applyFont="1" applyAlignment="1">
      <alignment vertical="top" wrapText="1"/>
    </xf>
    <xf numFmtId="0" fontId="57" fillId="0" borderId="0" xfId="271" applyFont="1" applyAlignment="1">
      <alignment vertical="top" wrapText="1"/>
    </xf>
    <xf numFmtId="4" fontId="21" fillId="0" borderId="0" xfId="1192" applyNumberFormat="1" applyAlignment="1">
      <alignment horizontal="left" vertical="top" wrapText="1"/>
    </xf>
    <xf numFmtId="0" fontId="21" fillId="0" borderId="0" xfId="0" applyFont="1" applyAlignment="1">
      <alignment horizontal="left" vertical="top" wrapText="1"/>
    </xf>
    <xf numFmtId="0" fontId="28" fillId="0" borderId="12" xfId="543" applyFont="1" applyBorder="1" applyAlignment="1">
      <alignment horizontal="right"/>
    </xf>
    <xf numFmtId="0" fontId="40" fillId="0" borderId="0" xfId="543" applyFont="1" applyAlignment="1">
      <alignment horizontal="center"/>
    </xf>
    <xf numFmtId="4" fontId="21" fillId="0" borderId="0" xfId="569" applyNumberFormat="1" applyAlignment="1">
      <alignment horizontal="left"/>
    </xf>
    <xf numFmtId="0" fontId="21" fillId="0" borderId="0" xfId="569" applyAlignment="1">
      <alignment horizontal="left" vertical="top" wrapText="1"/>
    </xf>
    <xf numFmtId="0" fontId="21" fillId="0" borderId="0" xfId="569" applyAlignment="1">
      <alignment horizontal="left"/>
    </xf>
    <xf numFmtId="0" fontId="21" fillId="0" borderId="0" xfId="1192" applyAlignment="1">
      <alignment horizontal="left"/>
    </xf>
    <xf numFmtId="0" fontId="28" fillId="0" borderId="0" xfId="569" applyFont="1" applyAlignment="1">
      <alignment horizontal="left"/>
    </xf>
    <xf numFmtId="0" fontId="50" fillId="0" borderId="0" xfId="1192" applyFont="1"/>
    <xf numFmtId="0" fontId="57" fillId="0" borderId="11" xfId="0" applyFont="1" applyBorder="1" applyAlignment="1">
      <alignment horizontal="right" vertical="center"/>
    </xf>
    <xf numFmtId="0" fontId="21" fillId="0" borderId="0" xfId="1192" applyAlignment="1">
      <alignment horizontal="left" vertical="top" wrapText="1"/>
    </xf>
    <xf numFmtId="0" fontId="50" fillId="0" borderId="0" xfId="0" applyFont="1" applyAlignment="1">
      <alignment vertical="top" wrapText="1"/>
    </xf>
    <xf numFmtId="0" fontId="50" fillId="0" borderId="0" xfId="0" applyFont="1" applyAlignment="1">
      <alignment horizontal="left" vertical="top" wrapText="1"/>
    </xf>
    <xf numFmtId="6" fontId="58" fillId="0" borderId="0" xfId="569" applyNumberFormat="1" applyFont="1" applyAlignment="1">
      <alignment horizontal="right" vertical="top"/>
    </xf>
    <xf numFmtId="0" fontId="21" fillId="0" borderId="0" xfId="0" applyFont="1" applyAlignment="1">
      <alignment vertical="top" wrapText="1"/>
    </xf>
    <xf numFmtId="168" fontId="30" fillId="0" borderId="0" xfId="0" applyNumberFormat="1" applyFont="1" applyAlignment="1">
      <alignment horizontal="right"/>
    </xf>
    <xf numFmtId="168" fontId="30" fillId="0" borderId="28" xfId="540" applyNumberFormat="1" applyBorder="1" applyAlignment="1" applyProtection="1">
      <alignment horizontal="center"/>
    </xf>
    <xf numFmtId="168" fontId="30" fillId="0" borderId="29" xfId="540" applyNumberFormat="1" applyBorder="1" applyAlignment="1" applyProtection="1">
      <alignment horizontal="center"/>
    </xf>
    <xf numFmtId="168" fontId="30" fillId="0" borderId="30" xfId="540" applyNumberFormat="1" applyBorder="1" applyAlignment="1" applyProtection="1">
      <alignment horizontal="center"/>
    </xf>
    <xf numFmtId="168" fontId="30" fillId="0" borderId="31" xfId="540" applyNumberFormat="1" applyBorder="1" applyAlignment="1" applyProtection="1">
      <alignment horizontal="center"/>
    </xf>
    <xf numFmtId="168" fontId="30" fillId="0" borderId="32" xfId="540" applyNumberFormat="1" applyBorder="1" applyAlignment="1" applyProtection="1">
      <alignment horizontal="center"/>
    </xf>
    <xf numFmtId="168" fontId="30" fillId="0" borderId="33" xfId="540" applyNumberFormat="1" applyBorder="1" applyAlignment="1" applyProtection="1">
      <alignment horizontal="center"/>
    </xf>
    <xf numFmtId="168" fontId="30" fillId="0" borderId="34" xfId="540" applyNumberFormat="1" applyBorder="1" applyAlignment="1" applyProtection="1">
      <alignment horizontal="center"/>
    </xf>
    <xf numFmtId="168" fontId="30" fillId="0" borderId="35" xfId="540" applyNumberFormat="1" applyBorder="1" applyAlignment="1" applyProtection="1">
      <alignment horizontal="center"/>
    </xf>
    <xf numFmtId="168" fontId="30" fillId="0" borderId="36" xfId="540" applyNumberFormat="1" applyBorder="1" applyAlignment="1" applyProtection="1">
      <alignment horizontal="center"/>
    </xf>
    <xf numFmtId="168" fontId="30" fillId="0" borderId="37" xfId="540" applyNumberFormat="1" applyBorder="1" applyAlignment="1" applyProtection="1">
      <alignment horizontal="center"/>
    </xf>
    <xf numFmtId="168" fontId="30" fillId="0" borderId="38" xfId="540" applyNumberFormat="1" applyBorder="1" applyAlignment="1" applyProtection="1">
      <alignment horizontal="center"/>
    </xf>
    <xf numFmtId="168" fontId="30" fillId="0" borderId="39" xfId="540" applyNumberFormat="1" applyBorder="1" applyAlignment="1" applyProtection="1">
      <alignment horizontal="center"/>
    </xf>
    <xf numFmtId="168" fontId="30" fillId="0" borderId="40" xfId="540" applyNumberFormat="1" applyBorder="1" applyAlignment="1" applyProtection="1">
      <alignment horizontal="center"/>
    </xf>
    <xf numFmtId="168" fontId="30" fillId="0" borderId="0" xfId="540" applyNumberFormat="1" applyAlignment="1" applyProtection="1">
      <alignment horizontal="center"/>
    </xf>
    <xf numFmtId="168" fontId="30" fillId="0" borderId="14" xfId="540" applyNumberFormat="1" applyBorder="1" applyAlignment="1" applyProtection="1">
      <alignment horizontal="center"/>
    </xf>
    <xf numFmtId="168" fontId="30" fillId="0" borderId="41" xfId="540" applyNumberFormat="1" applyBorder="1" applyAlignment="1" applyProtection="1">
      <alignment horizontal="center"/>
    </xf>
    <xf numFmtId="168" fontId="30" fillId="0" borderId="42" xfId="540" applyNumberFormat="1" applyBorder="1" applyAlignment="1" applyProtection="1">
      <alignment horizontal="center"/>
    </xf>
    <xf numFmtId="168" fontId="30" fillId="0" borderId="43" xfId="540" applyNumberFormat="1" applyBorder="1" applyAlignment="1" applyProtection="1">
      <alignment horizontal="center"/>
    </xf>
    <xf numFmtId="168" fontId="30" fillId="0" borderId="44" xfId="540" applyNumberFormat="1" applyBorder="1" applyAlignment="1" applyProtection="1">
      <alignment horizontal="center"/>
    </xf>
    <xf numFmtId="0" fontId="21" fillId="0" borderId="0" xfId="1192"/>
    <xf numFmtId="0" fontId="21" fillId="0" borderId="0" xfId="0" applyFont="1" applyAlignment="1">
      <alignment wrapText="1"/>
    </xf>
    <xf numFmtId="0" fontId="50" fillId="0" borderId="0" xfId="0" applyFont="1" applyAlignment="1">
      <alignment horizontal="left" vertical="top"/>
    </xf>
    <xf numFmtId="0" fontId="50" fillId="0" borderId="0" xfId="0" applyFont="1" applyAlignment="1">
      <alignment vertical="top"/>
    </xf>
    <xf numFmtId="0" fontId="21" fillId="0" borderId="0" xfId="569" applyAlignment="1">
      <alignment horizontal="center"/>
    </xf>
    <xf numFmtId="0" fontId="39" fillId="0" borderId="0" xfId="569" applyFont="1" applyAlignment="1">
      <alignment horizontal="left"/>
    </xf>
    <xf numFmtId="0" fontId="39" fillId="0" borderId="0" xfId="569" applyFont="1" applyAlignment="1">
      <alignment horizontal="center"/>
    </xf>
    <xf numFmtId="49" fontId="28" fillId="0" borderId="0" xfId="569" applyNumberFormat="1" applyFont="1" applyAlignment="1">
      <alignment horizontal="center"/>
    </xf>
    <xf numFmtId="0" fontId="55" fillId="0" borderId="0" xfId="569" applyFont="1" applyAlignment="1">
      <alignment horizontal="center"/>
    </xf>
    <xf numFmtId="0" fontId="21" fillId="5" borderId="6" xfId="569" applyFill="1" applyBorder="1" applyProtection="1">
      <protection locked="0"/>
    </xf>
    <xf numFmtId="0" fontId="22" fillId="0" borderId="0" xfId="244" applyAlignment="1" applyProtection="1">
      <alignment horizontal="center"/>
    </xf>
    <xf numFmtId="49" fontId="21" fillId="0" borderId="0" xfId="569" applyNumberFormat="1" applyAlignment="1">
      <alignment horizontal="center"/>
    </xf>
    <xf numFmtId="0" fontId="21" fillId="0" borderId="0" xfId="569" applyAlignment="1">
      <alignment horizontal="center" vertical="center"/>
    </xf>
    <xf numFmtId="0" fontId="21" fillId="0" borderId="0" xfId="1192" applyAlignment="1">
      <alignment horizontal="center"/>
    </xf>
    <xf numFmtId="0" fontId="28" fillId="0" borderId="0" xfId="569" applyFont="1" applyAlignment="1">
      <alignment horizontal="center"/>
    </xf>
    <xf numFmtId="0" fontId="21" fillId="0" borderId="0" xfId="569" applyAlignment="1">
      <alignment horizontal="left" indent="4"/>
    </xf>
    <xf numFmtId="0" fontId="21" fillId="0" borderId="0" xfId="569" quotePrefix="1" applyAlignment="1">
      <alignment horizontal="left"/>
    </xf>
    <xf numFmtId="0" fontId="39" fillId="0" borderId="0" xfId="569" applyFont="1"/>
    <xf numFmtId="0" fontId="21" fillId="0" borderId="0" xfId="1192" applyAlignment="1" applyProtection="1">
      <alignment horizontal="left"/>
      <protection locked="0"/>
    </xf>
    <xf numFmtId="0" fontId="21" fillId="0" borderId="0" xfId="569" applyAlignment="1" applyProtection="1">
      <alignment horizontal="left"/>
      <protection locked="0"/>
    </xf>
    <xf numFmtId="49" fontId="21" fillId="0" borderId="0" xfId="1192" applyNumberFormat="1" applyAlignment="1">
      <alignment horizontal="center"/>
    </xf>
    <xf numFmtId="0" fontId="55" fillId="0" borderId="0" xfId="1192" applyFont="1" applyAlignment="1">
      <alignment horizontal="center"/>
    </xf>
    <xf numFmtId="0" fontId="28" fillId="0" borderId="0" xfId="1192" applyFont="1" applyAlignment="1">
      <alignment horizontal="left"/>
    </xf>
    <xf numFmtId="4" fontId="21" fillId="0" borderId="0" xfId="1192" applyNumberFormat="1" applyAlignment="1">
      <alignment horizontal="left"/>
    </xf>
    <xf numFmtId="0" fontId="28" fillId="0" borderId="0" xfId="569" quotePrefix="1" applyFont="1" applyAlignment="1">
      <alignment horizontal="center"/>
    </xf>
    <xf numFmtId="49" fontId="21" fillId="0" borderId="0" xfId="569" applyNumberFormat="1"/>
    <xf numFmtId="0" fontId="53" fillId="0" borderId="0" xfId="569" applyFont="1" applyAlignment="1">
      <alignment horizontal="left"/>
    </xf>
    <xf numFmtId="4" fontId="55" fillId="0" borderId="0" xfId="569" applyNumberFormat="1" applyFont="1" applyAlignment="1">
      <alignment horizontal="center"/>
    </xf>
    <xf numFmtId="4" fontId="21" fillId="0" borderId="0" xfId="569" applyNumberFormat="1" applyAlignment="1">
      <alignment horizontal="center"/>
    </xf>
    <xf numFmtId="4" fontId="21" fillId="0" borderId="0" xfId="569" applyNumberFormat="1"/>
    <xf numFmtId="0" fontId="51" fillId="0" borderId="0" xfId="569" applyFont="1" applyAlignment="1">
      <alignment horizontal="left"/>
    </xf>
    <xf numFmtId="0" fontId="22" fillId="0" borderId="0" xfId="244" applyNumberFormat="1" applyFill="1" applyAlignment="1" applyProtection="1">
      <alignment horizontal="left"/>
      <protection locked="0"/>
    </xf>
    <xf numFmtId="0" fontId="57" fillId="0" borderId="11" xfId="0" applyFont="1" applyBorder="1" applyAlignment="1" applyProtection="1">
      <alignment horizontal="right" vertical="top" wrapText="1"/>
      <protection locked="0"/>
    </xf>
    <xf numFmtId="168" fontId="60" fillId="44" borderId="11" xfId="0" applyNumberFormat="1" applyFont="1" applyFill="1" applyBorder="1" applyAlignment="1">
      <alignment vertical="top" wrapText="1"/>
    </xf>
    <xf numFmtId="0" fontId="21" fillId="0" borderId="11" xfId="271" applyFont="1" applyBorder="1" applyAlignment="1">
      <alignment horizontal="right" vertical="top" wrapText="1"/>
    </xf>
    <xf numFmtId="0" fontId="29" fillId="0" borderId="0" xfId="569" applyFont="1" applyAlignment="1">
      <alignment horizontal="left"/>
    </xf>
    <xf numFmtId="0" fontId="109" fillId="0" borderId="0" xfId="0" applyFont="1"/>
    <xf numFmtId="0" fontId="120" fillId="0" borderId="0" xfId="0" applyFont="1" applyAlignment="1">
      <alignment horizontal="left" vertical="top"/>
    </xf>
    <xf numFmtId="0" fontId="121" fillId="0" borderId="0" xfId="0" applyFont="1" applyAlignment="1">
      <alignment horizontal="left" vertical="top"/>
    </xf>
    <xf numFmtId="168" fontId="29" fillId="0" borderId="0" xfId="0" applyNumberFormat="1" applyFont="1" applyAlignment="1">
      <alignment horizontal="left" vertical="top" wrapText="1"/>
    </xf>
    <xf numFmtId="168" fontId="57" fillId="5" borderId="11" xfId="0" applyNumberFormat="1" applyFont="1" applyFill="1" applyBorder="1" applyAlignment="1">
      <alignment vertical="top" wrapText="1"/>
    </xf>
    <xf numFmtId="0" fontId="21" fillId="0" borderId="0" xfId="271" applyFont="1" applyAlignment="1">
      <alignment horizontal="left" vertical="top"/>
    </xf>
    <xf numFmtId="0" fontId="57" fillId="0" borderId="0" xfId="569" applyFont="1"/>
    <xf numFmtId="0" fontId="21" fillId="0" borderId="0" xfId="0" applyFont="1" applyAlignment="1">
      <alignment horizontal="left" vertical="top"/>
    </xf>
    <xf numFmtId="4" fontId="21" fillId="0" borderId="0" xfId="1192" applyNumberFormat="1" applyAlignment="1">
      <alignment vertical="top" wrapText="1"/>
    </xf>
    <xf numFmtId="0" fontId="28" fillId="0" borderId="16" xfId="271" applyFont="1" applyBorder="1"/>
    <xf numFmtId="0" fontId="64" fillId="0" borderId="0" xfId="569" applyFont="1"/>
    <xf numFmtId="0" fontId="45" fillId="0" borderId="0" xfId="569" applyFont="1"/>
    <xf numFmtId="0" fontId="21" fillId="0" borderId="0" xfId="1192" applyAlignment="1">
      <alignment vertical="top" wrapText="1"/>
    </xf>
    <xf numFmtId="49" fontId="21" fillId="0" borderId="0" xfId="1192" applyNumberFormat="1" applyAlignment="1">
      <alignment vertical="top" wrapText="1"/>
    </xf>
    <xf numFmtId="0" fontId="59" fillId="0" borderId="9" xfId="543" applyFont="1" applyBorder="1" applyAlignment="1">
      <alignment vertical="top"/>
    </xf>
    <xf numFmtId="0" fontId="21" fillId="0" borderId="0" xfId="0" applyFont="1" applyAlignment="1">
      <alignment vertical="center"/>
    </xf>
    <xf numFmtId="0" fontId="122" fillId="0" borderId="0" xfId="0" applyFont="1"/>
    <xf numFmtId="3" fontId="109" fillId="0" borderId="0" xfId="0" applyNumberFormat="1" applyFont="1"/>
    <xf numFmtId="0" fontId="109" fillId="0" borderId="0" xfId="0" applyFont="1" applyAlignment="1">
      <alignment horizontal="left"/>
    </xf>
    <xf numFmtId="168" fontId="123" fillId="0" borderId="0" xfId="0" applyNumberFormat="1" applyFont="1" applyAlignment="1">
      <alignment horizontal="left" vertical="top"/>
    </xf>
    <xf numFmtId="0" fontId="109" fillId="0" borderId="0" xfId="0" applyFont="1" applyAlignment="1">
      <alignment horizontal="left" vertical="center"/>
    </xf>
    <xf numFmtId="0" fontId="125" fillId="0" borderId="0" xfId="0" applyFont="1"/>
    <xf numFmtId="172" fontId="21" fillId="0" borderId="8" xfId="543" applyNumberFormat="1" applyBorder="1"/>
    <xf numFmtId="0" fontId="21" fillId="0" borderId="8" xfId="4495" applyFont="1" applyBorder="1"/>
    <xf numFmtId="0" fontId="21" fillId="0" borderId="0" xfId="4495" applyFont="1"/>
    <xf numFmtId="0" fontId="27" fillId="0" borderId="0" xfId="4495" applyFont="1" applyAlignment="1">
      <alignment horizontal="center" vertical="center"/>
    </xf>
    <xf numFmtId="0" fontId="28" fillId="0" borderId="0" xfId="4495" applyFont="1" applyAlignment="1">
      <alignment horizontal="left"/>
    </xf>
    <xf numFmtId="0" fontId="28" fillId="0" borderId="0" xfId="4495" applyFont="1"/>
    <xf numFmtId="0" fontId="31" fillId="0" borderId="0" xfId="4495" applyFont="1" applyAlignment="1">
      <alignment horizontal="center" vertical="center"/>
    </xf>
    <xf numFmtId="0" fontId="31" fillId="0" borderId="27" xfId="4495" applyFont="1" applyBorder="1" applyAlignment="1">
      <alignment horizontal="center" vertical="center"/>
    </xf>
    <xf numFmtId="0" fontId="31" fillId="0" borderId="46" xfId="4495" applyFont="1" applyBorder="1" applyAlignment="1">
      <alignment horizontal="center" vertical="center"/>
    </xf>
    <xf numFmtId="0" fontId="28" fillId="0" borderId="0" xfId="4495" applyFont="1" applyAlignment="1">
      <alignment horizontal="right"/>
    </xf>
    <xf numFmtId="0" fontId="21" fillId="0" borderId="0" xfId="1192" quotePrefix="1" applyAlignment="1">
      <alignment horizontal="center"/>
    </xf>
    <xf numFmtId="0" fontId="51" fillId="0" borderId="0" xfId="4495" applyFont="1" applyAlignment="1">
      <alignment horizontal="left" vertical="center"/>
    </xf>
    <xf numFmtId="49" fontId="29" fillId="0" borderId="0" xfId="4495" applyNumberFormat="1" applyFont="1" applyAlignment="1">
      <alignment horizontal="left" vertical="top"/>
    </xf>
    <xf numFmtId="0" fontId="21" fillId="0" borderId="47" xfId="4495" applyFont="1" applyBorder="1" applyAlignment="1">
      <alignment horizontal="left" vertical="center"/>
    </xf>
    <xf numFmtId="0" fontId="31" fillId="0" borderId="48" xfId="4495" applyFont="1" applyBorder="1" applyAlignment="1">
      <alignment horizontal="center" vertical="center"/>
    </xf>
    <xf numFmtId="0" fontId="29" fillId="0" borderId="0" xfId="4495" applyFont="1"/>
    <xf numFmtId="0" fontId="29" fillId="0" borderId="0" xfId="4495" applyFont="1" applyAlignment="1">
      <alignment horizontal="left" vertical="top"/>
    </xf>
    <xf numFmtId="0" fontId="126" fillId="0" borderId="0" xfId="4496" applyFont="1" applyAlignment="1">
      <alignment horizontal="left" vertical="top" wrapText="1"/>
    </xf>
    <xf numFmtId="0" fontId="126" fillId="0" borderId="54" xfId="4496" applyFont="1" applyBorder="1" applyAlignment="1">
      <alignment horizontal="left" vertical="top" wrapText="1"/>
    </xf>
    <xf numFmtId="0" fontId="21" fillId="0" borderId="0" xfId="4495" applyFont="1" applyAlignment="1">
      <alignment horizontal="left" vertical="center"/>
    </xf>
    <xf numFmtId="0" fontId="127" fillId="0" borderId="0" xfId="4496" applyFont="1" applyAlignment="1">
      <alignment vertical="center"/>
    </xf>
    <xf numFmtId="0" fontId="126" fillId="0" borderId="0" xfId="4496" applyFont="1"/>
    <xf numFmtId="0" fontId="126" fillId="0" borderId="0" xfId="4496" applyFont="1" applyAlignment="1">
      <alignment vertical="center"/>
    </xf>
    <xf numFmtId="0" fontId="128" fillId="0" borderId="0" xfId="4496" applyFont="1" applyAlignment="1">
      <alignment vertical="center"/>
    </xf>
    <xf numFmtId="0" fontId="21" fillId="0" borderId="0" xfId="4496" applyFont="1" applyAlignment="1">
      <alignment vertical="center"/>
    </xf>
    <xf numFmtId="0" fontId="29" fillId="0" borderId="3" xfId="4495" applyFont="1" applyBorder="1" applyAlignment="1">
      <alignment vertical="top" wrapText="1"/>
    </xf>
    <xf numFmtId="0" fontId="29" fillId="0" borderId="4" xfId="4495" applyFont="1" applyBorder="1" applyAlignment="1">
      <alignment vertical="top" wrapText="1"/>
    </xf>
    <xf numFmtId="164" fontId="124" fillId="0" borderId="4" xfId="4495" applyNumberFormat="1" applyBorder="1" applyAlignment="1">
      <alignment horizontal="right"/>
    </xf>
    <xf numFmtId="0" fontId="29" fillId="0" borderId="4" xfId="4495" applyFont="1" applyBorder="1"/>
    <xf numFmtId="0" fontId="28" fillId="0" borderId="5" xfId="4495" applyFont="1" applyBorder="1" applyAlignment="1">
      <alignment horizontal="right"/>
    </xf>
    <xf numFmtId="0" fontId="21" fillId="0" borderId="16" xfId="4495" applyFont="1" applyBorder="1"/>
    <xf numFmtId="0" fontId="21" fillId="0" borderId="16" xfId="4495" applyFont="1" applyBorder="1" applyAlignment="1">
      <alignment horizontal="left" vertical="top"/>
    </xf>
    <xf numFmtId="0" fontId="29" fillId="0" borderId="16" xfId="4495" applyFont="1" applyBorder="1" applyAlignment="1">
      <alignment horizontal="left" vertical="top" wrapText="1"/>
    </xf>
    <xf numFmtId="0" fontId="29" fillId="0" borderId="45" xfId="4495" applyFont="1" applyBorder="1" applyAlignment="1">
      <alignment horizontal="left" vertical="top" wrapText="1"/>
    </xf>
    <xf numFmtId="0" fontId="124" fillId="0" borderId="0" xfId="4495"/>
    <xf numFmtId="0" fontId="22" fillId="0" borderId="0" xfId="244" applyFill="1" applyBorder="1" applyAlignment="1" applyProtection="1">
      <alignment horizontal="left" vertical="top"/>
    </xf>
    <xf numFmtId="0" fontId="22" fillId="0" borderId="0" xfId="244" applyFill="1" applyBorder="1" applyAlignment="1" applyProtection="1">
      <alignment horizontal="left" vertical="top" wrapText="1"/>
    </xf>
    <xf numFmtId="0" fontId="29" fillId="0" borderId="0" xfId="4495" applyFont="1" applyAlignment="1">
      <alignment horizontal="left" vertical="top" wrapText="1"/>
    </xf>
    <xf numFmtId="0" fontId="29" fillId="0" borderId="0" xfId="4495" applyFont="1" applyAlignment="1">
      <alignment horizontal="right" vertical="top"/>
    </xf>
    <xf numFmtId="0" fontId="21" fillId="0" borderId="0" xfId="4495" applyFont="1" applyAlignment="1">
      <alignment vertical="center" wrapText="1"/>
    </xf>
    <xf numFmtId="0" fontId="126" fillId="0" borderId="53" xfId="4496" applyFont="1" applyBorder="1" applyAlignment="1">
      <alignment vertical="top" wrapText="1"/>
    </xf>
    <xf numFmtId="0" fontId="126" fillId="0" borderId="0" xfId="4496" applyFont="1" applyAlignment="1">
      <alignment vertical="top" wrapText="1"/>
    </xf>
    <xf numFmtId="10" fontId="126" fillId="0" borderId="0" xfId="4496" applyNumberFormat="1" applyFont="1" applyAlignment="1">
      <alignment vertical="top" wrapText="1"/>
    </xf>
    <xf numFmtId="0" fontId="126" fillId="0" borderId="54" xfId="4496" applyFont="1" applyBorder="1" applyAlignment="1">
      <alignment vertical="top" wrapText="1"/>
    </xf>
    <xf numFmtId="0" fontId="126" fillId="0" borderId="0" xfId="4496" applyFont="1" applyAlignment="1">
      <alignment vertical="top"/>
    </xf>
    <xf numFmtId="165" fontId="126" fillId="0" borderId="0" xfId="4496" applyNumberFormat="1" applyFont="1" applyAlignment="1">
      <alignment vertical="top" wrapText="1"/>
    </xf>
    <xf numFmtId="0" fontId="28" fillId="0" borderId="57" xfId="4495" applyFont="1" applyBorder="1"/>
    <xf numFmtId="0" fontId="28" fillId="0" borderId="58" xfId="4495" applyFont="1" applyBorder="1"/>
    <xf numFmtId="0" fontId="28" fillId="0" borderId="58" xfId="4495" applyFont="1" applyBorder="1" applyAlignment="1">
      <alignment horizontal="right"/>
    </xf>
    <xf numFmtId="0" fontId="28" fillId="0" borderId="59" xfId="4495" applyFont="1" applyBorder="1" applyAlignment="1">
      <alignment horizontal="right"/>
    </xf>
    <xf numFmtId="0" fontId="126" fillId="0" borderId="53" xfId="4496" applyFont="1" applyBorder="1" applyAlignment="1">
      <alignment horizontal="left" vertical="top" wrapText="1"/>
    </xf>
    <xf numFmtId="0" fontId="126" fillId="0" borderId="0" xfId="4496" applyFont="1" applyAlignment="1">
      <alignment horizontal="left" vertical="top"/>
    </xf>
    <xf numFmtId="0" fontId="31" fillId="0" borderId="57" xfId="4495" applyFont="1" applyBorder="1" applyAlignment="1">
      <alignment horizontal="center" vertical="center"/>
    </xf>
    <xf numFmtId="0" fontId="31" fillId="0" borderId="58" xfId="4495" applyFont="1" applyBorder="1" applyAlignment="1">
      <alignment horizontal="center" vertical="center"/>
    </xf>
    <xf numFmtId="0" fontId="31" fillId="0" borderId="59" xfId="4495" applyFont="1" applyBorder="1" applyAlignment="1">
      <alignment horizontal="center" vertical="center"/>
    </xf>
    <xf numFmtId="0" fontId="28" fillId="0" borderId="0" xfId="4495" applyFont="1" applyAlignment="1">
      <alignment horizontal="center"/>
    </xf>
    <xf numFmtId="0" fontId="28" fillId="0" borderId="8" xfId="4495" applyFont="1" applyBorder="1"/>
    <xf numFmtId="0" fontId="29" fillId="0" borderId="0" xfId="4495" applyFont="1" applyAlignment="1">
      <alignment horizontal="left"/>
    </xf>
    <xf numFmtId="0" fontId="28" fillId="0" borderId="0" xfId="4495" applyFont="1" applyAlignment="1">
      <alignment horizontal="center" vertical="top"/>
    </xf>
    <xf numFmtId="0" fontId="21" fillId="0" borderId="0" xfId="4495" applyFont="1" applyAlignment="1">
      <alignment horizontal="center"/>
    </xf>
    <xf numFmtId="0" fontId="37" fillId="0" borderId="0" xfId="4495" applyFont="1"/>
    <xf numFmtId="0" fontId="29" fillId="0" borderId="8" xfId="4495" applyFont="1" applyBorder="1"/>
    <xf numFmtId="0" fontId="57" fillId="0" borderId="8" xfId="4495" applyFont="1" applyBorder="1"/>
    <xf numFmtId="1" fontId="21" fillId="0" borderId="0" xfId="1192" applyNumberFormat="1"/>
    <xf numFmtId="0" fontId="21" fillId="0" borderId="3" xfId="4495" applyFont="1" applyBorder="1"/>
    <xf numFmtId="0" fontId="21" fillId="0" borderId="4" xfId="4495" applyFont="1" applyBorder="1"/>
    <xf numFmtId="0" fontId="21" fillId="0" borderId="0" xfId="1192" applyAlignment="1">
      <alignment wrapText="1"/>
    </xf>
    <xf numFmtId="0" fontId="29" fillId="0" borderId="0" xfId="4495" applyFont="1" applyAlignment="1">
      <alignment vertical="top" wrapText="1"/>
    </xf>
    <xf numFmtId="0" fontId="29" fillId="0" borderId="0" xfId="1192" applyFont="1"/>
    <xf numFmtId="0" fontId="21" fillId="0" borderId="0" xfId="4495" applyFont="1" applyAlignment="1">
      <alignment horizontal="left"/>
    </xf>
    <xf numFmtId="0" fontId="29" fillId="0" borderId="3" xfId="4495" applyFont="1" applyBorder="1"/>
    <xf numFmtId="0" fontId="21" fillId="0" borderId="4" xfId="4495" applyFont="1" applyBorder="1" applyAlignment="1">
      <alignment horizontal="right"/>
    </xf>
    <xf numFmtId="1" fontId="21" fillId="0" borderId="0" xfId="4495" applyNumberFormat="1" applyFont="1" applyAlignment="1">
      <alignment horizontal="center"/>
    </xf>
    <xf numFmtId="0" fontId="57" fillId="0" borderId="0" xfId="4495" applyFont="1"/>
    <xf numFmtId="0" fontId="21" fillId="0" borderId="0" xfId="4495" applyFont="1" applyAlignment="1">
      <alignment horizontal="right"/>
    </xf>
    <xf numFmtId="0" fontId="29" fillId="0" borderId="0" xfId="4495" applyFont="1" applyAlignment="1">
      <alignment vertical="top"/>
    </xf>
    <xf numFmtId="0" fontId="29" fillId="0" borderId="27" xfId="4495" applyFont="1" applyBorder="1"/>
    <xf numFmtId="0" fontId="28" fillId="0" borderId="0" xfId="4495" applyFont="1" applyAlignment="1">
      <alignment vertical="top"/>
    </xf>
    <xf numFmtId="0" fontId="39" fillId="0" borderId="0" xfId="4495" applyFont="1" applyAlignment="1">
      <alignment vertical="top" wrapText="1"/>
    </xf>
    <xf numFmtId="0" fontId="28" fillId="0" borderId="0" xfId="4495" applyFont="1" applyAlignment="1">
      <alignment horizontal="left" vertical="top" wrapText="1"/>
    </xf>
    <xf numFmtId="0" fontId="21" fillId="0" borderId="0" xfId="4495" applyFont="1" applyAlignment="1">
      <alignment horizontal="left" vertical="top"/>
    </xf>
    <xf numFmtId="0" fontId="39" fillId="0" borderId="0" xfId="4495" applyFont="1" applyAlignment="1">
      <alignment vertical="top"/>
    </xf>
    <xf numFmtId="0" fontId="21" fillId="0" borderId="10" xfId="4495" applyFont="1" applyBorder="1" applyAlignment="1">
      <alignment horizontal="center"/>
    </xf>
    <xf numFmtId="0" fontId="21" fillId="0" borderId="16" xfId="4495" applyFont="1" applyBorder="1" applyAlignment="1">
      <alignment horizontal="center"/>
    </xf>
    <xf numFmtId="0" fontId="37" fillId="0" borderId="16" xfId="4495" applyFont="1" applyBorder="1"/>
    <xf numFmtId="0" fontId="29" fillId="0" borderId="16" xfId="4495" applyFont="1" applyBorder="1"/>
    <xf numFmtId="0" fontId="21" fillId="0" borderId="0" xfId="4496" applyFont="1" applyAlignment="1">
      <alignment vertical="top" wrapText="1"/>
    </xf>
    <xf numFmtId="0" fontId="28" fillId="0" borderId="0" xfId="1192" applyFont="1" applyAlignment="1">
      <alignment horizontal="right"/>
    </xf>
    <xf numFmtId="0" fontId="21" fillId="0" borderId="0" xfId="4496" applyFont="1"/>
    <xf numFmtId="0" fontId="21" fillId="0" borderId="0" xfId="4496" applyFont="1" applyAlignment="1">
      <alignment horizontal="left"/>
    </xf>
    <xf numFmtId="0" fontId="21" fillId="0" borderId="0" xfId="4496" applyFont="1" applyAlignment="1">
      <alignment horizontal="right"/>
    </xf>
    <xf numFmtId="0" fontId="29" fillId="0" borderId="0" xfId="4496" applyFont="1" applyAlignment="1">
      <alignment vertical="top" wrapText="1"/>
    </xf>
    <xf numFmtId="0" fontId="21" fillId="0" borderId="4" xfId="4496" applyFont="1" applyBorder="1"/>
    <xf numFmtId="0" fontId="28" fillId="0" borderId="4" xfId="4496" applyFont="1" applyBorder="1" applyAlignment="1">
      <alignment horizontal="right"/>
    </xf>
    <xf numFmtId="0" fontId="29" fillId="0" borderId="27" xfId="4495" applyFont="1" applyBorder="1" applyAlignment="1">
      <alignment horizontal="left" vertical="top"/>
    </xf>
    <xf numFmtId="0" fontId="21" fillId="0" borderId="27" xfId="4495" applyFont="1" applyBorder="1" applyAlignment="1">
      <alignment horizontal="left" vertical="top"/>
    </xf>
    <xf numFmtId="0" fontId="28" fillId="0" borderId="27" xfId="4495" applyFont="1" applyBorder="1" applyAlignment="1">
      <alignment horizontal="right"/>
    </xf>
    <xf numFmtId="0" fontId="21" fillId="0" borderId="27" xfId="4495" applyFont="1" applyBorder="1" applyAlignment="1">
      <alignment horizontal="center"/>
    </xf>
    <xf numFmtId="0" fontId="21" fillId="0" borderId="46" xfId="4495" applyFont="1" applyBorder="1" applyAlignment="1">
      <alignment horizontal="center"/>
    </xf>
    <xf numFmtId="164" fontId="29" fillId="0" borderId="0" xfId="4495" applyNumberFormat="1" applyFont="1" applyAlignment="1">
      <alignment horizontal="left" vertical="top" wrapText="1"/>
    </xf>
    <xf numFmtId="0" fontId="32" fillId="0" borderId="0" xfId="4495" applyFont="1"/>
    <xf numFmtId="0" fontId="29" fillId="0" borderId="0" xfId="4495" applyFont="1" applyAlignment="1">
      <alignment horizontal="right"/>
    </xf>
    <xf numFmtId="0" fontId="21" fillId="0" borderId="27" xfId="543" applyBorder="1"/>
    <xf numFmtId="0" fontId="21" fillId="0" borderId="46" xfId="543" applyBorder="1"/>
    <xf numFmtId="0" fontId="28" fillId="0" borderId="0" xfId="4495" applyFont="1" applyAlignment="1">
      <alignment horizontal="left" vertical="top"/>
    </xf>
    <xf numFmtId="1" fontId="124" fillId="0" borderId="0" xfId="4495" applyNumberFormat="1"/>
    <xf numFmtId="0" fontId="21" fillId="0" borderId="0" xfId="4495" applyFont="1" applyAlignment="1">
      <alignment vertical="top" wrapText="1"/>
    </xf>
    <xf numFmtId="0" fontId="21" fillId="0" borderId="0" xfId="4495" applyFont="1" applyAlignment="1">
      <alignment horizontal="left" vertical="top" wrapText="1"/>
    </xf>
    <xf numFmtId="0" fontId="21" fillId="0" borderId="50" xfId="4495" applyFont="1" applyBorder="1" applyAlignment="1">
      <alignment vertical="top"/>
    </xf>
    <xf numFmtId="1" fontId="29" fillId="0" borderId="8" xfId="4495" applyNumberFormat="1" applyFont="1" applyBorder="1"/>
    <xf numFmtId="0" fontId="21" fillId="0" borderId="0" xfId="543" applyAlignment="1">
      <alignment vertical="top"/>
    </xf>
    <xf numFmtId="0" fontId="29" fillId="0" borderId="51" xfId="4495" applyFont="1" applyBorder="1" applyAlignment="1">
      <alignment horizontal="left" vertical="top"/>
    </xf>
    <xf numFmtId="0" fontId="29" fillId="0" borderId="52" xfId="4495" applyFont="1" applyBorder="1" applyAlignment="1">
      <alignment horizontal="left" vertical="top"/>
    </xf>
    <xf numFmtId="0" fontId="124" fillId="0" borderId="0" xfId="4495" applyAlignment="1" applyProtection="1">
      <alignment horizontal="center"/>
      <protection locked="0"/>
    </xf>
    <xf numFmtId="0" fontId="21" fillId="0" borderId="53" xfId="4495" applyFont="1" applyBorder="1" applyAlignment="1">
      <alignment vertical="top"/>
    </xf>
    <xf numFmtId="0" fontId="21" fillId="0" borderId="54" xfId="4495" applyFont="1" applyBorder="1" applyAlignment="1">
      <alignment vertical="top" wrapText="1"/>
    </xf>
    <xf numFmtId="0" fontId="65" fillId="0" borderId="53" xfId="4495" applyFont="1" applyBorder="1"/>
    <xf numFmtId="0" fontId="29" fillId="0" borderId="54" xfId="4495" applyFont="1" applyBorder="1" applyAlignment="1">
      <alignment horizontal="left" vertical="top"/>
    </xf>
    <xf numFmtId="0" fontId="21" fillId="0" borderId="53" xfId="4495" applyFont="1" applyBorder="1" applyAlignment="1">
      <alignment vertical="center" wrapText="1"/>
    </xf>
    <xf numFmtId="0" fontId="65" fillId="0" borderId="57" xfId="4495" applyFont="1" applyBorder="1"/>
    <xf numFmtId="0" fontId="29" fillId="0" borderId="58" xfId="4495" applyFont="1" applyBorder="1" applyAlignment="1">
      <alignment horizontal="left" vertical="top"/>
    </xf>
    <xf numFmtId="0" fontId="29" fillId="0" borderId="12" xfId="4495" applyFont="1" applyBorder="1"/>
    <xf numFmtId="0" fontId="21" fillId="0" borderId="57" xfId="4495" applyFont="1" applyBorder="1" applyAlignment="1">
      <alignment vertical="center"/>
    </xf>
    <xf numFmtId="0" fontId="21" fillId="0" borderId="58" xfId="4495" applyFont="1" applyBorder="1" applyAlignment="1">
      <alignment vertical="top"/>
    </xf>
    <xf numFmtId="0" fontId="21" fillId="0" borderId="59" xfId="4495" applyFont="1" applyBorder="1" applyAlignment="1">
      <alignment vertical="top"/>
    </xf>
    <xf numFmtId="0" fontId="21" fillId="0" borderId="0" xfId="4495" applyFont="1" applyAlignment="1">
      <alignment vertical="top"/>
    </xf>
    <xf numFmtId="0" fontId="29" fillId="0" borderId="4" xfId="4495" applyFont="1" applyBorder="1" applyAlignment="1">
      <alignment horizontal="left" vertical="top"/>
    </xf>
    <xf numFmtId="0" fontId="21" fillId="0" borderId="4" xfId="4495" applyFont="1" applyBorder="1" applyAlignment="1">
      <alignment horizontal="left" vertical="top"/>
    </xf>
    <xf numFmtId="0" fontId="21" fillId="0" borderId="2" xfId="4495" applyFont="1" applyBorder="1"/>
    <xf numFmtId="0" fontId="29" fillId="0" borderId="2" xfId="4495" applyFont="1" applyBorder="1"/>
    <xf numFmtId="0" fontId="21" fillId="0" borderId="2" xfId="4495" applyFont="1" applyBorder="1" applyAlignment="1">
      <alignment horizontal="center"/>
    </xf>
    <xf numFmtId="0" fontId="29" fillId="0" borderId="7" xfId="4495" applyFont="1" applyBorder="1"/>
    <xf numFmtId="0" fontId="37" fillId="0" borderId="0" xfId="4495" applyFont="1" applyAlignment="1">
      <alignment horizontal="right"/>
    </xf>
    <xf numFmtId="0" fontId="129" fillId="0" borderId="0" xfId="4495" applyFont="1" applyAlignment="1">
      <alignment horizontal="left" vertical="top" wrapText="1"/>
    </xf>
    <xf numFmtId="0" fontId="37" fillId="0" borderId="0" xfId="4495" applyFont="1" applyAlignment="1">
      <alignment horizontal="left" vertical="top"/>
    </xf>
    <xf numFmtId="0" fontId="29" fillId="0" borderId="0" xfId="4495" quotePrefix="1" applyFont="1" applyAlignment="1">
      <alignment horizontal="right"/>
    </xf>
    <xf numFmtId="0" fontId="21" fillId="0" borderId="0" xfId="4497"/>
    <xf numFmtId="0" fontId="29" fillId="0" borderId="0" xfId="4495" applyFont="1" applyAlignment="1">
      <alignment horizontal="left" vertical="top" wrapText="1" shrinkToFit="1"/>
    </xf>
    <xf numFmtId="0" fontId="124" fillId="0" borderId="0" xfId="4495" applyAlignment="1">
      <alignment vertical="top" wrapText="1"/>
    </xf>
    <xf numFmtId="0" fontId="29" fillId="0" borderId="4" xfId="4495" applyFont="1" applyBorder="1" applyAlignment="1">
      <alignment horizontal="left" vertical="top" wrapText="1" shrinkToFit="1"/>
    </xf>
    <xf numFmtId="0" fontId="37" fillId="0" borderId="8" xfId="4495" applyFont="1" applyBorder="1"/>
    <xf numFmtId="0" fontId="29" fillId="0" borderId="0" xfId="4495" applyFont="1" applyAlignment="1">
      <alignment horizontal="center"/>
    </xf>
    <xf numFmtId="0" fontId="29" fillId="0" borderId="0" xfId="4495" quotePrefix="1" applyFont="1"/>
    <xf numFmtId="0" fontId="29" fillId="0" borderId="0" xfId="4495" applyFont="1" applyAlignment="1">
      <alignment horizontal="left" vertical="top" shrinkToFit="1"/>
    </xf>
    <xf numFmtId="0" fontId="51" fillId="0" borderId="0" xfId="4495" applyFont="1"/>
    <xf numFmtId="0" fontId="29" fillId="0" borderId="3" xfId="4495" applyFont="1" applyBorder="1" applyAlignment="1">
      <alignment horizontal="center"/>
    </xf>
    <xf numFmtId="0" fontId="124" fillId="0" borderId="8" xfId="4495" applyBorder="1"/>
    <xf numFmtId="0" fontId="28" fillId="0" borderId="8" xfId="4495" applyFont="1" applyBorder="1" applyAlignment="1">
      <alignment vertical="top"/>
    </xf>
    <xf numFmtId="0" fontId="124" fillId="0" borderId="0" xfId="4495" applyAlignment="1">
      <alignment vertical="top"/>
    </xf>
    <xf numFmtId="0" fontId="28" fillId="0" borderId="4" xfId="4495" applyFont="1" applyBorder="1" applyAlignment="1">
      <alignment horizontal="center" vertical="top"/>
    </xf>
    <xf numFmtId="0" fontId="129" fillId="0" borderId="0" xfId="4495" applyFont="1" applyAlignment="1">
      <alignment horizontal="left" vertical="top"/>
    </xf>
    <xf numFmtId="0" fontId="129" fillId="0" borderId="4" xfId="4495" applyFont="1" applyBorder="1" applyAlignment="1">
      <alignment horizontal="left" vertical="top"/>
    </xf>
    <xf numFmtId="168" fontId="21" fillId="0" borderId="0" xfId="4497" applyNumberFormat="1"/>
    <xf numFmtId="1" fontId="29" fillId="0" borderId="0" xfId="4495" applyNumberFormat="1" applyFont="1" applyAlignment="1">
      <alignment horizontal="center" vertical="top"/>
    </xf>
    <xf numFmtId="0" fontId="133" fillId="0" borderId="0" xfId="4495" applyFont="1" applyAlignment="1">
      <alignment vertical="top" wrapText="1"/>
    </xf>
    <xf numFmtId="0" fontId="133" fillId="0" borderId="0" xfId="4495" applyFont="1" applyAlignment="1">
      <alignment horizontal="left" vertical="top" wrapText="1"/>
    </xf>
    <xf numFmtId="0" fontId="29" fillId="0" borderId="6" xfId="4495" applyFont="1" applyBorder="1"/>
    <xf numFmtId="1" fontId="29" fillId="0" borderId="8" xfId="4495" applyNumberFormat="1" applyFont="1" applyBorder="1" applyAlignment="1">
      <alignment horizontal="center" vertical="top"/>
    </xf>
    <xf numFmtId="0" fontId="124" fillId="0" borderId="12" xfId="4495" applyBorder="1"/>
    <xf numFmtId="0" fontId="29" fillId="0" borderId="9" xfId="4495" applyFont="1" applyBorder="1"/>
    <xf numFmtId="0" fontId="124" fillId="0" borderId="10" xfId="4495" applyBorder="1"/>
    <xf numFmtId="0" fontId="37" fillId="0" borderId="3" xfId="4495" applyFont="1" applyBorder="1"/>
    <xf numFmtId="0" fontId="28" fillId="0" borderId="4" xfId="4495" applyFont="1" applyBorder="1"/>
    <xf numFmtId="0" fontId="124" fillId="0" borderId="12" xfId="4495" applyBorder="1" applyAlignment="1">
      <alignment vertical="top"/>
    </xf>
    <xf numFmtId="0" fontId="37" fillId="0" borderId="1" xfId="4495" applyFont="1" applyBorder="1"/>
    <xf numFmtId="0" fontId="133" fillId="0" borderId="2" xfId="4495" applyFont="1" applyBorder="1" applyAlignment="1">
      <alignment horizontal="left" wrapText="1"/>
    </xf>
    <xf numFmtId="0" fontId="133" fillId="0" borderId="2" xfId="4495" applyFont="1" applyBorder="1" applyAlignment="1">
      <alignment horizontal="left"/>
    </xf>
    <xf numFmtId="0" fontId="133" fillId="0" borderId="7" xfId="4495" applyFont="1" applyBorder="1" applyAlignment="1">
      <alignment horizontal="left" wrapText="1"/>
    </xf>
    <xf numFmtId="0" fontId="133" fillId="0" borderId="0" xfId="4495" applyFont="1" applyAlignment="1">
      <alignment horizontal="left" wrapText="1"/>
    </xf>
    <xf numFmtId="0" fontId="37" fillId="0" borderId="9" xfId="4495" applyFont="1" applyBorder="1"/>
    <xf numFmtId="0" fontId="29" fillId="0" borderId="10" xfId="4495" applyFont="1" applyBorder="1"/>
    <xf numFmtId="0" fontId="133" fillId="0" borderId="0" xfId="4495" applyFont="1" applyAlignment="1">
      <alignment wrapText="1"/>
    </xf>
    <xf numFmtId="0" fontId="37" fillId="0" borderId="9" xfId="4495" applyFont="1" applyBorder="1" applyAlignment="1">
      <alignment horizontal="center"/>
    </xf>
    <xf numFmtId="0" fontId="28" fillId="0" borderId="10" xfId="4495" applyFont="1" applyBorder="1"/>
    <xf numFmtId="0" fontId="39" fillId="0" borderId="0" xfId="4495" applyFont="1"/>
    <xf numFmtId="0" fontId="29" fillId="0" borderId="50" xfId="4495" applyFont="1" applyBorder="1"/>
    <xf numFmtId="0" fontId="29" fillId="0" borderId="51" xfId="4495" applyFont="1" applyBorder="1"/>
    <xf numFmtId="1" fontId="29" fillId="0" borderId="51" xfId="4495" quotePrefix="1" applyNumberFormat="1" applyFont="1" applyBorder="1" applyAlignment="1">
      <alignment horizontal="center" vertical="top"/>
    </xf>
    <xf numFmtId="0" fontId="28" fillId="0" borderId="51" xfId="4495" applyFont="1" applyBorder="1"/>
    <xf numFmtId="0" fontId="28" fillId="0" borderId="52" xfId="4495" applyFont="1" applyBorder="1" applyAlignment="1">
      <alignment horizontal="center"/>
    </xf>
    <xf numFmtId="0" fontId="21" fillId="0" borderId="53" xfId="4495" applyFont="1" applyBorder="1"/>
    <xf numFmtId="1" fontId="29" fillId="0" borderId="0" xfId="4495" quotePrefix="1" applyNumberFormat="1" applyFont="1" applyAlignment="1">
      <alignment horizontal="center" vertical="top"/>
    </xf>
    <xf numFmtId="0" fontId="28" fillId="0" borderId="54" xfId="4495" applyFont="1" applyBorder="1" applyAlignment="1">
      <alignment horizontal="center"/>
    </xf>
    <xf numFmtId="0" fontId="37" fillId="0" borderId="0" xfId="4495" applyFont="1" applyAlignment="1">
      <alignment vertical="top"/>
    </xf>
    <xf numFmtId="0" fontId="29" fillId="0" borderId="61" xfId="4495" applyFont="1" applyBorder="1"/>
    <xf numFmtId="0" fontId="124" fillId="0" borderId="58" xfId="4495" applyBorder="1" applyAlignment="1">
      <alignment horizontal="center"/>
    </xf>
    <xf numFmtId="1" fontId="29" fillId="0" borderId="58" xfId="4495" quotePrefix="1" applyNumberFormat="1" applyFont="1" applyBorder="1" applyAlignment="1">
      <alignment horizontal="center" vertical="top"/>
    </xf>
    <xf numFmtId="0" fontId="37" fillId="0" borderId="58" xfId="4495" applyFont="1" applyBorder="1" applyAlignment="1">
      <alignment vertical="top"/>
    </xf>
    <xf numFmtId="0" fontId="29" fillId="0" borderId="58" xfId="4495" applyFont="1" applyBorder="1" applyAlignment="1">
      <alignment vertical="top" wrapText="1"/>
    </xf>
    <xf numFmtId="0" fontId="29" fillId="0" borderId="58" xfId="4495" applyFont="1" applyBorder="1"/>
    <xf numFmtId="0" fontId="28" fillId="0" borderId="58" xfId="4495" applyFont="1" applyBorder="1" applyAlignment="1">
      <alignment horizontal="center"/>
    </xf>
    <xf numFmtId="0" fontId="124" fillId="0" borderId="61" xfId="4495" applyBorder="1"/>
    <xf numFmtId="0" fontId="124" fillId="0" borderId="0" xfId="4495" applyAlignment="1">
      <alignment horizontal="center"/>
    </xf>
    <xf numFmtId="0" fontId="21" fillId="0" borderId="53" xfId="543" applyBorder="1"/>
    <xf numFmtId="0" fontId="29" fillId="0" borderId="54" xfId="4495" applyFont="1" applyBorder="1"/>
    <xf numFmtId="0" fontId="21" fillId="0" borderId="58" xfId="543" applyBorder="1"/>
    <xf numFmtId="1" fontId="29" fillId="0" borderId="58" xfId="4495" applyNumberFormat="1" applyFont="1" applyBorder="1" applyAlignment="1">
      <alignment horizontal="center" vertical="top"/>
    </xf>
    <xf numFmtId="0" fontId="37" fillId="0" borderId="58" xfId="4495" applyFont="1" applyBorder="1" applyAlignment="1">
      <alignment vertical="center"/>
    </xf>
    <xf numFmtId="0" fontId="124" fillId="0" borderId="58" xfId="4495" applyBorder="1" applyAlignment="1">
      <alignment vertical="top" wrapText="1"/>
    </xf>
    <xf numFmtId="0" fontId="21" fillId="0" borderId="58" xfId="4495" applyFont="1" applyBorder="1"/>
    <xf numFmtId="0" fontId="37" fillId="0" borderId="0" xfId="4495" applyFont="1" applyAlignment="1">
      <alignment vertical="center"/>
    </xf>
    <xf numFmtId="0" fontId="29" fillId="0" borderId="53" xfId="4495" applyFont="1" applyBorder="1"/>
    <xf numFmtId="0" fontId="21" fillId="0" borderId="57" xfId="543" applyBorder="1"/>
    <xf numFmtId="0" fontId="29" fillId="0" borderId="58" xfId="4495" applyFont="1" applyBorder="1" applyAlignment="1">
      <alignment vertical="top"/>
    </xf>
    <xf numFmtId="0" fontId="29" fillId="0" borderId="59" xfId="4495" applyFont="1" applyBorder="1"/>
    <xf numFmtId="0" fontId="29" fillId="0" borderId="57" xfId="4495" applyFont="1" applyBorder="1"/>
    <xf numFmtId="0" fontId="21" fillId="0" borderId="51" xfId="4495" applyFont="1" applyBorder="1"/>
    <xf numFmtId="0" fontId="29" fillId="0" borderId="52" xfId="4495" applyFont="1" applyBorder="1"/>
    <xf numFmtId="0" fontId="21" fillId="0" borderId="50" xfId="543" applyBorder="1"/>
    <xf numFmtId="0" fontId="21" fillId="0" borderId="51" xfId="543" applyBorder="1"/>
    <xf numFmtId="0" fontId="21" fillId="0" borderId="52" xfId="543" applyBorder="1"/>
    <xf numFmtId="0" fontId="29" fillId="0" borderId="0" xfId="4495" applyFont="1" applyAlignment="1">
      <alignment wrapText="1"/>
    </xf>
    <xf numFmtId="0" fontId="28" fillId="0" borderId="54" xfId="4495" applyFont="1" applyBorder="1" applyAlignment="1">
      <alignment horizontal="center" vertical="top"/>
    </xf>
    <xf numFmtId="0" fontId="124" fillId="0" borderId="53" xfId="4495" applyBorder="1" applyAlignment="1">
      <alignment horizontal="center"/>
    </xf>
    <xf numFmtId="2" fontId="29" fillId="0" borderId="0" xfId="4495" applyNumberFormat="1" applyFont="1" applyAlignment="1">
      <alignment horizontal="right"/>
    </xf>
    <xf numFmtId="2" fontId="29" fillId="0" borderId="8" xfId="4495" applyNumberFormat="1" applyFont="1" applyBorder="1" applyAlignment="1">
      <alignment horizontal="left"/>
    </xf>
    <xf numFmtId="0" fontId="29" fillId="0" borderId="8" xfId="4495" applyFont="1" applyBorder="1" applyAlignment="1">
      <alignment horizontal="right"/>
    </xf>
    <xf numFmtId="0" fontId="132" fillId="0" borderId="0" xfId="4495" applyFont="1"/>
    <xf numFmtId="0" fontId="124" fillId="0" borderId="57" xfId="4495" applyBorder="1" applyAlignment="1">
      <alignment horizontal="center"/>
    </xf>
    <xf numFmtId="0" fontId="28" fillId="0" borderId="59" xfId="4495" applyFont="1" applyBorder="1" applyAlignment="1">
      <alignment horizontal="center"/>
    </xf>
    <xf numFmtId="9" fontId="29" fillId="0" borderId="0" xfId="4495" applyNumberFormat="1" applyFont="1" applyAlignment="1">
      <alignment horizontal="left"/>
    </xf>
    <xf numFmtId="0" fontId="21" fillId="0" borderId="17" xfId="543" applyBorder="1"/>
    <xf numFmtId="0" fontId="21" fillId="0" borderId="16" xfId="543" applyBorder="1"/>
    <xf numFmtId="0" fontId="21" fillId="0" borderId="51" xfId="4495" quotePrefix="1" applyFont="1" applyBorder="1" applyAlignment="1">
      <alignment horizontal="center" vertical="top"/>
    </xf>
    <xf numFmtId="0" fontId="29" fillId="0" borderId="53" xfId="4495" applyFont="1" applyBorder="1" applyAlignment="1">
      <alignment horizontal="left" vertical="top"/>
    </xf>
    <xf numFmtId="0" fontId="29" fillId="0" borderId="0" xfId="4495" applyFont="1" applyAlignment="1">
      <alignment horizontal="center" vertical="top"/>
    </xf>
    <xf numFmtId="0" fontId="29" fillId="0" borderId="57" xfId="4495" applyFont="1" applyBorder="1" applyAlignment="1">
      <alignment horizontal="left" vertical="top"/>
    </xf>
    <xf numFmtId="0" fontId="29" fillId="0" borderId="58" xfId="4495" applyFont="1" applyBorder="1" applyAlignment="1">
      <alignment horizontal="center" vertical="top"/>
    </xf>
    <xf numFmtId="0" fontId="124" fillId="0" borderId="58" xfId="4495" applyBorder="1"/>
    <xf numFmtId="0" fontId="28" fillId="0" borderId="58" xfId="4495" applyFont="1" applyBorder="1" applyAlignment="1">
      <alignment vertical="top"/>
    </xf>
    <xf numFmtId="0" fontId="28" fillId="0" borderId="58" xfId="4495" applyFont="1" applyBorder="1" applyAlignment="1">
      <alignment horizontal="left" vertical="top"/>
    </xf>
    <xf numFmtId="0" fontId="28" fillId="0" borderId="51" xfId="4495" applyFont="1" applyBorder="1" applyAlignment="1">
      <alignment horizontal="left" vertical="top"/>
    </xf>
    <xf numFmtId="0" fontId="28" fillId="0" borderId="53" xfId="4495" applyFont="1" applyBorder="1" applyAlignment="1">
      <alignment horizontal="left" vertical="top"/>
    </xf>
    <xf numFmtId="0" fontId="57" fillId="0" borderId="0" xfId="4495" applyFont="1" applyAlignment="1">
      <alignment horizontal="left" vertical="top"/>
    </xf>
    <xf numFmtId="0" fontId="29" fillId="0" borderId="0" xfId="4495" quotePrefix="1" applyFont="1" applyAlignment="1">
      <alignment horizontal="center" vertical="top"/>
    </xf>
    <xf numFmtId="0" fontId="58" fillId="0" borderId="0" xfId="4495" applyFont="1" applyAlignment="1">
      <alignment horizontal="center"/>
    </xf>
    <xf numFmtId="0" fontId="58" fillId="0" borderId="0" xfId="4495" applyFont="1" applyAlignment="1">
      <alignment vertical="top"/>
    </xf>
    <xf numFmtId="0" fontId="111" fillId="0" borderId="0" xfId="4495" applyFont="1"/>
    <xf numFmtId="0" fontId="57" fillId="0" borderId="0" xfId="4495" applyFont="1" applyAlignment="1">
      <alignment vertical="top"/>
    </xf>
    <xf numFmtId="0" fontId="37" fillId="0" borderId="53" xfId="4495" applyFont="1" applyBorder="1"/>
    <xf numFmtId="2" fontId="29" fillId="0" borderId="8" xfId="4495" applyNumberFormat="1" applyFont="1" applyBorder="1" applyAlignment="1">
      <alignment horizontal="right"/>
    </xf>
    <xf numFmtId="0" fontId="28" fillId="0" borderId="50" xfId="4495" applyFont="1" applyBorder="1" applyAlignment="1">
      <alignment horizontal="left" vertical="top"/>
    </xf>
    <xf numFmtId="0" fontId="57" fillId="0" borderId="51" xfId="4495" applyFont="1" applyBorder="1" applyAlignment="1">
      <alignment horizontal="left" vertical="top"/>
    </xf>
    <xf numFmtId="0" fontId="124" fillId="0" borderId="53" xfId="4495" applyBorder="1"/>
    <xf numFmtId="0" fontId="111" fillId="0" borderId="0" xfId="4495" applyFont="1" applyAlignment="1">
      <alignment horizontal="left" vertical="top"/>
    </xf>
    <xf numFmtId="1" fontId="28" fillId="0" borderId="58" xfId="4495" applyNumberFormat="1" applyFont="1" applyBorder="1" applyAlignment="1">
      <alignment vertical="top"/>
    </xf>
    <xf numFmtId="172" fontId="28" fillId="0" borderId="8" xfId="543" applyNumberFormat="1" applyFont="1" applyBorder="1"/>
    <xf numFmtId="172" fontId="28" fillId="0" borderId="0" xfId="543" applyNumberFormat="1" applyFont="1"/>
    <xf numFmtId="0" fontId="37" fillId="0" borderId="0" xfId="4495" applyFont="1" applyAlignment="1">
      <alignment wrapText="1"/>
    </xf>
    <xf numFmtId="0" fontId="37" fillId="0" borderId="0" xfId="4495" applyFont="1" applyAlignment="1">
      <alignment horizontal="center"/>
    </xf>
    <xf numFmtId="0" fontId="37" fillId="0" borderId="0" xfId="4495" applyFont="1" applyAlignment="1">
      <alignment vertical="center" wrapText="1"/>
    </xf>
    <xf numFmtId="180" fontId="29" fillId="0" borderId="0" xfId="4495" applyNumberFormat="1" applyFont="1" applyAlignment="1">
      <alignment horizontal="center"/>
    </xf>
    <xf numFmtId="1" fontId="29" fillId="0" borderId="0" xfId="4495" applyNumberFormat="1" applyFont="1" applyAlignment="1">
      <alignment horizontal="center"/>
    </xf>
    <xf numFmtId="0" fontId="28" fillId="0" borderId="51" xfId="4495" applyFont="1" applyBorder="1" applyAlignment="1">
      <alignment horizontal="center"/>
    </xf>
    <xf numFmtId="0" fontId="28" fillId="0" borderId="51" xfId="4495" applyFont="1" applyBorder="1" applyAlignment="1">
      <alignment vertical="top"/>
    </xf>
    <xf numFmtId="0" fontId="28" fillId="0" borderId="53" xfId="4495" applyFont="1" applyBorder="1"/>
    <xf numFmtId="0" fontId="21" fillId="0" borderId="54" xfId="543" applyBorder="1"/>
    <xf numFmtId="49" fontId="29" fillId="0" borderId="0" xfId="4495" applyNumberFormat="1" applyFont="1" applyAlignment="1">
      <alignment horizontal="left" vertical="center" wrapText="1"/>
    </xf>
    <xf numFmtId="0" fontId="21" fillId="0" borderId="57" xfId="4495" applyFont="1" applyBorder="1"/>
    <xf numFmtId="1" fontId="21" fillId="0" borderId="0" xfId="4495" applyNumberFormat="1" applyFont="1" applyAlignment="1">
      <alignment vertical="center"/>
    </xf>
    <xf numFmtId="0" fontId="39" fillId="0" borderId="50" xfId="4495" applyFont="1" applyBorder="1"/>
    <xf numFmtId="0" fontId="29" fillId="0" borderId="51" xfId="4495" applyFont="1" applyBorder="1" applyAlignment="1">
      <alignment horizontal="center" vertical="top"/>
    </xf>
    <xf numFmtId="0" fontId="29" fillId="0" borderId="51" xfId="4495" applyFont="1" applyBorder="1" applyAlignment="1">
      <alignment vertical="top" wrapText="1"/>
    </xf>
    <xf numFmtId="0" fontId="29" fillId="0" borderId="51" xfId="4495" applyFont="1" applyBorder="1" applyAlignment="1">
      <alignment horizontal="left" vertical="top" wrapText="1"/>
    </xf>
    <xf numFmtId="0" fontId="21" fillId="0" borderId="0" xfId="4495" quotePrefix="1" applyFont="1" applyAlignment="1">
      <alignment horizontal="center" vertical="top"/>
    </xf>
    <xf numFmtId="1" fontId="29" fillId="0" borderId="0" xfId="4495" quotePrefix="1" applyNumberFormat="1" applyFont="1" applyAlignment="1">
      <alignment wrapText="1"/>
    </xf>
    <xf numFmtId="0" fontId="29" fillId="0" borderId="6" xfId="4495" applyFont="1" applyBorder="1" applyAlignment="1">
      <alignment horizontal="right"/>
    </xf>
    <xf numFmtId="0" fontId="126" fillId="0" borderId="0" xfId="4496" applyFont="1" applyAlignment="1">
      <alignment wrapText="1"/>
    </xf>
    <xf numFmtId="0" fontId="21" fillId="0" borderId="0" xfId="4496" applyFont="1" applyAlignment="1">
      <alignment wrapText="1"/>
    </xf>
    <xf numFmtId="0" fontId="37" fillId="0" borderId="51" xfId="4495" applyFont="1" applyBorder="1" applyAlignment="1">
      <alignment vertical="top"/>
    </xf>
    <xf numFmtId="0" fontId="21" fillId="0" borderId="51" xfId="4496" applyFont="1" applyBorder="1" applyAlignment="1">
      <alignment wrapText="1"/>
    </xf>
    <xf numFmtId="0" fontId="28" fillId="0" borderId="51" xfId="4495" applyFont="1" applyBorder="1" applyAlignment="1">
      <alignment horizontal="right"/>
    </xf>
    <xf numFmtId="0" fontId="21" fillId="0" borderId="52" xfId="4495" applyFont="1" applyBorder="1" applyAlignment="1">
      <alignment horizontal="center"/>
    </xf>
    <xf numFmtId="0" fontId="21" fillId="0" borderId="53" xfId="4495" applyFont="1" applyBorder="1" applyAlignment="1">
      <alignment horizontal="left" vertical="top"/>
    </xf>
    <xf numFmtId="0" fontId="21" fillId="0" borderId="54" xfId="4495" applyFont="1" applyBorder="1" applyAlignment="1">
      <alignment horizontal="left" vertical="top"/>
    </xf>
    <xf numFmtId="0" fontId="21" fillId="0" borderId="54" xfId="4495" applyFont="1" applyBorder="1" applyAlignment="1">
      <alignment horizontal="center"/>
    </xf>
    <xf numFmtId="0" fontId="21" fillId="0" borderId="59" xfId="4495" applyFont="1" applyBorder="1" applyAlignment="1">
      <alignment horizontal="center"/>
    </xf>
    <xf numFmtId="9" fontId="21" fillId="0" borderId="0" xfId="4496" applyNumberFormat="1" applyFont="1" applyAlignment="1">
      <alignment horizontal="center"/>
    </xf>
    <xf numFmtId="1" fontId="21" fillId="0" borderId="0" xfId="543" applyNumberFormat="1"/>
    <xf numFmtId="0" fontId="29" fillId="0" borderId="1" xfId="4495" applyFont="1" applyBorder="1"/>
    <xf numFmtId="0" fontId="28" fillId="0" borderId="0" xfId="4495" applyFont="1" applyAlignment="1">
      <alignment horizontal="center" wrapText="1"/>
    </xf>
    <xf numFmtId="0" fontId="28" fillId="0" borderId="9" xfId="4495" applyFont="1" applyBorder="1" applyAlignment="1">
      <alignment horizontal="left"/>
    </xf>
    <xf numFmtId="0" fontId="28" fillId="0" borderId="3" xfId="4495" applyFont="1" applyBorder="1" applyAlignment="1">
      <alignment horizontal="left"/>
    </xf>
    <xf numFmtId="0" fontId="28" fillId="0" borderId="4" xfId="4495" applyFont="1" applyBorder="1" applyAlignment="1">
      <alignment horizontal="left"/>
    </xf>
    <xf numFmtId="0" fontId="21" fillId="0" borderId="2" xfId="4495" applyFont="1" applyBorder="1" applyAlignment="1">
      <alignment horizontal="left"/>
    </xf>
    <xf numFmtId="0" fontId="28" fillId="0" borderId="2" xfId="4495" applyFont="1" applyBorder="1" applyAlignment="1">
      <alignment horizontal="left"/>
    </xf>
    <xf numFmtId="0" fontId="28" fillId="0" borderId="5" xfId="4495" applyFont="1" applyBorder="1" applyAlignment="1">
      <alignment horizontal="left"/>
    </xf>
    <xf numFmtId="180" fontId="68" fillId="0" borderId="0" xfId="4495" applyNumberFormat="1" applyFont="1" applyAlignment="1">
      <alignment horizontal="center" vertical="center"/>
    </xf>
    <xf numFmtId="0" fontId="21" fillId="0" borderId="12" xfId="4495" applyFont="1" applyBorder="1" applyAlignment="1">
      <alignment vertical="top"/>
    </xf>
    <xf numFmtId="0" fontId="51" fillId="0" borderId="0" xfId="4495" applyFont="1" applyAlignment="1">
      <alignment vertical="top" wrapText="1"/>
    </xf>
    <xf numFmtId="0" fontId="21" fillId="0" borderId="51" xfId="4495" applyFont="1" applyBorder="1" applyAlignment="1">
      <alignment horizontal="left" vertical="top" wrapText="1"/>
    </xf>
    <xf numFmtId="0" fontId="21" fillId="0" borderId="51" xfId="4495" applyFont="1" applyBorder="1" applyAlignment="1">
      <alignment horizontal="right"/>
    </xf>
    <xf numFmtId="0" fontId="21" fillId="0" borderId="52" xfId="4495" applyFont="1" applyBorder="1" applyAlignment="1">
      <alignment horizontal="right"/>
    </xf>
    <xf numFmtId="0" fontId="21" fillId="0" borderId="54" xfId="4495" applyFont="1" applyBorder="1" applyAlignment="1">
      <alignment horizontal="right"/>
    </xf>
    <xf numFmtId="0" fontId="21" fillId="0" borderId="58" xfId="4495" applyFont="1" applyBorder="1" applyAlignment="1">
      <alignment horizontal="left" vertical="top" wrapText="1"/>
    </xf>
    <xf numFmtId="0" fontId="21" fillId="0" borderId="58" xfId="4495" applyFont="1" applyBorder="1" applyAlignment="1">
      <alignment horizontal="right"/>
    </xf>
    <xf numFmtId="0" fontId="21" fillId="0" borderId="59" xfId="4495" applyFont="1" applyBorder="1" applyAlignment="1">
      <alignment horizontal="right"/>
    </xf>
    <xf numFmtId="0" fontId="51" fillId="0" borderId="0" xfId="4495" applyFont="1" applyAlignment="1">
      <alignment horizontal="left" vertical="top" wrapText="1"/>
    </xf>
    <xf numFmtId="0" fontId="21" fillId="0" borderId="0" xfId="1192" applyAlignment="1">
      <alignment horizontal="left" vertical="top"/>
    </xf>
    <xf numFmtId="0" fontId="39" fillId="0" borderId="0" xfId="1192" applyFont="1" applyAlignment="1">
      <alignment horizontal="left" vertical="top"/>
    </xf>
    <xf numFmtId="0" fontId="21" fillId="0" borderId="0" xfId="1192" applyAlignment="1">
      <alignment vertical="top"/>
    </xf>
    <xf numFmtId="168" fontId="21" fillId="0" borderId="0" xfId="1192" applyNumberFormat="1"/>
    <xf numFmtId="165" fontId="21" fillId="0" borderId="0" xfId="1192" applyNumberFormat="1"/>
    <xf numFmtId="165" fontId="21" fillId="0" borderId="0" xfId="1192" applyNumberFormat="1" applyAlignment="1">
      <alignment horizontal="right"/>
    </xf>
    <xf numFmtId="2" fontId="21" fillId="0" borderId="0" xfId="1192" applyNumberFormat="1"/>
    <xf numFmtId="6" fontId="21" fillId="0" borderId="0" xfId="1192" applyNumberFormat="1"/>
    <xf numFmtId="0" fontId="28" fillId="0" borderId="0" xfId="1192" applyFont="1"/>
    <xf numFmtId="0" fontId="51" fillId="0" borderId="0" xfId="1192" applyFont="1"/>
    <xf numFmtId="168" fontId="21" fillId="0" borderId="0" xfId="4495" applyNumberFormat="1" applyFont="1"/>
    <xf numFmtId="0" fontId="28" fillId="0" borderId="0" xfId="1192" applyFont="1" applyAlignment="1">
      <alignment vertical="center"/>
    </xf>
    <xf numFmtId="0" fontId="122" fillId="0" borderId="0" xfId="1192" applyFont="1" applyAlignment="1">
      <alignment horizontal="left"/>
    </xf>
    <xf numFmtId="0" fontId="119" fillId="0" borderId="0" xfId="1192" applyFont="1" applyAlignment="1">
      <alignment horizontal="left"/>
    </xf>
    <xf numFmtId="0" fontId="119" fillId="0" borderId="0" xfId="1192" applyFont="1" applyAlignment="1">
      <alignment horizontal="center"/>
    </xf>
    <xf numFmtId="168" fontId="21" fillId="0" borderId="0" xfId="1192" applyNumberFormat="1" applyAlignment="1">
      <alignment horizontal="center"/>
    </xf>
    <xf numFmtId="9" fontId="21" fillId="0" borderId="0" xfId="1192" applyNumberFormat="1"/>
    <xf numFmtId="0" fontId="21" fillId="0" borderId="0" xfId="1192" applyAlignment="1">
      <alignment horizontal="right"/>
    </xf>
    <xf numFmtId="0" fontId="21" fillId="0" borderId="53" xfId="4495" applyFont="1" applyBorder="1" applyAlignment="1">
      <alignment horizontal="left"/>
    </xf>
    <xf numFmtId="6" fontId="28" fillId="0" borderId="0" xfId="1192" applyNumberFormat="1" applyFont="1" applyAlignment="1">
      <alignment horizontal="right"/>
    </xf>
    <xf numFmtId="165" fontId="21" fillId="0" borderId="0" xfId="4495" applyNumberFormat="1" applyFont="1"/>
    <xf numFmtId="0" fontId="58" fillId="0" borderId="4" xfId="4495" applyFont="1" applyBorder="1"/>
    <xf numFmtId="0" fontId="41" fillId="0" borderId="0" xfId="543" applyFont="1" applyAlignment="1">
      <alignment vertical="center" wrapText="1"/>
    </xf>
    <xf numFmtId="1" fontId="28" fillId="0" borderId="13" xfId="271" applyNumberFormat="1" applyFont="1" applyBorder="1"/>
    <xf numFmtId="1" fontId="30" fillId="0" borderId="13" xfId="271" applyNumberFormat="1" applyBorder="1"/>
    <xf numFmtId="0" fontId="21" fillId="0" borderId="11" xfId="0" applyFont="1" applyBorder="1"/>
    <xf numFmtId="9" fontId="21" fillId="0" borderId="0" xfId="4495" applyNumberFormat="1" applyFont="1"/>
    <xf numFmtId="165" fontId="126" fillId="0" borderId="0" xfId="4496" applyNumberFormat="1" applyFont="1" applyAlignment="1">
      <alignment horizontal="center" vertical="top" wrapText="1"/>
    </xf>
    <xf numFmtId="168" fontId="126" fillId="0" borderId="0" xfId="4496" applyNumberFormat="1" applyFont="1" applyAlignment="1">
      <alignment vertical="top" wrapText="1"/>
    </xf>
    <xf numFmtId="165" fontId="126" fillId="0" borderId="64" xfId="4496" applyNumberFormat="1" applyFont="1" applyBorder="1" applyAlignment="1">
      <alignment horizontal="center" vertical="top" wrapText="1"/>
    </xf>
    <xf numFmtId="165" fontId="126" fillId="0" borderId="53" xfId="4496" applyNumberFormat="1" applyFont="1" applyBorder="1" applyAlignment="1">
      <alignment horizontal="left" vertical="top"/>
    </xf>
    <xf numFmtId="165" fontId="126" fillId="0" borderId="53" xfId="4496" applyNumberFormat="1" applyFont="1" applyBorder="1" applyAlignment="1">
      <alignment horizontal="center" vertical="top" wrapText="1"/>
    </xf>
    <xf numFmtId="168" fontId="126" fillId="0" borderId="0" xfId="4496" applyNumberFormat="1" applyFont="1" applyAlignment="1">
      <alignment vertical="top"/>
    </xf>
    <xf numFmtId="1" fontId="126" fillId="0" borderId="0" xfId="4496" applyNumberFormat="1" applyFont="1" applyAlignment="1">
      <alignment vertical="top" wrapText="1"/>
    </xf>
    <xf numFmtId="164" fontId="29" fillId="0" borderId="0" xfId="4495" applyNumberFormat="1" applyFont="1"/>
    <xf numFmtId="0" fontId="28" fillId="0" borderId="8" xfId="0" applyFont="1" applyBorder="1" applyAlignment="1">
      <alignment horizontal="center" vertical="center" wrapText="1"/>
    </xf>
    <xf numFmtId="0" fontId="28"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4" fillId="0" borderId="50" xfId="1192" applyFont="1" applyBorder="1" applyAlignment="1">
      <alignment horizontal="left"/>
    </xf>
    <xf numFmtId="0" fontId="145" fillId="0" borderId="51" xfId="4495" applyFont="1" applyBorder="1" applyAlignment="1">
      <alignment vertical="top"/>
    </xf>
    <xf numFmtId="0" fontId="144" fillId="0" borderId="51" xfId="4495" applyFont="1" applyBorder="1" applyAlignment="1">
      <alignment vertical="top" wrapText="1"/>
    </xf>
    <xf numFmtId="0" fontId="145" fillId="0" borderId="51" xfId="4495" applyFont="1" applyBorder="1"/>
    <xf numFmtId="0" fontId="145" fillId="0" borderId="53" xfId="1192" applyFont="1" applyBorder="1" applyAlignment="1">
      <alignment horizontal="left"/>
    </xf>
    <xf numFmtId="0" fontId="145" fillId="0" borderId="0" xfId="4495" applyFont="1" applyAlignment="1">
      <alignment vertical="top"/>
    </xf>
    <xf numFmtId="0" fontId="144" fillId="0" borderId="0" xfId="4495" applyFont="1" applyAlignment="1">
      <alignment vertical="top" wrapText="1"/>
    </xf>
    <xf numFmtId="0" fontId="145" fillId="0" borderId="0" xfId="4495" applyFont="1"/>
    <xf numFmtId="0" fontId="144" fillId="0" borderId="53" xfId="1192" applyFont="1" applyBorder="1" applyAlignment="1">
      <alignment horizontal="left"/>
    </xf>
    <xf numFmtId="0" fontId="144" fillId="0" borderId="57" xfId="1192" applyFont="1" applyBorder="1" applyAlignment="1">
      <alignment horizontal="left"/>
    </xf>
    <xf numFmtId="0" fontId="145" fillId="0" borderId="58" xfId="4495" applyFont="1" applyBorder="1" applyAlignment="1">
      <alignment vertical="top"/>
    </xf>
    <xf numFmtId="0" fontId="144" fillId="0" borderId="58" xfId="4495" applyFont="1" applyBorder="1" applyAlignment="1">
      <alignment vertical="top" wrapText="1"/>
    </xf>
    <xf numFmtId="0" fontId="145" fillId="0" borderId="58" xfId="4495" applyFont="1" applyBorder="1"/>
    <xf numFmtId="0" fontId="30" fillId="0" borderId="3" xfId="0" applyFont="1" applyBorder="1" applyAlignment="1">
      <alignment horizontal="center"/>
    </xf>
    <xf numFmtId="0" fontId="30" fillId="0" borderId="4" xfId="0" applyFont="1" applyBorder="1" applyAlignment="1">
      <alignment horizontal="center"/>
    </xf>
    <xf numFmtId="0" fontId="30" fillId="0" borderId="5" xfId="0" applyFont="1" applyBorder="1" applyAlignment="1">
      <alignment horizontal="center"/>
    </xf>
    <xf numFmtId="0" fontId="28" fillId="0" borderId="7" xfId="0" applyFont="1" applyBorder="1" applyAlignment="1">
      <alignment horizontal="right"/>
    </xf>
    <xf numFmtId="0" fontId="0" fillId="0" borderId="0" xfId="0" applyAlignment="1" applyProtection="1">
      <alignment horizontal="left" vertical="top" wrapText="1"/>
      <protection locked="0"/>
    </xf>
    <xf numFmtId="0" fontId="21" fillId="0" borderId="9" xfId="0" applyFont="1" applyBorder="1" applyAlignment="1">
      <alignment horizontal="left"/>
    </xf>
    <xf numFmtId="0" fontId="21" fillId="0" borderId="6" xfId="0" applyFont="1" applyBorder="1"/>
    <xf numFmtId="0" fontId="21" fillId="0" borderId="9" xfId="0" applyFont="1" applyBorder="1"/>
    <xf numFmtId="0" fontId="54" fillId="0" borderId="0" xfId="0" applyFont="1" applyAlignment="1">
      <alignment horizontal="center"/>
    </xf>
    <xf numFmtId="0" fontId="27" fillId="0" borderId="0" xfId="0" applyFont="1" applyAlignment="1">
      <alignment horizontal="center" vertical="center" wrapText="1"/>
    </xf>
    <xf numFmtId="0" fontId="36" fillId="0" borderId="0" xfId="0" applyFont="1" applyAlignment="1">
      <alignment horizontal="center"/>
    </xf>
    <xf numFmtId="0" fontId="29" fillId="0" borderId="0" xfId="0" applyFont="1" applyAlignment="1">
      <alignment horizontal="center"/>
    </xf>
    <xf numFmtId="0" fontId="28" fillId="0" borderId="3" xfId="0" applyFont="1" applyBorder="1"/>
    <xf numFmtId="0" fontId="28" fillId="0" borderId="4" xfId="271" applyFont="1" applyBorder="1"/>
    <xf numFmtId="0" fontId="28" fillId="0" borderId="3" xfId="271" applyFont="1" applyBorder="1"/>
    <xf numFmtId="0" fontId="28" fillId="0" borderId="5" xfId="271" applyFont="1" applyBorder="1"/>
    <xf numFmtId="0" fontId="21" fillId="0" borderId="58" xfId="4495" applyFont="1" applyBorder="1" applyAlignment="1">
      <alignment vertical="center" wrapText="1"/>
    </xf>
    <xf numFmtId="0" fontId="21" fillId="0" borderId="59" xfId="4495" applyFont="1" applyBorder="1" applyAlignment="1">
      <alignment vertical="center" wrapText="1"/>
    </xf>
    <xf numFmtId="0" fontId="21" fillId="0" borderId="0" xfId="4495" applyFont="1" applyAlignment="1">
      <alignment horizontal="left" vertical="center" wrapText="1"/>
    </xf>
    <xf numFmtId="0" fontId="28" fillId="0" borderId="5" xfId="0" applyFont="1" applyBorder="1"/>
    <xf numFmtId="168" fontId="26" fillId="43" borderId="0" xfId="0" applyNumberFormat="1" applyFont="1" applyFill="1"/>
    <xf numFmtId="9" fontId="29" fillId="0" borderId="0" xfId="543" applyNumberFormat="1" applyFont="1" applyAlignment="1">
      <alignment horizontal="center"/>
    </xf>
    <xf numFmtId="171" fontId="21" fillId="0" borderId="0" xfId="543" applyNumberFormat="1"/>
    <xf numFmtId="171" fontId="21" fillId="0" borderId="11" xfId="543" applyNumberFormat="1" applyBorder="1"/>
    <xf numFmtId="1" fontId="21" fillId="0" borderId="11" xfId="543" applyNumberFormat="1" applyBorder="1" applyAlignment="1">
      <alignment horizontal="center"/>
    </xf>
    <xf numFmtId="0" fontId="47" fillId="0" borderId="8" xfId="543" applyFont="1" applyBorder="1" applyAlignment="1">
      <alignment vertical="center" wrapText="1"/>
    </xf>
    <xf numFmtId="0" fontId="47" fillId="0" borderId="0" xfId="543" applyFont="1" applyAlignment="1">
      <alignment vertical="center" wrapText="1"/>
    </xf>
    <xf numFmtId="0" fontId="47" fillId="0" borderId="12" xfId="543" applyFont="1" applyBorder="1" applyAlignment="1">
      <alignment vertical="center" wrapText="1"/>
    </xf>
    <xf numFmtId="0" fontId="47" fillId="0" borderId="9" xfId="543" applyFont="1" applyBorder="1" applyAlignment="1">
      <alignment vertical="center" wrapText="1"/>
    </xf>
    <xf numFmtId="0" fontId="47" fillId="0" borderId="6" xfId="543" applyFont="1" applyBorder="1" applyAlignment="1">
      <alignment vertical="center" wrapText="1"/>
    </xf>
    <xf numFmtId="0" fontId="47" fillId="0" borderId="10" xfId="543" applyFont="1" applyBorder="1" applyAlignment="1">
      <alignment vertical="center" wrapText="1"/>
    </xf>
    <xf numFmtId="0" fontId="48" fillId="0" borderId="8" xfId="543" applyFont="1" applyBorder="1" applyAlignment="1">
      <alignment vertical="center" wrapText="1"/>
    </xf>
    <xf numFmtId="0" fontId="48" fillId="0" borderId="0" xfId="543" applyFont="1" applyAlignment="1">
      <alignment vertical="center" wrapText="1"/>
    </xf>
    <xf numFmtId="0" fontId="48" fillId="0" borderId="12" xfId="543" applyFont="1" applyBorder="1" applyAlignment="1">
      <alignment vertical="center" wrapText="1"/>
    </xf>
    <xf numFmtId="0" fontId="48" fillId="0" borderId="9" xfId="543" applyFont="1" applyBorder="1" applyAlignment="1">
      <alignment vertical="center" wrapText="1"/>
    </xf>
    <xf numFmtId="0" fontId="48" fillId="0" borderId="6" xfId="543" applyFont="1" applyBorder="1" applyAlignment="1">
      <alignment vertical="center" wrapText="1"/>
    </xf>
    <xf numFmtId="0" fontId="48" fillId="0" borderId="10" xfId="543" applyFont="1" applyBorder="1" applyAlignment="1">
      <alignment vertical="center" wrapText="1"/>
    </xf>
    <xf numFmtId="0" fontId="41" fillId="0" borderId="12" xfId="543" applyFont="1" applyBorder="1" applyAlignment="1">
      <alignment horizontal="center" vertical="top"/>
    </xf>
    <xf numFmtId="0" fontId="42" fillId="0" borderId="7" xfId="543" applyFont="1" applyBorder="1"/>
    <xf numFmtId="0" fontId="21" fillId="0" borderId="12" xfId="543" quotePrefix="1" applyBorder="1"/>
    <xf numFmtId="0" fontId="57" fillId="0" borderId="2" xfId="569" applyFont="1" applyBorder="1" applyAlignment="1">
      <alignment vertical="top"/>
    </xf>
    <xf numFmtId="0" fontId="31" fillId="0" borderId="0" xfId="4495" applyFont="1"/>
    <xf numFmtId="0" fontId="21" fillId="0" borderId="0" xfId="4495" applyFont="1" applyAlignment="1">
      <alignment vertical="top" wrapText="1" shrinkToFit="1"/>
    </xf>
    <xf numFmtId="0" fontId="149" fillId="0" borderId="0" xfId="4495" applyFont="1"/>
    <xf numFmtId="164" fontId="21" fillId="0" borderId="0" xfId="1192" applyNumberFormat="1" applyAlignment="1">
      <alignment horizontal="right"/>
    </xf>
    <xf numFmtId="164" fontId="21" fillId="0" borderId="0" xfId="4495" applyNumberFormat="1" applyFont="1" applyAlignment="1">
      <alignment horizontal="right"/>
    </xf>
    <xf numFmtId="0" fontId="21" fillId="0" borderId="0" xfId="4495" applyFont="1" applyAlignment="1">
      <alignment horizontal="left" vertical="top" wrapText="1" shrinkToFit="1"/>
    </xf>
    <xf numFmtId="0" fontId="21" fillId="0" borderId="6" xfId="4495" applyFont="1" applyBorder="1" applyAlignment="1">
      <alignment vertical="top" wrapText="1"/>
    </xf>
    <xf numFmtId="0" fontId="149" fillId="0" borderId="4" xfId="4495" applyFont="1" applyBorder="1"/>
    <xf numFmtId="0" fontId="21" fillId="0" borderId="4" xfId="4495" applyFont="1" applyBorder="1" applyAlignment="1">
      <alignment horizontal="left" vertical="top" wrapText="1" shrinkToFit="1"/>
    </xf>
    <xf numFmtId="0" fontId="31" fillId="0" borderId="0" xfId="4495" applyFont="1" applyAlignment="1">
      <alignment horizontal="left" vertical="top"/>
    </xf>
    <xf numFmtId="0" fontId="21" fillId="0" borderId="0" xfId="4495" applyFont="1" applyAlignment="1">
      <alignment vertical="center" wrapText="1" shrinkToFit="1"/>
    </xf>
    <xf numFmtId="0" fontId="21" fillId="0" borderId="0" xfId="4495" applyFont="1" applyAlignment="1">
      <alignment horizontal="left" vertical="top" shrinkToFit="1"/>
    </xf>
    <xf numFmtId="0" fontId="21" fillId="0" borderId="0" xfId="4495" applyFont="1" applyAlignment="1">
      <alignment horizontal="left" vertical="center" shrinkToFit="1"/>
    </xf>
    <xf numFmtId="0" fontId="31" fillId="0" borderId="4" xfId="4495" applyFont="1" applyBorder="1"/>
    <xf numFmtId="0" fontId="21" fillId="0" borderId="4" xfId="4495" applyFont="1" applyBorder="1" applyAlignment="1">
      <alignment horizontal="left" vertical="top" shrinkToFit="1"/>
    </xf>
    <xf numFmtId="0" fontId="21" fillId="0" borderId="0" xfId="4495" applyFont="1" applyAlignment="1">
      <alignment vertical="center"/>
    </xf>
    <xf numFmtId="0" fontId="27" fillId="0" borderId="0" xfId="4495" applyFont="1"/>
    <xf numFmtId="0" fontId="31" fillId="0" borderId="0" xfId="4495" applyFont="1" applyAlignment="1">
      <alignment horizontal="center"/>
    </xf>
    <xf numFmtId="0" fontId="21" fillId="0" borderId="4" xfId="4495" applyFont="1" applyBorder="1" applyAlignment="1">
      <alignment horizontal="left" vertical="top" wrapText="1"/>
    </xf>
    <xf numFmtId="44" fontId="21" fillId="0" borderId="0" xfId="707" applyFont="1" applyFill="1" applyBorder="1" applyAlignment="1" applyProtection="1">
      <alignment horizontal="left" vertical="top" wrapText="1"/>
    </xf>
    <xf numFmtId="44" fontId="21" fillId="0" borderId="4" xfId="707" applyFont="1" applyFill="1" applyBorder="1" applyAlignment="1" applyProtection="1">
      <alignment horizontal="left" vertical="top" wrapText="1"/>
    </xf>
    <xf numFmtId="164" fontId="39" fillId="0" borderId="0" xfId="4495" applyNumberFormat="1" applyFont="1" applyAlignment="1">
      <alignment horizontal="left"/>
    </xf>
    <xf numFmtId="0" fontId="31" fillId="0" borderId="0" xfId="4495" applyFont="1" applyAlignment="1">
      <alignment horizontal="left"/>
    </xf>
    <xf numFmtId="0" fontId="21" fillId="0" borderId="4" xfId="4495" applyFont="1" applyBorder="1" applyAlignment="1">
      <alignment vertical="top" wrapText="1"/>
    </xf>
    <xf numFmtId="0" fontId="31" fillId="0" borderId="4" xfId="4495" applyFont="1" applyBorder="1" applyAlignment="1">
      <alignment horizontal="left" vertical="top"/>
    </xf>
    <xf numFmtId="0" fontId="21" fillId="0" borderId="0" xfId="4495" applyFont="1" applyAlignment="1">
      <alignment horizontal="left" vertical="center" wrapText="1" shrinkToFit="1"/>
    </xf>
    <xf numFmtId="0" fontId="21" fillId="0" borderId="6" xfId="4495" applyFont="1" applyBorder="1" applyAlignment="1">
      <alignment horizontal="left" vertical="top" wrapText="1"/>
    </xf>
    <xf numFmtId="2" fontId="122" fillId="0" borderId="0" xfId="0" applyNumberFormat="1" applyFont="1" applyAlignment="1">
      <alignment horizontal="center"/>
    </xf>
    <xf numFmtId="9" fontId="21" fillId="0" borderId="0" xfId="4494" applyFont="1" applyAlignment="1">
      <alignment horizontal="center"/>
    </xf>
    <xf numFmtId="3" fontId="21" fillId="0" borderId="0" xfId="0" applyNumberFormat="1" applyFont="1"/>
    <xf numFmtId="10" fontId="21" fillId="0" borderId="0" xfId="0" applyNumberFormat="1" applyFont="1" applyAlignment="1">
      <alignment horizontal="center"/>
    </xf>
    <xf numFmtId="168" fontId="21" fillId="0" borderId="0" xfId="0" applyNumberFormat="1" applyFont="1"/>
    <xf numFmtId="172" fontId="21" fillId="0" borderId="11" xfId="0" applyNumberFormat="1" applyFont="1" applyBorder="1" applyAlignment="1">
      <alignment horizontal="center"/>
    </xf>
    <xf numFmtId="168" fontId="21" fillId="5" borderId="0" xfId="0" applyNumberFormat="1" applyFont="1" applyFill="1"/>
    <xf numFmtId="3" fontId="21" fillId="5" borderId="0" xfId="0" applyNumberFormat="1" applyFont="1" applyFill="1"/>
    <xf numFmtId="0" fontId="21" fillId="5" borderId="0" xfId="0" applyFont="1" applyFill="1"/>
    <xf numFmtId="3" fontId="21" fillId="5" borderId="6" xfId="0" applyNumberFormat="1" applyFont="1" applyFill="1" applyBorder="1"/>
    <xf numFmtId="3" fontId="21" fillId="0" borderId="6" xfId="0" applyNumberFormat="1" applyFont="1" applyBorder="1"/>
    <xf numFmtId="168" fontId="21" fillId="0" borderId="0" xfId="0" applyNumberFormat="1" applyFont="1" applyAlignment="1">
      <alignment horizontal="center"/>
    </xf>
    <xf numFmtId="3" fontId="21" fillId="0" borderId="0" xfId="0" applyNumberFormat="1" applyFont="1" applyAlignment="1">
      <alignment horizontal="center"/>
    </xf>
    <xf numFmtId="0" fontId="21" fillId="0" borderId="50" xfId="4495" applyFont="1" applyBorder="1" applyAlignment="1">
      <alignment vertical="center"/>
    </xf>
    <xf numFmtId="0" fontId="21" fillId="0" borderId="51" xfId="4495" applyFont="1" applyBorder="1" applyAlignment="1">
      <alignment vertical="center"/>
    </xf>
    <xf numFmtId="0" fontId="21" fillId="0" borderId="52" xfId="4495" applyFont="1" applyBorder="1" applyAlignment="1">
      <alignment vertical="center"/>
    </xf>
    <xf numFmtId="0" fontId="21" fillId="0" borderId="54" xfId="4495" applyFont="1" applyBorder="1" applyAlignment="1">
      <alignment vertical="center" wrapText="1"/>
    </xf>
    <xf numFmtId="0" fontId="21" fillId="0" borderId="53" xfId="4495" applyFont="1" applyBorder="1" applyAlignment="1">
      <alignment vertical="top" wrapText="1"/>
    </xf>
    <xf numFmtId="9" fontId="21" fillId="0" borderId="0" xfId="543" applyNumberFormat="1" applyAlignment="1">
      <alignment horizontal="center"/>
    </xf>
    <xf numFmtId="0" fontId="53" fillId="0" borderId="0" xfId="4496" applyFont="1"/>
    <xf numFmtId="168" fontId="57" fillId="5" borderId="11" xfId="0" applyNumberFormat="1" applyFont="1" applyFill="1" applyBorder="1" applyAlignment="1" applyProtection="1">
      <alignment vertical="top" wrapText="1"/>
      <protection locked="0"/>
    </xf>
    <xf numFmtId="0" fontId="21" fillId="0" borderId="0" xfId="0" applyFont="1" applyAlignment="1">
      <alignment horizontal="left" wrapText="1"/>
    </xf>
    <xf numFmtId="4" fontId="39" fillId="0" borderId="0" xfId="0" applyNumberFormat="1" applyFont="1" applyAlignment="1">
      <alignment horizontal="left"/>
    </xf>
    <xf numFmtId="4" fontId="21" fillId="0" borderId="0" xfId="0" applyNumberFormat="1" applyFont="1" applyAlignment="1">
      <alignment horizontal="left" vertical="top" wrapText="1"/>
    </xf>
    <xf numFmtId="0" fontId="28" fillId="0" borderId="4" xfId="0" applyFont="1" applyBorder="1" applyAlignment="1">
      <alignment horizontal="left"/>
    </xf>
    <xf numFmtId="4" fontId="21" fillId="0" borderId="0" xfId="0" applyNumberFormat="1" applyFont="1" applyAlignment="1">
      <alignment horizontal="left"/>
    </xf>
    <xf numFmtId="43" fontId="55" fillId="0" borderId="0" xfId="4503" applyFont="1" applyAlignment="1" applyProtection="1">
      <alignment horizontal="center"/>
    </xf>
    <xf numFmtId="43" fontId="21" fillId="0" borderId="0" xfId="4503" applyFont="1" applyAlignment="1" applyProtection="1">
      <alignment horizontal="center"/>
    </xf>
    <xf numFmtId="43" fontId="21" fillId="0" borderId="0" xfId="4503" applyFont="1" applyProtection="1"/>
    <xf numFmtId="49" fontId="21" fillId="0" borderId="0" xfId="0" applyNumberFormat="1" applyFont="1"/>
    <xf numFmtId="49" fontId="21" fillId="0" borderId="0" xfId="0" applyNumberFormat="1" applyFont="1" applyAlignment="1">
      <alignment horizontal="center"/>
    </xf>
    <xf numFmtId="4" fontId="21" fillId="0" borderId="0" xfId="0" applyNumberFormat="1" applyFont="1" applyAlignment="1">
      <alignment vertical="top" wrapText="1"/>
    </xf>
    <xf numFmtId="0" fontId="21" fillId="0" borderId="0" xfId="0" quotePrefix="1" applyFont="1"/>
    <xf numFmtId="0" fontId="51" fillId="0" borderId="0" xfId="0" applyFont="1" applyAlignment="1">
      <alignment horizontal="left"/>
    </xf>
    <xf numFmtId="0" fontId="21" fillId="0" borderId="4" xfId="0" applyFont="1" applyBorder="1" applyAlignment="1">
      <alignment horizontal="left"/>
    </xf>
    <xf numFmtId="0" fontId="21" fillId="0" borderId="0" xfId="0" quotePrefix="1" applyFont="1" applyAlignment="1">
      <alignment horizontal="left"/>
    </xf>
    <xf numFmtId="0" fontId="21" fillId="0" borderId="0" xfId="0" quotePrefix="1" applyFont="1" applyAlignment="1">
      <alignment horizontal="left" vertical="top"/>
    </xf>
    <xf numFmtId="0" fontId="51" fillId="0" borderId="0" xfId="1192" applyFont="1" applyAlignment="1">
      <alignment horizontal="left"/>
    </xf>
    <xf numFmtId="0" fontId="55" fillId="0" borderId="0" xfId="0" applyFont="1" applyAlignment="1">
      <alignment horizontal="center" vertical="center"/>
    </xf>
    <xf numFmtId="49" fontId="28" fillId="0" borderId="0" xfId="0" applyNumberFormat="1" applyFont="1" applyAlignment="1">
      <alignment horizontal="center" vertical="center"/>
    </xf>
    <xf numFmtId="49" fontId="21" fillId="0" borderId="0" xfId="0" applyNumberFormat="1" applyFont="1" applyAlignment="1">
      <alignment vertical="center"/>
    </xf>
    <xf numFmtId="4" fontId="21" fillId="0" borderId="0" xfId="0" applyNumberFormat="1" applyFont="1" applyAlignment="1">
      <alignment horizontal="center"/>
    </xf>
    <xf numFmtId="4" fontId="21" fillId="0" borderId="0" xfId="0" applyNumberFormat="1" applyFont="1"/>
    <xf numFmtId="10" fontId="21" fillId="0" borderId="0" xfId="4495" applyNumberFormat="1" applyFont="1"/>
    <xf numFmtId="10" fontId="126" fillId="0" borderId="0" xfId="4496" applyNumberFormat="1" applyFont="1" applyAlignment="1">
      <alignment horizontal="center" vertical="top" wrapText="1"/>
    </xf>
    <xf numFmtId="10" fontId="126" fillId="0" borderId="64" xfId="4496" applyNumberFormat="1" applyFont="1" applyBorder="1" applyAlignment="1">
      <alignment horizontal="center" vertical="top" wrapText="1"/>
    </xf>
    <xf numFmtId="10" fontId="126"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21" fillId="0" borderId="0" xfId="1192" quotePrefix="1" applyNumberFormat="1" applyAlignment="1">
      <alignment horizontal="center"/>
    </xf>
    <xf numFmtId="0" fontId="126" fillId="0" borderId="0" xfId="4495" applyFont="1"/>
    <xf numFmtId="10" fontId="126" fillId="0" borderId="0" xfId="4495" applyNumberFormat="1" applyFont="1"/>
    <xf numFmtId="172" fontId="21" fillId="0" borderId="0" xfId="4495" applyNumberFormat="1" applyFont="1"/>
    <xf numFmtId="0" fontId="44" fillId="0" borderId="0" xfId="0" applyFont="1" applyAlignment="1">
      <alignment horizontal="center"/>
    </xf>
    <xf numFmtId="0" fontId="40" fillId="0" borderId="0" xfId="0" applyFont="1" applyAlignment="1">
      <alignment horizontal="left"/>
    </xf>
    <xf numFmtId="0" fontId="0" fillId="0" borderId="10" xfId="0" applyBorder="1" applyAlignment="1">
      <alignment horizontal="left"/>
    </xf>
    <xf numFmtId="1" fontId="21" fillId="0" borderId="0" xfId="1192" applyNumberFormat="1" applyAlignment="1">
      <alignment horizontal="center"/>
    </xf>
    <xf numFmtId="0" fontId="124" fillId="0" borderId="63" xfId="4495" applyBorder="1"/>
    <xf numFmtId="0" fontId="57" fillId="0" borderId="0" xfId="271" applyFont="1" applyAlignment="1">
      <alignment vertical="top"/>
    </xf>
    <xf numFmtId="0" fontId="28" fillId="0" borderId="11" xfId="0" applyFont="1" applyBorder="1" applyAlignment="1">
      <alignment horizontal="right" vertical="top" wrapText="1"/>
    </xf>
    <xf numFmtId="0" fontId="30" fillId="0" borderId="11" xfId="271" applyBorder="1" applyAlignment="1" applyProtection="1">
      <alignment horizontal="right" vertical="top" wrapText="1"/>
      <protection locked="0"/>
    </xf>
    <xf numFmtId="0" fontId="21" fillId="0" borderId="54" xfId="4495" applyFont="1" applyBorder="1" applyAlignment="1">
      <alignment vertical="top"/>
    </xf>
    <xf numFmtId="9" fontId="30" fillId="0" borderId="0" xfId="0" applyNumberFormat="1" applyFont="1"/>
    <xf numFmtId="0" fontId="21" fillId="0" borderId="16" xfId="569" applyBorder="1" applyAlignment="1">
      <alignment horizontal="center"/>
    </xf>
    <xf numFmtId="164" fontId="21" fillId="0" borderId="57" xfId="4495" applyNumberFormat="1" applyFont="1" applyBorder="1" applyAlignment="1">
      <alignment vertical="top" wrapText="1"/>
    </xf>
    <xf numFmtId="164" fontId="21" fillId="0" borderId="58" xfId="4495" applyNumberFormat="1" applyFont="1" applyBorder="1" applyAlignment="1">
      <alignment vertical="top" wrapText="1"/>
    </xf>
    <xf numFmtId="164" fontId="21" fillId="0" borderId="59" xfId="4495" applyNumberFormat="1" applyFont="1" applyBorder="1" applyAlignment="1">
      <alignment vertical="top" wrapText="1"/>
    </xf>
    <xf numFmtId="0" fontId="28" fillId="0" borderId="0" xfId="1192" applyFont="1" applyAlignment="1">
      <alignment horizontal="left" vertical="top" wrapText="1"/>
    </xf>
    <xf numFmtId="0" fontId="21" fillId="0" borderId="16" xfId="569" applyBorder="1"/>
    <xf numFmtId="0" fontId="21" fillId="0" borderId="4" xfId="569" applyBorder="1"/>
    <xf numFmtId="0" fontId="28" fillId="0" borderId="4" xfId="569" applyFont="1" applyBorder="1"/>
    <xf numFmtId="49" fontId="21" fillId="0" borderId="4" xfId="569" applyNumberFormat="1" applyBorder="1"/>
    <xf numFmtId="0" fontId="152" fillId="0" borderId="0" xfId="0" applyFont="1"/>
    <xf numFmtId="0" fontId="21" fillId="0" borderId="0" xfId="0" applyFont="1" applyAlignment="1">
      <alignment horizontal="right"/>
    </xf>
    <xf numFmtId="1" fontId="21" fillId="0" borderId="0" xfId="0" applyNumberFormat="1" applyFont="1" applyAlignment="1">
      <alignment horizontal="center"/>
    </xf>
    <xf numFmtId="0" fontId="28" fillId="0" borderId="0" xfId="0" applyFont="1" applyAlignment="1">
      <alignment horizontal="left" vertical="center"/>
    </xf>
    <xf numFmtId="0" fontId="21" fillId="0" borderId="0" xfId="0" applyFont="1" applyAlignment="1">
      <alignment horizontal="left" vertical="center"/>
    </xf>
    <xf numFmtId="0" fontId="28" fillId="0" borderId="0" xfId="569" applyFont="1" applyAlignment="1">
      <alignment vertical="top"/>
    </xf>
    <xf numFmtId="0" fontId="22" fillId="0" borderId="0" xfId="244" applyAlignment="1"/>
    <xf numFmtId="0" fontId="28" fillId="0" borderId="0" xfId="0" applyFont="1" applyAlignment="1">
      <alignment vertical="top" wrapText="1"/>
    </xf>
    <xf numFmtId="49" fontId="28" fillId="0" borderId="0" xfId="0" applyNumberFormat="1" applyFont="1"/>
    <xf numFmtId="49" fontId="28" fillId="0" borderId="0" xfId="0" applyNumberFormat="1" applyFont="1" applyAlignment="1">
      <alignment vertical="top"/>
    </xf>
    <xf numFmtId="0" fontId="44" fillId="0" borderId="11" xfId="0" applyFont="1" applyBorder="1"/>
    <xf numFmtId="175" fontId="21" fillId="0" borderId="0" xfId="543" applyNumberFormat="1" applyAlignment="1">
      <alignment vertical="center"/>
    </xf>
    <xf numFmtId="0" fontId="102" fillId="43" borderId="6" xfId="4496" applyFont="1" applyFill="1" applyBorder="1" applyAlignment="1" applyProtection="1">
      <alignment horizontal="center"/>
      <protection locked="0"/>
    </xf>
    <xf numFmtId="0" fontId="102" fillId="0" borderId="0" xfId="4496" applyFont="1"/>
    <xf numFmtId="0" fontId="102" fillId="0" borderId="0" xfId="4496" applyFont="1" applyAlignment="1">
      <alignment wrapText="1"/>
    </xf>
    <xf numFmtId="0" fontId="140" fillId="0" borderId="0" xfId="4496" applyFont="1"/>
    <xf numFmtId="181" fontId="141" fillId="0" borderId="0" xfId="4498" applyNumberFormat="1" applyFont="1" applyBorder="1" applyProtection="1"/>
    <xf numFmtId="0" fontId="142" fillId="0" borderId="0" xfId="4496" applyFont="1" applyAlignment="1">
      <alignment vertical="center" wrapText="1"/>
    </xf>
    <xf numFmtId="49" fontId="102" fillId="0" borderId="0" xfId="4496" applyNumberFormat="1" applyFont="1" applyAlignment="1">
      <alignment horizontal="center"/>
    </xf>
    <xf numFmtId="182" fontId="102" fillId="0" borderId="6" xfId="4496" applyNumberFormat="1" applyFont="1" applyBorder="1"/>
    <xf numFmtId="0" fontId="102" fillId="0" borderId="0" xfId="4496" applyFont="1" applyAlignment="1">
      <alignment vertical="center"/>
    </xf>
    <xf numFmtId="182" fontId="102" fillId="0" borderId="0" xfId="4496" applyNumberFormat="1" applyFont="1" applyAlignment="1">
      <alignment vertical="center"/>
    </xf>
    <xf numFmtId="175" fontId="102" fillId="0" borderId="0" xfId="4499" applyNumberFormat="1" applyFont="1" applyFill="1" applyBorder="1" applyAlignment="1" applyProtection="1">
      <alignment horizontal="left" vertical="center"/>
    </xf>
    <xf numFmtId="9" fontId="102" fillId="0" borderId="0" xfId="4499" applyFont="1" applyFill="1" applyBorder="1" applyAlignment="1" applyProtection="1">
      <alignment vertical="center"/>
    </xf>
    <xf numFmtId="183" fontId="102" fillId="0" borderId="0" xfId="4496" applyNumberFormat="1" applyFont="1" applyAlignment="1">
      <alignment vertical="center" wrapText="1"/>
    </xf>
    <xf numFmtId="9" fontId="102" fillId="0" borderId="0" xfId="4499" applyFont="1" applyBorder="1" applyAlignment="1" applyProtection="1">
      <alignment vertical="center"/>
    </xf>
    <xf numFmtId="164" fontId="102" fillId="0" borderId="0" xfId="4496" applyNumberFormat="1" applyFont="1" applyAlignment="1">
      <alignment vertical="center" wrapText="1"/>
    </xf>
    <xf numFmtId="0" fontId="102" fillId="0" borderId="0" xfId="4496" applyFont="1" applyAlignment="1">
      <alignment horizontal="center" vertical="center"/>
    </xf>
    <xf numFmtId="182" fontId="102" fillId="0" borderId="11" xfId="8721" applyNumberFormat="1" applyFont="1" applyBorder="1" applyProtection="1"/>
    <xf numFmtId="182" fontId="102" fillId="0" borderId="11" xfId="4496" applyNumberFormat="1" applyFont="1" applyBorder="1"/>
    <xf numFmtId="164" fontId="102" fillId="0" borderId="0" xfId="4496" applyNumberFormat="1" applyFont="1" applyAlignment="1">
      <alignment wrapText="1"/>
    </xf>
    <xf numFmtId="49" fontId="102" fillId="0" borderId="0" xfId="4496" applyNumberFormat="1" applyFont="1" applyAlignment="1">
      <alignment horizontal="left"/>
    </xf>
    <xf numFmtId="0" fontId="143" fillId="0" borderId="0" xfId="4496" applyFont="1"/>
    <xf numFmtId="9" fontId="102" fillId="0" borderId="11" xfId="4494" applyFont="1" applyFill="1" applyBorder="1" applyAlignment="1" applyProtection="1">
      <alignment horizontal="right"/>
    </xf>
    <xf numFmtId="1" fontId="102" fillId="0" borderId="0" xfId="4496" applyNumberFormat="1" applyFont="1"/>
    <xf numFmtId="0" fontId="140" fillId="45" borderId="3" xfId="4496" applyFont="1" applyFill="1" applyBorder="1" applyAlignment="1">
      <alignment horizontal="left" indent="1"/>
    </xf>
    <xf numFmtId="0" fontId="102" fillId="45" borderId="4" xfId="4496" applyFont="1" applyFill="1" applyBorder="1"/>
    <xf numFmtId="2" fontId="102" fillId="45" borderId="5" xfId="4496" applyNumberFormat="1" applyFont="1" applyFill="1" applyBorder="1"/>
    <xf numFmtId="181" fontId="102" fillId="0" borderId="0" xfId="4496" applyNumberFormat="1" applyFont="1"/>
    <xf numFmtId="165" fontId="141" fillId="0" borderId="0" xfId="4499" applyNumberFormat="1" applyFont="1" applyFill="1" applyBorder="1" applyProtection="1"/>
    <xf numFmtId="9" fontId="102" fillId="0" borderId="0" xfId="4494" applyFont="1" applyFill="1" applyProtection="1"/>
    <xf numFmtId="0" fontId="102" fillId="0" borderId="11" xfId="4496" applyFont="1" applyBorder="1" applyAlignment="1">
      <alignment horizontal="center"/>
    </xf>
    <xf numFmtId="2" fontId="102" fillId="0" borderId="11" xfId="4496" applyNumberFormat="1" applyFont="1" applyBorder="1" applyAlignment="1">
      <alignment horizontal="center"/>
    </xf>
    <xf numFmtId="0" fontId="102" fillId="0" borderId="0" xfId="4496" applyFont="1" applyAlignment="1">
      <alignment vertical="top" wrapText="1"/>
    </xf>
    <xf numFmtId="0" fontId="102" fillId="0" borderId="11" xfId="4496" applyFont="1" applyBorder="1" applyAlignment="1">
      <alignment horizontal="center" vertical="top" wrapText="1"/>
    </xf>
    <xf numFmtId="182" fontId="102" fillId="0" borderId="0" xfId="8721" applyNumberFormat="1" applyFont="1" applyBorder="1" applyProtection="1"/>
    <xf numFmtId="0" fontId="102" fillId="0" borderId="0" xfId="4496" applyFont="1" applyAlignment="1">
      <alignment horizontal="left" indent="1"/>
    </xf>
    <xf numFmtId="182" fontId="102" fillId="0" borderId="0" xfId="4496" applyNumberFormat="1" applyFont="1"/>
    <xf numFmtId="184" fontId="102" fillId="0" borderId="0" xfId="4496" applyNumberFormat="1" applyFont="1"/>
    <xf numFmtId="0" fontId="102" fillId="0" borderId="0" xfId="4496" applyFont="1" applyAlignment="1">
      <alignment horizontal="left"/>
    </xf>
    <xf numFmtId="0" fontId="102" fillId="0" borderId="0" xfId="4496" applyFont="1" applyAlignment="1">
      <alignment horizontal="center"/>
    </xf>
    <xf numFmtId="3" fontId="26" fillId="0" borderId="11" xfId="271" applyNumberFormat="1" applyFont="1" applyBorder="1" applyAlignment="1">
      <alignment horizontal="center"/>
    </xf>
    <xf numFmtId="3" fontId="26" fillId="43" borderId="11" xfId="271" applyNumberFormat="1" applyFont="1" applyFill="1" applyBorder="1" applyProtection="1">
      <protection locked="0"/>
    </xf>
    <xf numFmtId="0" fontId="102" fillId="0" borderId="0" xfId="4496" applyFont="1" applyAlignment="1">
      <alignment horizontal="right"/>
    </xf>
    <xf numFmtId="168" fontId="30" fillId="0" borderId="0" xfId="0" applyNumberFormat="1" applyFont="1"/>
    <xf numFmtId="0" fontId="102" fillId="0" borderId="15" xfId="4496" applyFont="1" applyBorder="1" applyAlignment="1">
      <alignment horizontal="center" vertical="top" wrapText="1"/>
    </xf>
    <xf numFmtId="2" fontId="102" fillId="0" borderId="15" xfId="4496" applyNumberFormat="1" applyFont="1" applyBorder="1" applyAlignment="1">
      <alignment horizontal="center"/>
    </xf>
    <xf numFmtId="0" fontId="102" fillId="0" borderId="15" xfId="4496" applyFont="1" applyBorder="1" applyAlignment="1">
      <alignment horizontal="center"/>
    </xf>
    <xf numFmtId="0" fontId="140" fillId="0" borderId="68" xfId="4496" applyFont="1" applyBorder="1" applyAlignment="1">
      <alignment horizontal="center" vertical="top" wrapText="1"/>
    </xf>
    <xf numFmtId="0" fontId="140" fillId="0" borderId="68" xfId="4496" applyFont="1" applyBorder="1" applyAlignment="1">
      <alignment horizontal="center"/>
    </xf>
    <xf numFmtId="0" fontId="154" fillId="0" borderId="0" xfId="4496" applyFont="1" applyAlignment="1">
      <alignment horizontal="right" vertical="center"/>
    </xf>
    <xf numFmtId="175" fontId="102" fillId="0" borderId="0" xfId="4499" applyNumberFormat="1" applyFont="1" applyFill="1" applyBorder="1" applyAlignment="1" applyProtection="1">
      <alignment horizontal="right" vertical="center"/>
    </xf>
    <xf numFmtId="0" fontId="102" fillId="0" borderId="66" xfId="4496" applyFont="1" applyBorder="1" applyAlignment="1">
      <alignment vertical="center"/>
    </xf>
    <xf numFmtId="0" fontId="102" fillId="0" borderId="41" xfId="4496" applyFont="1" applyBorder="1" applyAlignment="1">
      <alignment vertical="center"/>
    </xf>
    <xf numFmtId="182" fontId="102" fillId="0" borderId="73" xfId="4496" applyNumberFormat="1" applyFont="1" applyBorder="1" applyAlignment="1">
      <alignment vertical="center"/>
    </xf>
    <xf numFmtId="175" fontId="102" fillId="0" borderId="42" xfId="4499" applyNumberFormat="1" applyFont="1" applyFill="1" applyBorder="1" applyAlignment="1" applyProtection="1">
      <alignment horizontal="left" vertical="center"/>
    </xf>
    <xf numFmtId="0" fontId="102" fillId="0" borderId="42" xfId="4496" applyFont="1" applyBorder="1" applyAlignment="1">
      <alignment vertical="center"/>
    </xf>
    <xf numFmtId="0" fontId="102" fillId="0" borderId="44" xfId="4496" applyFont="1" applyBorder="1" applyAlignment="1">
      <alignment vertical="center"/>
    </xf>
    <xf numFmtId="49" fontId="102" fillId="0" borderId="0" xfId="4496" applyNumberFormat="1" applyFont="1" applyAlignment="1">
      <alignment horizontal="center" vertical="center"/>
    </xf>
    <xf numFmtId="0" fontId="102" fillId="0" borderId="65" xfId="4496" applyFont="1" applyBorder="1" applyAlignment="1">
      <alignment vertical="center"/>
    </xf>
    <xf numFmtId="0" fontId="102" fillId="0" borderId="29" xfId="4496" applyFont="1" applyBorder="1" applyAlignment="1">
      <alignment vertical="center"/>
    </xf>
    <xf numFmtId="0" fontId="102" fillId="0" borderId="29" xfId="4496" applyFont="1" applyBorder="1" applyAlignment="1">
      <alignment horizontal="right" vertical="center"/>
    </xf>
    <xf numFmtId="5" fontId="102" fillId="0" borderId="29" xfId="4496" applyNumberFormat="1" applyFont="1" applyBorder="1" applyAlignment="1">
      <alignment vertical="center"/>
    </xf>
    <xf numFmtId="0" fontId="102" fillId="0" borderId="31" xfId="4496" applyFont="1" applyBorder="1" applyAlignment="1">
      <alignment vertical="center"/>
    </xf>
    <xf numFmtId="175" fontId="140" fillId="0" borderId="42" xfId="4494" applyNumberFormat="1" applyFont="1" applyFill="1" applyBorder="1" applyAlignment="1" applyProtection="1">
      <alignment horizontal="center" vertical="center"/>
    </xf>
    <xf numFmtId="0" fontId="140" fillId="0" borderId="29" xfId="4496" applyFont="1" applyBorder="1" applyAlignment="1">
      <alignment vertical="center"/>
    </xf>
    <xf numFmtId="0" fontId="140" fillId="0" borderId="0" xfId="4496" applyFont="1" applyAlignment="1">
      <alignment vertical="center"/>
    </xf>
    <xf numFmtId="0" fontId="140" fillId="0" borderId="42" xfId="4496" applyFont="1" applyBorder="1" applyAlignment="1">
      <alignment vertical="center"/>
    </xf>
    <xf numFmtId="9" fontId="140" fillId="0" borderId="42" xfId="4499" applyFont="1" applyFill="1" applyBorder="1" applyAlignment="1" applyProtection="1">
      <alignment vertical="center"/>
    </xf>
    <xf numFmtId="182" fontId="140" fillId="0" borderId="68" xfId="8721" applyNumberFormat="1" applyFont="1" applyBorder="1" applyProtection="1"/>
    <xf numFmtId="182" fontId="140" fillId="0" borderId="68" xfId="4496" applyNumberFormat="1" applyFont="1" applyBorder="1"/>
    <xf numFmtId="0" fontId="154" fillId="0" borderId="0" xfId="4496" applyFont="1" applyAlignment="1">
      <alignment horizontal="right"/>
    </xf>
    <xf numFmtId="0" fontId="102" fillId="0" borderId="0" xfId="4496" applyFont="1" applyAlignment="1">
      <alignment horizontal="right" vertical="top" wrapText="1" indent="1"/>
    </xf>
    <xf numFmtId="182" fontId="102" fillId="0" borderId="6" xfId="8721" applyNumberFormat="1" applyFont="1" applyBorder="1" applyAlignment="1" applyProtection="1">
      <alignment horizontal="center"/>
    </xf>
    <xf numFmtId="0" fontId="102" fillId="0" borderId="0" xfId="4496" applyFont="1" applyAlignment="1">
      <alignment horizontal="right" indent="1"/>
    </xf>
    <xf numFmtId="0" fontId="102" fillId="0" borderId="0" xfId="4496" applyFont="1" applyAlignment="1">
      <alignment horizontal="right" vertical="top"/>
    </xf>
    <xf numFmtId="0" fontId="140" fillId="0" borderId="0" xfId="4496" applyFont="1" applyAlignment="1">
      <alignment horizontal="right"/>
    </xf>
    <xf numFmtId="182" fontId="140" fillId="0" borderId="0" xfId="8721" applyNumberFormat="1" applyFont="1" applyBorder="1" applyAlignment="1" applyProtection="1">
      <alignment horizontal="center"/>
    </xf>
    <xf numFmtId="10" fontId="102" fillId="0" borderId="0" xfId="4494" applyNumberFormat="1" applyFont="1" applyBorder="1" applyAlignment="1" applyProtection="1">
      <alignment horizontal="center"/>
    </xf>
    <xf numFmtId="184" fontId="102" fillId="0" borderId="6" xfId="4496" applyNumberFormat="1" applyFont="1" applyBorder="1"/>
    <xf numFmtId="0" fontId="140" fillId="0" borderId="0" xfId="4496" applyFont="1" applyAlignment="1">
      <alignment horizontal="right" vertical="top"/>
    </xf>
    <xf numFmtId="182" fontId="140" fillId="0" borderId="0" xfId="4496" applyNumberFormat="1" applyFont="1"/>
    <xf numFmtId="182" fontId="102" fillId="0" borderId="6" xfId="8721" applyNumberFormat="1" applyFont="1" applyBorder="1" applyProtection="1"/>
    <xf numFmtId="184" fontId="102" fillId="0" borderId="0" xfId="4496" applyNumberFormat="1" applyFont="1" applyAlignment="1">
      <alignment horizontal="center"/>
    </xf>
    <xf numFmtId="0" fontId="102" fillId="0" borderId="6" xfId="4496" applyFont="1" applyBorder="1" applyAlignment="1">
      <alignment horizontal="right" vertical="top" wrapText="1" indent="1"/>
    </xf>
    <xf numFmtId="0" fontId="102" fillId="0" borderId="67" xfId="4496" applyFont="1" applyBorder="1" applyAlignment="1">
      <alignment horizontal="right" indent="1"/>
    </xf>
    <xf numFmtId="0" fontId="102" fillId="0" borderId="72" xfId="4496" applyFont="1" applyBorder="1" applyAlignment="1">
      <alignment horizontal="right" indent="1"/>
    </xf>
    <xf numFmtId="0" fontId="102" fillId="0" borderId="72" xfId="4496" quotePrefix="1" applyFont="1" applyBorder="1" applyAlignment="1">
      <alignment horizontal="right" indent="1"/>
    </xf>
    <xf numFmtId="0" fontId="102" fillId="0" borderId="69" xfId="4496" applyFont="1" applyBorder="1" applyAlignment="1">
      <alignment horizontal="right" indent="1"/>
    </xf>
    <xf numFmtId="182" fontId="102" fillId="0" borderId="71" xfId="4496" applyNumberFormat="1" applyFont="1" applyBorder="1"/>
    <xf numFmtId="182" fontId="102" fillId="0" borderId="76" xfId="4496" applyNumberFormat="1" applyFont="1" applyBorder="1"/>
    <xf numFmtId="182" fontId="102" fillId="0" borderId="77" xfId="4496" applyNumberFormat="1" applyFont="1" applyBorder="1"/>
    <xf numFmtId="175" fontId="28" fillId="0" borderId="0" xfId="543" applyNumberFormat="1" applyFont="1" applyAlignment="1">
      <alignment vertical="center"/>
    </xf>
    <xf numFmtId="10" fontId="140" fillId="0" borderId="0" xfId="4494" applyNumberFormat="1" applyFont="1" applyProtection="1"/>
    <xf numFmtId="0" fontId="28" fillId="0" borderId="0" xfId="1192" applyFont="1" applyAlignment="1">
      <alignment horizontal="left" indent="1"/>
    </xf>
    <xf numFmtId="168" fontId="102" fillId="0" borderId="11" xfId="4499" applyNumberFormat="1" applyFont="1" applyFill="1" applyBorder="1" applyAlignment="1" applyProtection="1">
      <alignment horizontal="left" vertical="center" indent="1"/>
    </xf>
    <xf numFmtId="168" fontId="140" fillId="0" borderId="68" xfId="4499" applyNumberFormat="1" applyFont="1" applyFill="1" applyBorder="1" applyAlignment="1" applyProtection="1">
      <alignment horizontal="left" vertical="center" indent="1"/>
    </xf>
    <xf numFmtId="182" fontId="102" fillId="0" borderId="13" xfId="4496" applyNumberFormat="1" applyFont="1" applyBorder="1"/>
    <xf numFmtId="182" fontId="102" fillId="0" borderId="70" xfId="4496" applyNumberFormat="1" applyFont="1" applyBorder="1"/>
    <xf numFmtId="0" fontId="39" fillId="0" borderId="0" xfId="4495" applyFont="1" applyAlignment="1">
      <alignment vertical="center"/>
    </xf>
    <xf numFmtId="0" fontId="126" fillId="0" borderId="0" xfId="4496" applyFont="1" applyAlignment="1">
      <alignment vertical="center" wrapText="1"/>
    </xf>
    <xf numFmtId="0" fontId="26" fillId="43" borderId="0" xfId="1192" applyFont="1" applyFill="1"/>
    <xf numFmtId="3" fontId="72" fillId="43" borderId="6" xfId="1192" applyNumberFormat="1" applyFont="1" applyFill="1" applyBorder="1"/>
    <xf numFmtId="0" fontId="156" fillId="0" borderId="0" xfId="0" applyFont="1"/>
    <xf numFmtId="0" fontId="26"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57" fillId="5" borderId="11" xfId="0" applyFont="1" applyFill="1" applyBorder="1" applyAlignment="1" applyProtection="1">
      <alignment horizontal="right" vertical="top" wrapText="1"/>
      <protection locked="0"/>
    </xf>
    <xf numFmtId="0" fontId="21" fillId="43" borderId="3" xfId="569" applyFill="1" applyBorder="1"/>
    <xf numFmtId="0" fontId="161" fillId="0" borderId="0" xfId="0" applyFont="1" applyAlignment="1">
      <alignment horizontal="right"/>
    </xf>
    <xf numFmtId="1" fontId="29" fillId="0" borderId="0" xfId="4495" applyNumberFormat="1" applyFont="1"/>
    <xf numFmtId="0" fontId="28" fillId="0" borderId="4" xfId="569" applyFont="1" applyBorder="1" applyAlignment="1">
      <alignment horizontal="center"/>
    </xf>
    <xf numFmtId="43" fontId="28" fillId="0" borderId="0" xfId="4503" applyFont="1" applyAlignment="1" applyProtection="1">
      <alignment horizontal="center"/>
    </xf>
    <xf numFmtId="0" fontId="28" fillId="0" borderId="0" xfId="569" applyFont="1" applyAlignment="1">
      <alignment horizontal="center" vertical="center"/>
    </xf>
    <xf numFmtId="0" fontId="28" fillId="0" borderId="16" xfId="569" applyFont="1" applyBorder="1" applyAlignment="1">
      <alignment horizontal="center"/>
    </xf>
    <xf numFmtId="49" fontId="28" fillId="0" borderId="4" xfId="569" applyNumberFormat="1" applyFont="1" applyBorder="1" applyAlignment="1">
      <alignment horizontal="center"/>
    </xf>
    <xf numFmtId="4" fontId="28" fillId="0" borderId="0" xfId="569" applyNumberFormat="1" applyFont="1" applyAlignment="1">
      <alignment horizontal="center"/>
    </xf>
    <xf numFmtId="0" fontId="21" fillId="0" borderId="0" xfId="569" applyAlignment="1">
      <alignment horizontal="center" wrapText="1"/>
    </xf>
    <xf numFmtId="0" fontId="21" fillId="0" borderId="0" xfId="0" applyFont="1" applyAlignment="1">
      <alignment vertical="center" wrapText="1"/>
    </xf>
    <xf numFmtId="3" fontId="26" fillId="43" borderId="11" xfId="271" applyNumberFormat="1" applyFont="1" applyFill="1" applyBorder="1" applyAlignment="1" applyProtection="1">
      <alignment horizontal="left"/>
      <protection locked="0"/>
    </xf>
    <xf numFmtId="0" fontId="102" fillId="43" borderId="6" xfId="4496" applyFont="1" applyFill="1" applyBorder="1" applyProtection="1">
      <protection locked="0"/>
    </xf>
    <xf numFmtId="1" fontId="102" fillId="0" borderId="0" xfId="4496" applyNumberFormat="1" applyFont="1" applyProtection="1">
      <protection locked="0"/>
    </xf>
    <xf numFmtId="182" fontId="166" fillId="0" borderId="11" xfId="4496" applyNumberFormat="1" applyFont="1" applyBorder="1"/>
    <xf numFmtId="44" fontId="102" fillId="0" borderId="0" xfId="4496" applyNumberFormat="1" applyFont="1"/>
    <xf numFmtId="182" fontId="26" fillId="0" borderId="11" xfId="4496" applyNumberFormat="1" applyFont="1" applyBorder="1"/>
    <xf numFmtId="9" fontId="102" fillId="0" borderId="0" xfId="4494" applyFont="1"/>
    <xf numFmtId="182" fontId="102" fillId="43" borderId="6" xfId="8721" applyNumberFormat="1" applyFont="1" applyFill="1" applyBorder="1" applyProtection="1">
      <protection locked="0"/>
    </xf>
    <xf numFmtId="0" fontId="21" fillId="0" borderId="0" xfId="4495" applyFont="1" applyAlignment="1">
      <alignment wrapText="1"/>
    </xf>
    <xf numFmtId="168" fontId="178" fillId="48" borderId="79" xfId="700" applyNumberFormat="1" applyFont="1" applyFill="1" applyBorder="1" applyAlignment="1" applyProtection="1">
      <protection locked="0"/>
    </xf>
    <xf numFmtId="3" fontId="49" fillId="10" borderId="0" xfId="543" applyNumberFormat="1" applyFont="1" applyFill="1" applyAlignment="1">
      <alignment vertical="center" wrapText="1"/>
    </xf>
    <xf numFmtId="0" fontId="185" fillId="0" borderId="0" xfId="543" applyFont="1" applyAlignment="1">
      <alignment horizontal="left" vertical="center"/>
    </xf>
    <xf numFmtId="0" fontId="186" fillId="0" borderId="0" xfId="543" applyFont="1" applyAlignment="1">
      <alignment horizontal="right" vertical="top" wrapText="1"/>
    </xf>
    <xf numFmtId="168" fontId="186" fillId="0" borderId="0" xfId="543" applyNumberFormat="1" applyFont="1" applyAlignment="1">
      <alignment horizontal="center" vertical="center"/>
    </xf>
    <xf numFmtId="0" fontId="187" fillId="0" borderId="0" xfId="543" applyFont="1" applyAlignment="1">
      <alignment horizontal="left" vertical="center"/>
    </xf>
    <xf numFmtId="0" fontId="187" fillId="0" borderId="0" xfId="543" applyFont="1" applyAlignment="1">
      <alignment horizontal="right" vertical="top" wrapText="1"/>
    </xf>
    <xf numFmtId="168" fontId="186" fillId="0" borderId="104" xfId="543" applyNumberFormat="1" applyFont="1" applyBorder="1" applyAlignment="1">
      <alignment horizontal="center" vertical="center"/>
    </xf>
    <xf numFmtId="0" fontId="187" fillId="0" borderId="106" xfId="543" applyFont="1" applyBorder="1" applyAlignment="1">
      <alignment horizontal="right" vertical="top" wrapText="1"/>
    </xf>
    <xf numFmtId="0" fontId="28" fillId="0" borderId="0" xfId="4495" applyFont="1" applyAlignment="1">
      <alignment wrapText="1"/>
    </xf>
    <xf numFmtId="182" fontId="21" fillId="0" borderId="0" xfId="700" applyNumberFormat="1" applyFont="1"/>
    <xf numFmtId="9" fontId="21" fillId="0" borderId="0" xfId="1022" applyFont="1"/>
    <xf numFmtId="168" fontId="21"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6" fillId="52" borderId="113" xfId="0" applyFont="1" applyFill="1" applyBorder="1"/>
    <xf numFmtId="0" fontId="126" fillId="53" borderId="113" xfId="0" applyFont="1" applyFill="1" applyBorder="1"/>
    <xf numFmtId="1" fontId="0" fillId="0" borderId="0" xfId="0" applyNumberFormat="1"/>
    <xf numFmtId="0" fontId="22"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22" fillId="0" borderId="0" xfId="244" applyAlignment="1">
      <alignment horizontal="left" vertical="top"/>
    </xf>
    <xf numFmtId="9" fontId="21" fillId="0" borderId="0" xfId="0" applyNumberFormat="1" applyFont="1"/>
    <xf numFmtId="185" fontId="172" fillId="0" borderId="0" xfId="698" applyNumberFormat="1" applyFont="1"/>
    <xf numFmtId="0" fontId="189" fillId="0" borderId="0" xfId="0" applyFont="1" applyAlignment="1">
      <alignment horizontal="center"/>
    </xf>
    <xf numFmtId="0" fontId="21" fillId="0" borderId="0" xfId="569" quotePrefix="1"/>
    <xf numFmtId="168" fontId="159" fillId="0" borderId="0" xfId="0" applyNumberFormat="1" applyFont="1" applyAlignment="1">
      <alignment vertical="center" wrapText="1"/>
    </xf>
    <xf numFmtId="168" fontId="190" fillId="0" borderId="0" xfId="0" applyNumberFormat="1" applyFont="1" applyAlignment="1">
      <alignment horizontal="center" vertical="center" wrapText="1"/>
    </xf>
    <xf numFmtId="0" fontId="0" fillId="0" borderId="0" xfId="0" applyAlignment="1">
      <alignment vertical="center"/>
    </xf>
    <xf numFmtId="0" fontId="28" fillId="0" borderId="0" xfId="4495" quotePrefix="1" applyFont="1"/>
    <xf numFmtId="0" fontId="28" fillId="0" borderId="0" xfId="4495" applyFont="1" applyAlignment="1">
      <alignment horizontal="left" vertical="center"/>
    </xf>
    <xf numFmtId="0" fontId="28" fillId="0" borderId="0" xfId="4495" applyFont="1" applyAlignment="1">
      <alignment vertical="center"/>
    </xf>
    <xf numFmtId="0" fontId="126" fillId="0" borderId="58" xfId="4496" applyFont="1" applyBorder="1" applyAlignment="1">
      <alignment vertical="center"/>
    </xf>
    <xf numFmtId="0" fontId="28" fillId="0" borderId="5" xfId="4495" applyFont="1" applyBorder="1"/>
    <xf numFmtId="182" fontId="102" fillId="0" borderId="6" xfId="4496" applyNumberFormat="1" applyFont="1" applyBorder="1" applyAlignment="1">
      <alignment vertical="center"/>
    </xf>
    <xf numFmtId="1" fontId="102" fillId="0" borderId="0" xfId="4496" applyNumberFormat="1" applyFont="1" applyAlignment="1">
      <alignment horizontal="right" vertical="top" wrapText="1" indent="1"/>
    </xf>
    <xf numFmtId="3" fontId="102" fillId="43" borderId="6" xfId="4496" applyNumberFormat="1" applyFont="1" applyFill="1" applyBorder="1" applyAlignment="1" applyProtection="1">
      <alignment horizontal="center"/>
      <protection locked="0"/>
    </xf>
    <xf numFmtId="0" fontId="5" fillId="0" borderId="0" xfId="8736"/>
    <xf numFmtId="0" fontId="172" fillId="0" borderId="0" xfId="8736" applyFont="1"/>
    <xf numFmtId="0" fontId="107" fillId="0" borderId="0" xfId="8736" applyFont="1"/>
    <xf numFmtId="0" fontId="5" fillId="47" borderId="66" xfId="8736" applyFill="1" applyBorder="1"/>
    <xf numFmtId="0" fontId="5" fillId="47" borderId="0" xfId="8736" applyFill="1"/>
    <xf numFmtId="0" fontId="106" fillId="47" borderId="0" xfId="8736" applyFont="1" applyFill="1"/>
    <xf numFmtId="9" fontId="5" fillId="44" borderId="3" xfId="1022" applyFont="1" applyFill="1" applyBorder="1" applyAlignment="1">
      <alignment horizontal="centerContinuous"/>
    </xf>
    <xf numFmtId="9" fontId="5" fillId="44" borderId="4" xfId="1022" applyFont="1" applyFill="1" applyBorder="1" applyAlignment="1">
      <alignment horizontal="centerContinuous"/>
    </xf>
    <xf numFmtId="9" fontId="5" fillId="44" borderId="5" xfId="1022" applyFont="1" applyFill="1" applyBorder="1" applyAlignment="1">
      <alignment horizontal="centerContinuous"/>
    </xf>
    <xf numFmtId="0" fontId="106" fillId="47" borderId="41" xfId="8736" applyFont="1" applyFill="1" applyBorder="1" applyAlignment="1">
      <alignment horizontal="center"/>
    </xf>
    <xf numFmtId="182" fontId="177" fillId="47" borderId="0" xfId="8737" applyNumberFormat="1" applyFont="1" applyFill="1" applyBorder="1" applyAlignment="1"/>
    <xf numFmtId="0" fontId="5" fillId="47" borderId="41" xfId="8736" applyFill="1" applyBorder="1"/>
    <xf numFmtId="0" fontId="107" fillId="47" borderId="0" xfId="8736" applyFont="1" applyFill="1"/>
    <xf numFmtId="0" fontId="181" fillId="47" borderId="0" xfId="8736" applyFont="1" applyFill="1"/>
    <xf numFmtId="0" fontId="106" fillId="47" borderId="41" xfId="8736" applyFont="1" applyFill="1" applyBorder="1"/>
    <xf numFmtId="0" fontId="106" fillId="0" borderId="0" xfId="8736" applyFont="1"/>
    <xf numFmtId="0" fontId="169" fillId="0" borderId="0" xfId="8736" applyFont="1"/>
    <xf numFmtId="0" fontId="106" fillId="54" borderId="100" xfId="8736" applyFont="1" applyFill="1" applyBorder="1"/>
    <xf numFmtId="0" fontId="5" fillId="53" borderId="99" xfId="8736" applyFill="1" applyBorder="1"/>
    <xf numFmtId="0" fontId="5" fillId="52" borderId="99" xfId="8736" applyFill="1" applyBorder="1"/>
    <xf numFmtId="0" fontId="106" fillId="45" borderId="65" xfId="8736" applyFont="1" applyFill="1" applyBorder="1"/>
    <xf numFmtId="0" fontId="5" fillId="45" borderId="80" xfId="8736" applyFill="1" applyBorder="1"/>
    <xf numFmtId="0" fontId="5" fillId="45" borderId="79" xfId="8736" applyFill="1" applyBorder="1"/>
    <xf numFmtId="0" fontId="5" fillId="45" borderId="78" xfId="8736" applyFill="1" applyBorder="1"/>
    <xf numFmtId="0" fontId="106" fillId="45" borderId="0" xfId="8736" applyFont="1" applyFill="1"/>
    <xf numFmtId="0" fontId="106" fillId="45" borderId="12" xfId="8736" applyFont="1" applyFill="1" applyBorder="1"/>
    <xf numFmtId="0" fontId="106" fillId="45" borderId="29" xfId="8736" applyFont="1" applyFill="1" applyBorder="1"/>
    <xf numFmtId="0" fontId="106" fillId="45" borderId="80" xfId="8736" applyFont="1" applyFill="1" applyBorder="1"/>
    <xf numFmtId="0" fontId="106" fillId="45" borderId="79" xfId="8736" applyFont="1" applyFill="1" applyBorder="1"/>
    <xf numFmtId="0" fontId="106" fillId="45" borderId="78" xfId="8736" applyFont="1" applyFill="1" applyBorder="1"/>
    <xf numFmtId="0" fontId="106" fillId="45" borderId="93" xfId="8736" applyFont="1" applyFill="1" applyBorder="1"/>
    <xf numFmtId="0" fontId="106" fillId="45" borderId="6" xfId="8736" applyFont="1" applyFill="1" applyBorder="1"/>
    <xf numFmtId="0" fontId="106" fillId="45" borderId="10" xfId="8736" applyFont="1" applyFill="1" applyBorder="1"/>
    <xf numFmtId="0" fontId="172" fillId="44" borderId="0" xfId="8736" applyFont="1" applyFill="1"/>
    <xf numFmtId="10" fontId="172" fillId="44" borderId="0" xfId="1022" applyNumberFormat="1" applyFont="1" applyFill="1"/>
    <xf numFmtId="0" fontId="5" fillId="45" borderId="29" xfId="8736" applyFill="1" applyBorder="1"/>
    <xf numFmtId="0" fontId="5" fillId="45" borderId="31" xfId="8736" applyFill="1" applyBorder="1"/>
    <xf numFmtId="0" fontId="106" fillId="45" borderId="92" xfId="8736" applyFont="1" applyFill="1" applyBorder="1"/>
    <xf numFmtId="0" fontId="106" fillId="45" borderId="74" xfId="8736" applyFont="1" applyFill="1" applyBorder="1"/>
    <xf numFmtId="0" fontId="183" fillId="47" borderId="0" xfId="8736" applyFont="1" applyFill="1"/>
    <xf numFmtId="0" fontId="106" fillId="45" borderId="31" xfId="8736" applyFont="1" applyFill="1" applyBorder="1"/>
    <xf numFmtId="0" fontId="5" fillId="47" borderId="0" xfId="8736" applyFill="1" applyAlignment="1">
      <alignment horizontal="left"/>
    </xf>
    <xf numFmtId="0" fontId="175" fillId="51" borderId="11" xfId="8736" applyFont="1" applyFill="1" applyBorder="1"/>
    <xf numFmtId="0" fontId="175" fillId="51" borderId="76" xfId="8736" applyFont="1" applyFill="1" applyBorder="1"/>
    <xf numFmtId="0" fontId="176" fillId="51" borderId="11" xfId="8736" applyFont="1" applyFill="1" applyBorder="1" applyAlignment="1">
      <alignment horizontal="center"/>
    </xf>
    <xf numFmtId="0" fontId="176" fillId="51" borderId="76" xfId="8736" applyFont="1" applyFill="1" applyBorder="1" applyAlignment="1">
      <alignment horizontal="center"/>
    </xf>
    <xf numFmtId="0" fontId="5" fillId="48" borderId="66" xfId="8736" applyFill="1" applyBorder="1"/>
    <xf numFmtId="0" fontId="5" fillId="48" borderId="0" xfId="8736" applyFill="1"/>
    <xf numFmtId="0" fontId="5" fillId="48" borderId="78" xfId="8736" applyFill="1" applyBorder="1"/>
    <xf numFmtId="0" fontId="106" fillId="47" borderId="66" xfId="8736" applyFont="1" applyFill="1" applyBorder="1"/>
    <xf numFmtId="49" fontId="106" fillId="47" borderId="66" xfId="8736" applyNumberFormat="1" applyFont="1" applyFill="1" applyBorder="1" applyAlignment="1">
      <alignment horizontal="right" vertical="top"/>
    </xf>
    <xf numFmtId="0" fontId="5" fillId="47" borderId="73" xfId="8736" applyFill="1" applyBorder="1"/>
    <xf numFmtId="0" fontId="5" fillId="47" borderId="42" xfId="8736" applyFill="1" applyBorder="1"/>
    <xf numFmtId="0" fontId="5" fillId="47" borderId="44" xfId="8736" applyFill="1" applyBorder="1"/>
    <xf numFmtId="0" fontId="5" fillId="44" borderId="66" xfId="8736" applyFill="1" applyBorder="1"/>
    <xf numFmtId="0" fontId="5" fillId="44" borderId="0" xfId="8736" applyFill="1"/>
    <xf numFmtId="0" fontId="5" fillId="44" borderId="41" xfId="8736" applyFill="1" applyBorder="1"/>
    <xf numFmtId="0" fontId="5" fillId="44" borderId="0" xfId="8736" applyFill="1" applyAlignment="1">
      <alignment horizontal="left"/>
    </xf>
    <xf numFmtId="0" fontId="5" fillId="44" borderId="73" xfId="8736" applyFill="1" applyBorder="1"/>
    <xf numFmtId="0" fontId="5" fillId="44" borderId="42" xfId="8736" applyFill="1" applyBorder="1"/>
    <xf numFmtId="0" fontId="5" fillId="44" borderId="44" xfId="8736" applyFill="1" applyBorder="1"/>
    <xf numFmtId="0" fontId="167" fillId="0" borderId="0" xfId="8736" applyFont="1"/>
    <xf numFmtId="0" fontId="0" fillId="5" borderId="6" xfId="0" applyFill="1" applyBorder="1" applyAlignment="1" applyProtection="1">
      <alignment horizontal="left"/>
      <protection locked="0"/>
    </xf>
    <xf numFmtId="0" fontId="0" fillId="5" borderId="4" xfId="0" applyFill="1" applyBorder="1" applyAlignment="1" applyProtection="1">
      <alignment horizontal="center"/>
      <protection locked="0"/>
    </xf>
    <xf numFmtId="0" fontId="21" fillId="0" borderId="0" xfId="0" applyFont="1" applyAlignment="1">
      <alignment horizontal="left" vertical="top" wrapText="1"/>
    </xf>
    <xf numFmtId="0" fontId="22" fillId="0" borderId="0" xfId="244"/>
    <xf numFmtId="0" fontId="0" fillId="0" borderId="0" xfId="0"/>
    <xf numFmtId="0" fontId="21" fillId="0" borderId="0" xfId="1192" applyAlignment="1">
      <alignment horizontal="left" vertical="top" wrapText="1"/>
    </xf>
    <xf numFmtId="0" fontId="28" fillId="0" borderId="0" xfId="0" applyFont="1" applyAlignment="1">
      <alignment horizontal="left" vertical="top" wrapText="1"/>
    </xf>
    <xf numFmtId="0" fontId="50" fillId="0" borderId="0" xfId="0" applyFont="1" applyAlignment="1">
      <alignment horizontal="left" vertical="top" wrapText="1"/>
    </xf>
    <xf numFmtId="0" fontId="21" fillId="0" borderId="0" xfId="0" applyFont="1" applyAlignment="1">
      <alignment horizontal="left" wrapText="1"/>
    </xf>
    <xf numFmtId="0" fontId="22" fillId="0" borderId="0" xfId="244" applyAlignment="1" applyProtection="1">
      <alignment horizontal="left"/>
    </xf>
    <xf numFmtId="0" fontId="117" fillId="0" borderId="0" xfId="0" applyFont="1" applyAlignment="1">
      <alignment horizontal="left" wrapText="1"/>
    </xf>
    <xf numFmtId="0" fontId="30" fillId="0" borderId="0" xfId="0" applyFont="1" applyAlignment="1">
      <alignment horizontal="left" wrapText="1"/>
    </xf>
    <xf numFmtId="0" fontId="27" fillId="3" borderId="0" xfId="0" applyFont="1" applyFill="1" applyAlignment="1">
      <alignment horizontal="center" vertical="center" wrapText="1"/>
    </xf>
    <xf numFmtId="0" fontId="27" fillId="3" borderId="16" xfId="0" applyFont="1" applyFill="1" applyBorder="1" applyAlignment="1">
      <alignment horizontal="center" vertical="center" wrapText="1"/>
    </xf>
    <xf numFmtId="0" fontId="109" fillId="0" borderId="0" xfId="0" applyFont="1" applyAlignment="1">
      <alignment horizontal="left" vertical="top" wrapText="1"/>
    </xf>
    <xf numFmtId="0" fontId="22" fillId="0" borderId="0" xfId="244" applyAlignment="1">
      <alignment horizontal="left" vertical="top"/>
    </xf>
    <xf numFmtId="0" fontId="118" fillId="0" borderId="0" xfId="569" applyFont="1" applyAlignment="1">
      <alignment horizontal="center"/>
    </xf>
    <xf numFmtId="0" fontId="119" fillId="0" borderId="0" xfId="569" applyFont="1"/>
    <xf numFmtId="0" fontId="21" fillId="0" borderId="0" xfId="569" applyAlignment="1">
      <alignment wrapText="1"/>
    </xf>
    <xf numFmtId="0" fontId="28" fillId="0" borderId="0" xfId="569" applyFont="1" applyAlignment="1">
      <alignment wrapText="1"/>
    </xf>
    <xf numFmtId="0" fontId="36" fillId="0" borderId="0" xfId="569" applyFont="1" applyAlignment="1">
      <alignment horizontal="center"/>
    </xf>
    <xf numFmtId="0" fontId="21" fillId="0" borderId="0" xfId="569"/>
    <xf numFmtId="0" fontId="21" fillId="0" borderId="0" xfId="1192" applyAlignment="1">
      <alignment vertical="top" wrapText="1"/>
    </xf>
    <xf numFmtId="0" fontId="21" fillId="0" borderId="0" xfId="569" applyAlignment="1">
      <alignment horizontal="left" wrapText="1"/>
    </xf>
    <xf numFmtId="0" fontId="39" fillId="0" borderId="0" xfId="569" applyFont="1" applyAlignment="1">
      <alignment horizontal="center"/>
    </xf>
    <xf numFmtId="0" fontId="28" fillId="0" borderId="0" xfId="569" applyFont="1" applyAlignment="1">
      <alignment horizontal="center"/>
    </xf>
    <xf numFmtId="0" fontId="21" fillId="0" borderId="0" xfId="569" applyAlignment="1">
      <alignment horizontal="left" vertical="top" wrapText="1"/>
    </xf>
    <xf numFmtId="0" fontId="21" fillId="0" borderId="0" xfId="569" applyAlignment="1">
      <alignment horizontal="left"/>
    </xf>
    <xf numFmtId="0" fontId="39" fillId="0" borderId="0" xfId="569" applyFont="1" applyAlignment="1">
      <alignment horizontal="left" vertical="top" wrapText="1"/>
    </xf>
    <xf numFmtId="0" fontId="28" fillId="0" borderId="4" xfId="569" applyFont="1" applyBorder="1" applyAlignment="1">
      <alignment horizontal="left"/>
    </xf>
    <xf numFmtId="4" fontId="21" fillId="0" borderId="0" xfId="1192" applyNumberFormat="1" applyAlignment="1">
      <alignment horizontal="left" vertical="top" wrapText="1"/>
    </xf>
    <xf numFmtId="49" fontId="21" fillId="0" borderId="0" xfId="0" applyNumberFormat="1" applyFont="1" applyAlignment="1">
      <alignment horizontal="left" vertical="top" wrapText="1"/>
    </xf>
    <xf numFmtId="0" fontId="22" fillId="0" borderId="0" xfId="244" applyAlignment="1" applyProtection="1">
      <alignment horizontal="left" vertical="top" wrapText="1"/>
    </xf>
    <xf numFmtId="0" fontId="21" fillId="0" borderId="0" xfId="569" applyAlignment="1">
      <alignment horizontal="left" vertical="top"/>
    </xf>
    <xf numFmtId="0" fontId="28" fillId="0" borderId="4" xfId="569" applyFont="1" applyBorder="1" applyAlignment="1">
      <alignment horizontal="left" vertical="top"/>
    </xf>
    <xf numFmtId="0" fontId="39" fillId="0" borderId="0" xfId="569" applyFont="1" applyAlignment="1">
      <alignment horizontal="left"/>
    </xf>
    <xf numFmtId="4" fontId="21" fillId="0" borderId="0" xfId="569" applyNumberFormat="1" applyAlignment="1">
      <alignment horizontal="left"/>
    </xf>
    <xf numFmtId="4" fontId="21" fillId="0" borderId="0" xfId="569" applyNumberFormat="1" applyAlignment="1">
      <alignment horizontal="left" vertical="top" wrapText="1"/>
    </xf>
    <xf numFmtId="0" fontId="28" fillId="0" borderId="0" xfId="569" applyFont="1" applyAlignment="1">
      <alignment horizontal="left"/>
    </xf>
    <xf numFmtId="0" fontId="39" fillId="0" borderId="0" xfId="1192" applyFont="1" applyAlignment="1">
      <alignment horizontal="left"/>
    </xf>
    <xf numFmtId="0" fontId="21" fillId="0" borderId="0" xfId="1192" applyAlignment="1">
      <alignment horizontal="left"/>
    </xf>
    <xf numFmtId="0" fontId="21" fillId="0" borderId="0" xfId="0" applyFont="1" applyAlignment="1">
      <alignment horizontal="left"/>
    </xf>
    <xf numFmtId="0" fontId="21" fillId="0" borderId="0" xfId="0" applyFont="1" applyAlignment="1">
      <alignment horizontal="left" vertical="top"/>
    </xf>
    <xf numFmtId="0" fontId="28" fillId="0" borderId="0" xfId="0" applyFont="1" applyAlignment="1">
      <alignment horizontal="left" vertical="top"/>
    </xf>
    <xf numFmtId="49" fontId="21" fillId="0" borderId="0" xfId="1192" applyNumberFormat="1" applyAlignment="1">
      <alignment horizontal="left" vertical="top" wrapText="1"/>
    </xf>
    <xf numFmtId="0" fontId="22" fillId="0" borderId="0" xfId="244" applyNumberFormat="1" applyFill="1" applyAlignment="1" applyProtection="1">
      <alignment horizontal="left"/>
    </xf>
    <xf numFmtId="0" fontId="39" fillId="0" borderId="0" xfId="569" applyFont="1" applyAlignment="1">
      <alignment horizontal="left" wrapText="1"/>
    </xf>
    <xf numFmtId="0" fontId="39" fillId="0" borderId="0" xfId="569" applyFont="1" applyAlignment="1">
      <alignment horizontal="center" wrapText="1"/>
    </xf>
    <xf numFmtId="0" fontId="21" fillId="0" borderId="0" xfId="569" applyAlignment="1">
      <alignment horizontal="left" vertical="center" wrapText="1"/>
    </xf>
    <xf numFmtId="0" fontId="28" fillId="0" borderId="4" xfId="0" applyFont="1" applyBorder="1" applyAlignment="1">
      <alignment horizontal="left"/>
    </xf>
    <xf numFmtId="0" fontId="21" fillId="0" borderId="0" xfId="1192" applyAlignment="1" applyProtection="1">
      <alignment horizontal="left" vertical="top" wrapText="1"/>
      <protection locked="0"/>
    </xf>
    <xf numFmtId="0" fontId="0" fillId="0" borderId="0" xfId="0" applyAlignment="1">
      <alignment horizontal="left" vertical="top" wrapText="1"/>
    </xf>
    <xf numFmtId="0" fontId="39" fillId="0" borderId="0" xfId="1192" applyFont="1" applyAlignment="1">
      <alignment horizontal="left" vertical="top" wrapText="1"/>
    </xf>
    <xf numFmtId="0" fontId="21" fillId="0" borderId="0" xfId="569" applyAlignment="1">
      <alignment vertical="top" wrapText="1"/>
    </xf>
    <xf numFmtId="0" fontId="39" fillId="0" borderId="0" xfId="0" applyFont="1" applyAlignment="1">
      <alignment horizontal="left" vertical="top" wrapText="1"/>
    </xf>
    <xf numFmtId="4" fontId="39" fillId="0" borderId="0" xfId="0" applyNumberFormat="1" applyFont="1" applyAlignment="1">
      <alignment horizontal="left" vertical="top" wrapText="1"/>
    </xf>
    <xf numFmtId="0" fontId="28" fillId="0" borderId="4" xfId="0" applyFont="1" applyBorder="1" applyAlignment="1">
      <alignment horizontal="left" vertical="top"/>
    </xf>
    <xf numFmtId="4" fontId="21" fillId="0" borderId="0" xfId="0" applyNumberFormat="1" applyFont="1" applyAlignment="1">
      <alignment horizontal="left" vertical="top" wrapText="1"/>
    </xf>
    <xf numFmtId="0" fontId="21" fillId="0" borderId="27" xfId="569" applyBorder="1" applyAlignment="1">
      <alignment horizontal="left"/>
    </xf>
    <xf numFmtId="0" fontId="28" fillId="0" borderId="16" xfId="569" applyFont="1" applyBorder="1" applyAlignment="1">
      <alignment horizontal="left"/>
    </xf>
    <xf numFmtId="4" fontId="39" fillId="0" borderId="0" xfId="569" applyNumberFormat="1" applyFont="1" applyAlignment="1">
      <alignment horizontal="left" vertical="top" wrapText="1"/>
    </xf>
    <xf numFmtId="0" fontId="39" fillId="0" borderId="0" xfId="0" applyFont="1" applyAlignment="1">
      <alignment horizontal="left"/>
    </xf>
    <xf numFmtId="0" fontId="21" fillId="0" borderId="0" xfId="0" quotePrefix="1" applyFont="1" applyAlignment="1">
      <alignment horizontal="left" vertical="top"/>
    </xf>
    <xf numFmtId="0" fontId="21" fillId="0" borderId="0" xfId="0" quotePrefix="1" applyFont="1" applyAlignment="1">
      <alignment horizontal="left" vertical="top" wrapText="1"/>
    </xf>
    <xf numFmtId="0" fontId="22" fillId="0" borderId="0" xfId="244" quotePrefix="1" applyAlignment="1" applyProtection="1">
      <alignment horizontal="left"/>
    </xf>
    <xf numFmtId="4" fontId="39" fillId="0" borderId="0" xfId="0" applyNumberFormat="1" applyFont="1" applyAlignment="1">
      <alignment horizontal="left"/>
    </xf>
    <xf numFmtId="0" fontId="28" fillId="0" borderId="0" xfId="1192" applyFont="1" applyAlignment="1">
      <alignment horizontal="left" vertical="top" wrapText="1"/>
    </xf>
    <xf numFmtId="0" fontId="21" fillId="0" borderId="0" xfId="0" applyFont="1" applyAlignment="1">
      <alignment horizontal="left" vertical="center" wrapText="1"/>
    </xf>
    <xf numFmtId="0" fontId="21" fillId="0" borderId="0" xfId="0" applyFont="1" applyAlignment="1">
      <alignment vertical="top" wrapText="1"/>
    </xf>
    <xf numFmtId="0" fontId="22" fillId="0" borderId="0" xfId="244" applyFill="1" applyBorder="1" applyAlignment="1">
      <alignment horizontal="left" vertical="top" wrapText="1"/>
    </xf>
    <xf numFmtId="0" fontId="21" fillId="0" borderId="0" xfId="0" applyFont="1" applyAlignment="1">
      <alignment vertical="center" wrapText="1"/>
    </xf>
    <xf numFmtId="0" fontId="28" fillId="0" borderId="0" xfId="0" applyFont="1" applyAlignment="1">
      <alignment vertical="top" wrapText="1"/>
    </xf>
    <xf numFmtId="4" fontId="21" fillId="0" borderId="0" xfId="0" applyNumberFormat="1" applyFont="1" applyAlignment="1">
      <alignment horizontal="left"/>
    </xf>
    <xf numFmtId="0" fontId="39" fillId="0" borderId="0" xfId="569" applyFont="1" applyAlignment="1">
      <alignment horizontal="left" vertical="top"/>
    </xf>
    <xf numFmtId="0" fontId="39" fillId="0" borderId="0" xfId="0" applyFont="1" applyAlignment="1">
      <alignment horizontal="left" vertical="top"/>
    </xf>
    <xf numFmtId="0" fontId="30" fillId="45" borderId="3" xfId="0" applyFont="1" applyFill="1" applyBorder="1" applyAlignment="1">
      <alignment horizontal="center"/>
    </xf>
    <xf numFmtId="0" fontId="30" fillId="45" borderId="4" xfId="0" applyFont="1" applyFill="1" applyBorder="1" applyAlignment="1">
      <alignment horizontal="center"/>
    </xf>
    <xf numFmtId="0" fontId="30" fillId="45" borderId="5" xfId="0" applyFont="1" applyFill="1" applyBorder="1" applyAlignment="1">
      <alignment horizontal="center"/>
    </xf>
    <xf numFmtId="0" fontId="21" fillId="5" borderId="6"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30" fillId="0" borderId="3" xfId="0" applyFont="1" applyBorder="1" applyAlignment="1">
      <alignment horizontal="center"/>
    </xf>
    <xf numFmtId="0" fontId="30" fillId="0" borderId="5" xfId="0" applyFont="1" applyBorder="1" applyAlignment="1">
      <alignment horizontal="center"/>
    </xf>
    <xf numFmtId="0" fontId="30" fillId="45" borderId="11" xfId="0" applyFont="1" applyFill="1" applyBorder="1" applyAlignment="1">
      <alignment horizontal="center"/>
    </xf>
    <xf numFmtId="0" fontId="21" fillId="0" borderId="3" xfId="0" applyFont="1" applyBorder="1" applyAlignment="1">
      <alignment horizontal="center"/>
    </xf>
    <xf numFmtId="0" fontId="21" fillId="0" borderId="5" xfId="0" applyFont="1" applyBorder="1" applyAlignment="1">
      <alignment horizontal="center"/>
    </xf>
    <xf numFmtId="0" fontId="30" fillId="0" borderId="4" xfId="0" applyFont="1" applyBorder="1" applyAlignment="1">
      <alignment horizont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168" fontId="187" fillId="0" borderId="105" xfId="543" applyNumberFormat="1" applyFont="1" applyBorder="1" applyAlignment="1">
      <alignment horizontal="right" vertical="center" wrapText="1"/>
    </xf>
    <xf numFmtId="175" fontId="187" fillId="0" borderId="107" xfId="543" applyNumberFormat="1" applyFont="1" applyBorder="1" applyAlignment="1">
      <alignment horizontal="center" vertical="center" wrapText="1"/>
    </xf>
    <xf numFmtId="175" fontId="187" fillId="0" borderId="108" xfId="543" applyNumberFormat="1" applyFont="1" applyBorder="1" applyAlignment="1">
      <alignment horizontal="center" vertical="center" wrapText="1"/>
    </xf>
    <xf numFmtId="175" fontId="187" fillId="0" borderId="109" xfId="543" applyNumberFormat="1" applyFont="1" applyBorder="1" applyAlignment="1">
      <alignment horizontal="center" vertical="center" wrapText="1"/>
    </xf>
    <xf numFmtId="0" fontId="186"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4" fillId="0" borderId="3" xfId="0" applyFont="1" applyBorder="1" applyAlignment="1">
      <alignment horizontal="center"/>
    </xf>
    <xf numFmtId="0" fontId="44" fillId="0" borderId="4" xfId="0" applyFont="1" applyBorder="1" applyAlignment="1">
      <alignment horizontal="center"/>
    </xf>
    <xf numFmtId="0" fontId="44" fillId="0" borderId="5" xfId="0" applyFont="1" applyBorder="1" applyAlignment="1">
      <alignment horizontal="center"/>
    </xf>
    <xf numFmtId="0" fontId="21" fillId="0" borderId="4" xfId="0" applyFont="1" applyBorder="1" applyAlignment="1">
      <alignment horizontal="center"/>
    </xf>
    <xf numFmtId="0" fontId="21" fillId="0" borderId="11" xfId="0" applyFont="1" applyBorder="1" applyAlignment="1">
      <alignment horizontal="center"/>
    </xf>
    <xf numFmtId="9" fontId="30" fillId="5" borderId="3" xfId="0" applyNumberFormat="1" applyFont="1" applyFill="1" applyBorder="1" applyAlignment="1" applyProtection="1">
      <alignment horizontal="center"/>
      <protection locked="0"/>
    </xf>
    <xf numFmtId="9" fontId="30" fillId="5" borderId="4" xfId="0" applyNumberFormat="1" applyFont="1" applyFill="1" applyBorder="1" applyAlignment="1" applyProtection="1">
      <alignment horizontal="center"/>
      <protection locked="0"/>
    </xf>
    <xf numFmtId="9" fontId="30" fillId="5" borderId="5" xfId="0" applyNumberFormat="1" applyFont="1" applyFill="1" applyBorder="1" applyAlignment="1" applyProtection="1">
      <alignment horizontal="center"/>
      <protection locked="0"/>
    </xf>
    <xf numFmtId="168" fontId="30" fillId="5" borderId="3" xfId="0" applyNumberFormat="1" applyFont="1" applyFill="1" applyBorder="1" applyAlignment="1" applyProtection="1">
      <alignment horizontal="center"/>
      <protection locked="0"/>
    </xf>
    <xf numFmtId="168" fontId="30" fillId="5" borderId="4" xfId="0" applyNumberFormat="1" applyFont="1" applyFill="1" applyBorder="1" applyAlignment="1" applyProtection="1">
      <alignment horizontal="center"/>
      <protection locked="0"/>
    </xf>
    <xf numFmtId="168" fontId="30" fillId="5" borderId="5" xfId="0" applyNumberFormat="1" applyFont="1" applyFill="1" applyBorder="1" applyAlignment="1" applyProtection="1">
      <alignment horizontal="center"/>
      <protection locked="0"/>
    </xf>
    <xf numFmtId="1" fontId="30" fillId="5" borderId="3" xfId="0" applyNumberFormat="1" applyFont="1" applyFill="1" applyBorder="1" applyAlignment="1" applyProtection="1">
      <alignment horizontal="center"/>
      <protection locked="0"/>
    </xf>
    <xf numFmtId="1" fontId="30" fillId="5" borderId="4" xfId="0" applyNumberFormat="1" applyFont="1" applyFill="1" applyBorder="1" applyAlignment="1" applyProtection="1">
      <alignment horizontal="center"/>
      <protection locked="0"/>
    </xf>
    <xf numFmtId="1" fontId="30" fillId="5" borderId="5" xfId="0" applyNumberFormat="1" applyFont="1" applyFill="1" applyBorder="1" applyAlignment="1" applyProtection="1">
      <alignment horizontal="center"/>
      <protection locked="0"/>
    </xf>
    <xf numFmtId="168" fontId="30" fillId="0" borderId="3" xfId="0" applyNumberFormat="1" applyFont="1" applyBorder="1" applyAlignment="1">
      <alignment horizontal="center"/>
    </xf>
    <xf numFmtId="168" fontId="30" fillId="0" borderId="4" xfId="0" applyNumberFormat="1" applyFont="1" applyBorder="1" applyAlignment="1">
      <alignment horizontal="center"/>
    </xf>
    <xf numFmtId="168" fontId="30" fillId="0" borderId="5" xfId="0" applyNumberFormat="1" applyFont="1" applyBorder="1" applyAlignment="1">
      <alignment horizontal="center"/>
    </xf>
    <xf numFmtId="165" fontId="30" fillId="0" borderId="1" xfId="0" applyNumberFormat="1" applyFont="1" applyBorder="1" applyAlignment="1">
      <alignment horizontal="right"/>
    </xf>
    <xf numFmtId="165" fontId="30" fillId="0" borderId="2" xfId="0" applyNumberFormat="1" applyFont="1" applyBorder="1" applyAlignment="1">
      <alignment horizontal="right"/>
    </xf>
    <xf numFmtId="165" fontId="30" fillId="0" borderId="7" xfId="0" applyNumberFormat="1" applyFont="1" applyBorder="1" applyAlignment="1">
      <alignment horizontal="right"/>
    </xf>
    <xf numFmtId="0" fontId="30" fillId="5" borderId="3" xfId="0" applyFont="1" applyFill="1" applyBorder="1" applyAlignment="1" applyProtection="1">
      <alignment horizontal="center"/>
      <protection locked="0"/>
    </xf>
    <xf numFmtId="0" fontId="30" fillId="5" borderId="4" xfId="0" applyFont="1" applyFill="1" applyBorder="1" applyAlignment="1" applyProtection="1">
      <alignment horizontal="center"/>
      <protection locked="0"/>
    </xf>
    <xf numFmtId="0" fontId="30" fillId="5" borderId="5" xfId="0" applyFont="1" applyFill="1" applyBorder="1" applyAlignment="1" applyProtection="1">
      <alignment horizontal="center"/>
      <protection locked="0"/>
    </xf>
    <xf numFmtId="0" fontId="30" fillId="5" borderId="6" xfId="0" applyFont="1" applyFill="1" applyBorder="1" applyAlignment="1" applyProtection="1">
      <alignment horizontal="center"/>
      <protection locked="0"/>
    </xf>
    <xf numFmtId="0" fontId="30" fillId="5" borderId="6" xfId="271" applyFill="1" applyBorder="1" applyProtection="1">
      <protection locked="0"/>
    </xf>
    <xf numFmtId="0" fontId="30" fillId="2" borderId="11" xfId="0" applyFont="1" applyFill="1" applyBorder="1" applyAlignment="1">
      <alignment horizontal="center"/>
    </xf>
    <xf numFmtId="0" fontId="0" fillId="0" borderId="11" xfId="0" applyBorder="1" applyAlignment="1">
      <alignment horizontal="center"/>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30" fillId="5" borderId="9" xfId="0" applyFont="1"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30" fillId="5" borderId="11" xfId="0" applyNumberFormat="1" applyFont="1" applyFill="1" applyBorder="1" applyAlignment="1" applyProtection="1">
      <alignment horizontal="center"/>
      <protection locked="0"/>
    </xf>
    <xf numFmtId="10" fontId="30" fillId="0" borderId="11" xfId="0" applyNumberFormat="1" applyFont="1" applyBorder="1" applyAlignment="1">
      <alignment horizontal="center"/>
    </xf>
    <xf numFmtId="0" fontId="21" fillId="0" borderId="3" xfId="0" applyFont="1" applyBorder="1" applyAlignment="1">
      <alignment horizontal="left"/>
    </xf>
    <xf numFmtId="0" fontId="21" fillId="0" borderId="4" xfId="0" applyFont="1" applyBorder="1" applyAlignment="1">
      <alignment horizontal="left"/>
    </xf>
    <xf numFmtId="0" fontId="21" fillId="0" borderId="5" xfId="0" applyFont="1" applyBorder="1" applyAlignment="1">
      <alignment horizontal="left"/>
    </xf>
    <xf numFmtId="175" fontId="21" fillId="43" borderId="3" xfId="0" applyNumberFormat="1" applyFont="1" applyFill="1" applyBorder="1" applyAlignment="1" applyProtection="1">
      <alignment horizontal="center" vertical="center"/>
      <protection locked="0"/>
    </xf>
    <xf numFmtId="175" fontId="21" fillId="43" borderId="4" xfId="0" applyNumberFormat="1" applyFont="1" applyFill="1" applyBorder="1" applyAlignment="1" applyProtection="1">
      <alignment horizontal="center" vertical="center"/>
      <protection locked="0"/>
    </xf>
    <xf numFmtId="175" fontId="21" fillId="43" borderId="5" xfId="0" applyNumberFormat="1" applyFont="1" applyFill="1" applyBorder="1" applyAlignment="1" applyProtection="1">
      <alignment horizontal="center" vertical="center"/>
      <protection locked="0"/>
    </xf>
    <xf numFmtId="180" fontId="29" fillId="43" borderId="3" xfId="0" applyNumberFormat="1" applyFont="1" applyFill="1" applyBorder="1" applyAlignment="1" applyProtection="1">
      <alignment horizontal="center" vertical="center"/>
      <protection locked="0"/>
    </xf>
    <xf numFmtId="180" fontId="29" fillId="43" borderId="4" xfId="0" applyNumberFormat="1" applyFont="1" applyFill="1" applyBorder="1" applyAlignment="1" applyProtection="1">
      <alignment horizontal="center" vertical="center"/>
      <protection locked="0"/>
    </xf>
    <xf numFmtId="180" fontId="29"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8" fillId="0" borderId="3" xfId="0" applyFont="1" applyBorder="1" applyAlignment="1">
      <alignment horizontal="center"/>
    </xf>
    <xf numFmtId="0" fontId="28" fillId="0" borderId="4" xfId="0" applyFont="1" applyBorder="1" applyAlignment="1">
      <alignment horizontal="center"/>
    </xf>
    <xf numFmtId="3" fontId="30"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1" fontId="30" fillId="5" borderId="3" xfId="0" applyNumberFormat="1" applyFont="1" applyFill="1" applyBorder="1" applyAlignment="1" applyProtection="1">
      <alignment horizontal="right" vertical="top"/>
      <protection locked="0"/>
    </xf>
    <xf numFmtId="1" fontId="30" fillId="5" borderId="4" xfId="0" applyNumberFormat="1" applyFont="1" applyFill="1" applyBorder="1" applyAlignment="1" applyProtection="1">
      <alignment horizontal="right" vertical="top"/>
      <protection locked="0"/>
    </xf>
    <xf numFmtId="1" fontId="30" fillId="5" borderId="5" xfId="0" applyNumberFormat="1" applyFont="1" applyFill="1" applyBorder="1" applyAlignment="1" applyProtection="1">
      <alignment horizontal="right" vertical="top"/>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0" fontId="21" fillId="5" borderId="11" xfId="0" applyFont="1" applyFill="1" applyBorder="1" applyAlignment="1" applyProtection="1">
      <alignment horizontal="left" vertical="center" wrapText="1"/>
      <protection locked="0"/>
    </xf>
    <xf numFmtId="0" fontId="21" fillId="5" borderId="11" xfId="0" applyFont="1" applyFill="1" applyBorder="1" applyAlignment="1" applyProtection="1">
      <alignment vertical="center" wrapText="1"/>
      <protection locked="0"/>
    </xf>
    <xf numFmtId="0" fontId="0" fillId="5" borderId="6" xfId="0" applyFill="1" applyBorder="1" applyAlignment="1" applyProtection="1">
      <alignment horizontal="center"/>
      <protection locked="0"/>
    </xf>
    <xf numFmtId="0" fontId="21"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30" fillId="5" borderId="4" xfId="0" applyFont="1" applyFill="1" applyBorder="1" applyAlignment="1" applyProtection="1">
      <alignment horizontal="right"/>
      <protection locked="0"/>
    </xf>
    <xf numFmtId="168" fontId="30" fillId="5" borderId="6" xfId="0" applyNumberFormat="1" applyFont="1" applyFill="1" applyBorder="1" applyAlignment="1" applyProtection="1">
      <alignment horizontal="right"/>
      <protection locked="0"/>
    </xf>
    <xf numFmtId="168" fontId="30" fillId="5" borderId="4" xfId="0" applyNumberFormat="1" applyFont="1" applyFill="1" applyBorder="1" applyAlignment="1" applyProtection="1">
      <alignment horizontal="right"/>
      <protection locked="0"/>
    </xf>
    <xf numFmtId="168" fontId="30" fillId="0" borderId="3" xfId="0" applyNumberFormat="1" applyFont="1" applyBorder="1" applyAlignment="1">
      <alignment horizontal="left" vertical="top"/>
    </xf>
    <xf numFmtId="168" fontId="30" fillId="0" borderId="4" xfId="0" applyNumberFormat="1" applyFont="1" applyBorder="1" applyAlignment="1">
      <alignment horizontal="left" vertical="top"/>
    </xf>
    <xf numFmtId="168" fontId="30" fillId="0" borderId="5" xfId="0" applyNumberFormat="1" applyFont="1" applyBorder="1" applyAlignment="1">
      <alignment horizontal="left" vertical="top"/>
    </xf>
    <xf numFmtId="165" fontId="30" fillId="5" borderId="3" xfId="0" applyNumberFormat="1" applyFont="1" applyFill="1" applyBorder="1" applyAlignment="1" applyProtection="1">
      <alignment horizontal="center"/>
      <protection locked="0"/>
    </xf>
    <xf numFmtId="165" fontId="30" fillId="5" borderId="4" xfId="0" applyNumberFormat="1" applyFont="1" applyFill="1" applyBorder="1" applyAlignment="1" applyProtection="1">
      <alignment horizontal="center"/>
      <protection locked="0"/>
    </xf>
    <xf numFmtId="165" fontId="30"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1"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30" fillId="5" borderId="11" xfId="0" applyFont="1" applyFill="1" applyBorder="1" applyAlignment="1" applyProtection="1">
      <alignment horizontal="center"/>
      <protection locked="0"/>
    </xf>
    <xf numFmtId="0" fontId="28" fillId="0" borderId="5" xfId="0" applyFont="1" applyBorder="1" applyAlignment="1">
      <alignment horizontal="center"/>
    </xf>
    <xf numFmtId="0" fontId="0" fillId="0" borderId="0" xfId="0" applyAlignment="1">
      <alignment horizontal="center"/>
    </xf>
    <xf numFmtId="0" fontId="0" fillId="0" borderId="12" xfId="0" applyBorder="1" applyAlignment="1">
      <alignment horizontal="center"/>
    </xf>
    <xf numFmtId="0" fontId="28" fillId="0" borderId="6" xfId="0" applyFont="1" applyBorder="1" applyAlignment="1">
      <alignment horizontal="center"/>
    </xf>
    <xf numFmtId="0" fontId="28" fillId="0" borderId="10" xfId="0" applyFont="1" applyBorder="1" applyAlignment="1">
      <alignment horizontal="center"/>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1" fillId="43" borderId="3" xfId="0" applyNumberFormat="1" applyFont="1" applyFill="1" applyBorder="1" applyAlignment="1" applyProtection="1">
      <alignment horizontal="center" vertical="center"/>
      <protection locked="0"/>
    </xf>
    <xf numFmtId="168" fontId="21" fillId="43" borderId="4" xfId="0" applyNumberFormat="1" applyFont="1" applyFill="1" applyBorder="1" applyAlignment="1" applyProtection="1">
      <alignment horizontal="center" vertical="center"/>
      <protection locked="0"/>
    </xf>
    <xf numFmtId="168" fontId="21" fillId="43" borderId="5" xfId="0" applyNumberFormat="1" applyFont="1" applyFill="1" applyBorder="1" applyAlignment="1" applyProtection="1">
      <alignment horizontal="center" vertical="center"/>
      <protection locked="0"/>
    </xf>
    <xf numFmtId="0" fontId="30"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9" fillId="5" borderId="3" xfId="0" applyFont="1" applyFill="1" applyBorder="1" applyAlignment="1" applyProtection="1">
      <alignment horizontal="center"/>
      <protection locked="0"/>
    </xf>
    <xf numFmtId="0" fontId="29" fillId="5" borderId="4" xfId="0" applyFont="1" applyFill="1" applyBorder="1" applyAlignment="1" applyProtection="1">
      <alignment horizontal="center"/>
      <protection locked="0"/>
    </xf>
    <xf numFmtId="0" fontId="29" fillId="5" borderId="5" xfId="0" applyFont="1" applyFill="1" applyBorder="1" applyAlignment="1" applyProtection="1">
      <alignment horizontal="center"/>
      <protection locked="0"/>
    </xf>
    <xf numFmtId="0" fontId="0" fillId="5" borderId="6" xfId="0" applyFill="1" applyBorder="1" applyAlignment="1" applyProtection="1">
      <alignment horizontal="left"/>
      <protection locked="0"/>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1" fillId="5" borderId="11" xfId="0" applyFont="1" applyFill="1" applyBorder="1" applyAlignment="1" applyProtection="1">
      <alignment horizontal="left" wrapText="1"/>
      <protection locked="0"/>
    </xf>
    <xf numFmtId="0" fontId="21" fillId="0" borderId="1" xfId="0" applyFont="1" applyBorder="1" applyAlignment="1">
      <alignment horizontal="center" vertical="top" wrapText="1"/>
    </xf>
    <xf numFmtId="0" fontId="30" fillId="0" borderId="2" xfId="0" applyFont="1" applyBorder="1" applyAlignment="1">
      <alignment horizontal="center" vertical="top" wrapText="1"/>
    </xf>
    <xf numFmtId="0" fontId="30" fillId="0" borderId="7" xfId="0" applyFont="1" applyBorder="1" applyAlignment="1">
      <alignment horizontal="center" vertical="top" wrapText="1"/>
    </xf>
    <xf numFmtId="0" fontId="30" fillId="0" borderId="8" xfId="0" applyFont="1" applyBorder="1" applyAlignment="1">
      <alignment horizontal="center" vertical="top" wrapText="1"/>
    </xf>
    <xf numFmtId="0" fontId="30" fillId="0" borderId="0" xfId="0" applyFont="1" applyAlignment="1">
      <alignment horizontal="center" vertical="top" wrapText="1"/>
    </xf>
    <xf numFmtId="0" fontId="30" fillId="0" borderId="12" xfId="0" applyFont="1" applyBorder="1" applyAlignment="1">
      <alignment horizontal="center" vertical="top" wrapText="1"/>
    </xf>
    <xf numFmtId="0" fontId="30" fillId="0" borderId="9" xfId="0" applyFont="1" applyBorder="1" applyAlignment="1">
      <alignment horizontal="center" vertical="top" wrapText="1"/>
    </xf>
    <xf numFmtId="0" fontId="30" fillId="0" borderId="6" xfId="0" applyFont="1" applyBorder="1" applyAlignment="1">
      <alignment horizontal="center" vertical="top" wrapText="1"/>
    </xf>
    <xf numFmtId="0" fontId="30" fillId="0" borderId="10" xfId="0" applyFont="1" applyBorder="1" applyAlignment="1">
      <alignment horizontal="center" vertical="top"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5" fontId="21" fillId="43" borderId="3" xfId="0" applyNumberFormat="1" applyFont="1" applyFill="1" applyBorder="1" applyAlignment="1" applyProtection="1">
      <alignment horizontal="center"/>
      <protection locked="0"/>
    </xf>
    <xf numFmtId="175" fontId="21" fillId="43" borderId="4" xfId="0" applyNumberFormat="1" applyFont="1" applyFill="1" applyBorder="1" applyAlignment="1" applyProtection="1">
      <alignment horizontal="center"/>
      <protection locked="0"/>
    </xf>
    <xf numFmtId="175" fontId="21" fillId="43" borderId="5" xfId="0" applyNumberFormat="1" applyFont="1" applyFill="1" applyBorder="1" applyAlignment="1" applyProtection="1">
      <alignment horizontal="center"/>
      <protection locked="0"/>
    </xf>
    <xf numFmtId="0" fontId="21"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6" xfId="0" applyBorder="1" applyAlignment="1">
      <alignment horizontal="left"/>
    </xf>
    <xf numFmtId="0" fontId="28" fillId="0" borderId="3" xfId="0" applyFont="1" applyBorder="1" applyAlignment="1">
      <alignment horizontal="right"/>
    </xf>
    <xf numFmtId="0" fontId="28" fillId="0" borderId="4" xfId="0" applyFont="1" applyBorder="1" applyAlignment="1">
      <alignment horizontal="right"/>
    </xf>
    <xf numFmtId="0" fontId="28" fillId="0" borderId="6" xfId="0" applyFont="1" applyBorder="1" applyAlignment="1">
      <alignment horizontal="right"/>
    </xf>
    <xf numFmtId="0" fontId="28" fillId="0" borderId="5" xfId="0" applyFont="1" applyBorder="1" applyAlignment="1">
      <alignment horizontal="right"/>
    </xf>
    <xf numFmtId="0" fontId="0" fillId="43" borderId="10" xfId="0" applyFill="1" applyBorder="1" applyAlignment="1" applyProtection="1">
      <alignment horizontal="left"/>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8" fontId="30"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0" fillId="0" borderId="4" xfId="0" applyBorder="1" applyAlignment="1">
      <alignment horizontal="left"/>
    </xf>
    <xf numFmtId="0" fontId="0" fillId="0" borderId="5" xfId="0" applyBorder="1" applyAlignment="1">
      <alignment horizontal="left"/>
    </xf>
    <xf numFmtId="0" fontId="0" fillId="0" borderId="3" xfId="0" applyBorder="1" applyAlignment="1">
      <alignment horizontal="left"/>
    </xf>
    <xf numFmtId="166" fontId="30" fillId="5" borderId="4" xfId="0" applyNumberFormat="1" applyFont="1" applyFill="1" applyBorder="1" applyAlignment="1" applyProtection="1">
      <alignment horizontal="left"/>
      <protection locked="0"/>
    </xf>
    <xf numFmtId="0" fontId="30" fillId="5" borderId="0" xfId="0" applyFont="1" applyFill="1" applyAlignment="1" applyProtection="1">
      <alignment horizontal="left" vertical="top" wrapText="1"/>
      <protection locked="0"/>
    </xf>
    <xf numFmtId="0" fontId="30" fillId="5" borderId="6" xfId="0" applyFont="1" applyFill="1" applyBorder="1" applyAlignment="1" applyProtection="1">
      <alignment horizontal="left" vertical="top" wrapText="1"/>
      <protection locked="0"/>
    </xf>
    <xf numFmtId="14" fontId="0" fillId="5" borderId="4" xfId="0" applyNumberFormat="1" applyFill="1" applyBorder="1" applyAlignment="1" applyProtection="1">
      <alignment horizontal="right"/>
      <protection locked="0"/>
    </xf>
    <xf numFmtId="1" fontId="30"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68" fontId="0" fillId="5" borderId="6" xfId="0" applyNumberFormat="1" applyFill="1" applyBorder="1" applyAlignment="1" applyProtection="1">
      <alignment horizontal="right"/>
      <protection locked="0"/>
    </xf>
    <xf numFmtId="178" fontId="30" fillId="5" borderId="4" xfId="0" applyNumberFormat="1" applyFont="1" applyFill="1" applyBorder="1" applyAlignment="1" applyProtection="1">
      <alignment horizontal="right"/>
      <protection locked="0"/>
    </xf>
    <xf numFmtId="0" fontId="29" fillId="43" borderId="6" xfId="0" applyFont="1" applyFill="1" applyBorder="1" applyAlignment="1" applyProtection="1">
      <alignment horizontal="left"/>
      <protection locked="0"/>
    </xf>
    <xf numFmtId="10" fontId="30" fillId="5" borderId="4" xfId="0" applyNumberFormat="1" applyFont="1" applyFill="1" applyBorder="1" applyAlignment="1" applyProtection="1">
      <alignment horizontal="right"/>
      <protection locked="0"/>
    </xf>
    <xf numFmtId="0" fontId="30" fillId="5" borderId="6" xfId="0" applyFont="1" applyFill="1" applyBorder="1" applyAlignment="1" applyProtection="1">
      <alignment horizontal="left"/>
      <protection locked="0"/>
    </xf>
    <xf numFmtId="166" fontId="21" fillId="5" borderId="4" xfId="0" applyNumberFormat="1" applyFont="1" applyFill="1" applyBorder="1" applyAlignment="1" applyProtection="1">
      <alignment horizontal="left"/>
      <protection locked="0"/>
    </xf>
    <xf numFmtId="0" fontId="21" fillId="43" borderId="6" xfId="0" applyFont="1" applyFill="1" applyBorder="1" applyAlignment="1" applyProtection="1">
      <alignment vertical="center"/>
      <protection locked="0"/>
    </xf>
    <xf numFmtId="0" fontId="27" fillId="3" borderId="0" xfId="0" applyFont="1" applyFill="1" applyAlignment="1">
      <alignment horizontal="center" vertical="center"/>
    </xf>
    <xf numFmtId="0" fontId="21" fillId="0" borderId="0" xfId="0" applyFont="1" applyAlignment="1">
      <alignment wrapText="1"/>
    </xf>
    <xf numFmtId="0" fontId="0" fillId="0" borderId="6" xfId="0" applyBorder="1" applyAlignment="1" applyProtection="1">
      <alignment horizontal="center"/>
      <protection locked="0"/>
    </xf>
    <xf numFmtId="0" fontId="21" fillId="5" borderId="6" xfId="244" applyFont="1" applyFill="1" applyBorder="1" applyAlignment="1" applyProtection="1">
      <alignment horizontal="left"/>
      <protection locked="0"/>
    </xf>
    <xf numFmtId="0" fontId="21" fillId="5" borderId="6" xfId="0" applyFont="1" applyFill="1" applyBorder="1" applyAlignment="1" applyProtection="1">
      <alignment horizontal="left" wrapText="1"/>
      <protection locked="0"/>
    </xf>
    <xf numFmtId="0" fontId="30" fillId="5" borderId="6" xfId="0" applyFont="1" applyFill="1" applyBorder="1" applyAlignment="1" applyProtection="1">
      <alignment horizontal="left" wrapText="1"/>
      <protection locked="0"/>
    </xf>
    <xf numFmtId="166" fontId="30" fillId="5" borderId="6" xfId="0" applyNumberFormat="1" applyFont="1" applyFill="1" applyBorder="1" applyAlignment="1" applyProtection="1">
      <alignment horizontal="left"/>
      <protection locked="0"/>
    </xf>
    <xf numFmtId="0" fontId="0" fillId="0" borderId="0" xfId="0" applyAlignment="1">
      <alignment wrapText="1"/>
    </xf>
    <xf numFmtId="0" fontId="30" fillId="0" borderId="0" xfId="0" applyFont="1" applyAlignment="1">
      <alignment horizontal="left" vertical="top" wrapText="1"/>
    </xf>
    <xf numFmtId="0" fontId="156" fillId="0" borderId="0" xfId="0" applyFont="1" applyAlignment="1" applyProtection="1">
      <alignment horizontal="left" vertical="top" wrapText="1"/>
      <protection locked="0"/>
    </xf>
    <xf numFmtId="0" fontId="21" fillId="0" borderId="6" xfId="0" applyFont="1" applyBorder="1" applyAlignment="1" applyProtection="1">
      <alignment horizontal="center"/>
      <protection locked="0"/>
    </xf>
    <xf numFmtId="0" fontId="21" fillId="0" borderId="6" xfId="0" applyFont="1" applyBorder="1" applyAlignment="1" applyProtection="1">
      <alignment horizontal="left"/>
      <protection locked="0"/>
    </xf>
    <xf numFmtId="0" fontId="22" fillId="0" borderId="0" xfId="244" applyFill="1" applyAlignment="1" applyProtection="1">
      <alignment horizontal="left"/>
      <protection locked="0"/>
    </xf>
    <xf numFmtId="168" fontId="21" fillId="0" borderId="6" xfId="0" applyNumberFormat="1" applyFont="1" applyBorder="1" applyAlignment="1">
      <alignment horizontal="center"/>
    </xf>
    <xf numFmtId="168" fontId="0" fillId="0" borderId="6" xfId="0" applyNumberFormat="1" applyBorder="1" applyAlignment="1">
      <alignment horizontal="center"/>
    </xf>
    <xf numFmtId="0" fontId="0" fillId="43" borderId="6" xfId="0" applyFill="1" applyBorder="1" applyAlignment="1" applyProtection="1">
      <alignment horizontal="center"/>
      <protection locked="0"/>
    </xf>
    <xf numFmtId="166" fontId="21" fillId="5" borderId="6" xfId="271" applyNumberFormat="1" applyFont="1" applyFill="1" applyBorder="1" applyAlignment="1" applyProtection="1">
      <alignment horizontal="left"/>
      <protection locked="0"/>
    </xf>
    <xf numFmtId="166" fontId="30" fillId="5" borderId="6" xfId="271" applyNumberFormat="1" applyFill="1" applyBorder="1" applyAlignment="1" applyProtection="1">
      <alignment horizontal="left"/>
      <protection locked="0"/>
    </xf>
    <xf numFmtId="9" fontId="29" fillId="0" borderId="3" xfId="4494" applyFont="1" applyBorder="1" applyAlignment="1" applyProtection="1">
      <alignment horizontal="center"/>
    </xf>
    <xf numFmtId="9" fontId="29" fillId="0" borderId="5" xfId="4494" applyFont="1" applyBorder="1" applyAlignment="1" applyProtection="1">
      <alignment horizontal="center"/>
    </xf>
    <xf numFmtId="0" fontId="21" fillId="5" borderId="0" xfId="244" applyFont="1" applyFill="1" applyBorder="1" applyAlignment="1" applyProtection="1">
      <alignment horizontal="left"/>
      <protection locked="0"/>
    </xf>
    <xf numFmtId="0" fontId="30" fillId="0" borderId="4" xfId="0" applyFont="1" applyBorder="1" applyAlignment="1" applyProtection="1">
      <alignment horizontal="left"/>
      <protection locked="0"/>
    </xf>
    <xf numFmtId="166" fontId="30" fillId="5" borderId="4" xfId="271" applyNumberFormat="1" applyFill="1" applyBorder="1" applyAlignment="1" applyProtection="1">
      <alignment horizontal="left"/>
      <protection locked="0"/>
    </xf>
    <xf numFmtId="0" fontId="30" fillId="0" borderId="6" xfId="0" applyFont="1" applyBorder="1" applyAlignment="1">
      <alignment horizontal="left"/>
    </xf>
    <xf numFmtId="0" fontId="0" fillId="0" borderId="0" xfId="0" applyAlignment="1">
      <alignment vertical="top" wrapText="1"/>
    </xf>
    <xf numFmtId="0" fontId="21"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30"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21" fillId="0" borderId="0" xfId="0" applyFont="1" applyAlignment="1" applyProtection="1">
      <alignment horizontal="left"/>
      <protection locked="0"/>
    </xf>
    <xf numFmtId="0" fontId="30" fillId="43" borderId="6" xfId="0" applyFont="1" applyFill="1" applyBorder="1" applyAlignment="1" applyProtection="1">
      <alignment horizontal="left"/>
      <protection locked="0"/>
    </xf>
    <xf numFmtId="0" fontId="21" fillId="0" borderId="6" xfId="0" applyFont="1" applyBorder="1" applyAlignment="1">
      <alignment horizontal="left"/>
    </xf>
    <xf numFmtId="166" fontId="0" fillId="5" borderId="6" xfId="0" applyNumberFormat="1" applyFill="1" applyBorder="1" applyAlignment="1" applyProtection="1">
      <alignment horizontal="left"/>
      <protection locked="0"/>
    </xf>
    <xf numFmtId="0" fontId="0" fillId="5" borderId="6" xfId="0" applyFill="1" applyBorder="1" applyProtection="1">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21" fillId="5" borderId="6" xfId="0" applyNumberFormat="1" applyFont="1" applyFill="1" applyBorder="1" applyAlignment="1" applyProtection="1">
      <alignment horizontal="left"/>
      <protection locked="0"/>
    </xf>
    <xf numFmtId="0" fontId="29"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0" fillId="43" borderId="6" xfId="0" applyNumberFormat="1" applyFill="1" applyBorder="1" applyAlignment="1" applyProtection="1">
      <alignment horizontal="right"/>
      <protection locked="0"/>
    </xf>
    <xf numFmtId="14" fontId="30" fillId="5" borderId="4" xfId="0" applyNumberFormat="1" applyFon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0" fontId="0" fillId="5" borderId="3" xfId="0" applyNumberFormat="1" applyFill="1" applyBorder="1" applyAlignment="1" applyProtection="1">
      <alignment horizontal="left"/>
      <protection locked="0"/>
    </xf>
    <xf numFmtId="168" fontId="57" fillId="0" borderId="2" xfId="0" applyNumberFormat="1" applyFont="1" applyBorder="1" applyAlignment="1">
      <alignment horizontal="left" vertical="top" wrapText="1"/>
    </xf>
    <xf numFmtId="168" fontId="57" fillId="0" borderId="0" xfId="0" applyNumberFormat="1" applyFont="1" applyAlignment="1">
      <alignment horizontal="left" vertical="top" wrapText="1"/>
    </xf>
    <xf numFmtId="0" fontId="40" fillId="5" borderId="6" xfId="0"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 fontId="30" fillId="5" borderId="11" xfId="0" quotePrefix="1" applyNumberFormat="1" applyFont="1" applyFill="1" applyBorder="1" applyAlignment="1" applyProtection="1">
      <alignment horizontal="center"/>
      <protection locked="0"/>
    </xf>
    <xf numFmtId="1" fontId="30" fillId="5" borderId="11" xfId="0" applyNumberFormat="1" applyFont="1" applyFill="1" applyBorder="1" applyAlignment="1" applyProtection="1">
      <alignment horizontal="center"/>
      <protection locked="0"/>
    </xf>
    <xf numFmtId="3" fontId="0" fillId="0" borderId="6" xfId="0" applyNumberFormat="1" applyBorder="1" applyAlignment="1">
      <alignment horizontal="right"/>
    </xf>
    <xf numFmtId="2" fontId="0" fillId="0" borderId="6" xfId="0" applyNumberFormat="1" applyBorder="1" applyAlignment="1">
      <alignment horizontal="center"/>
    </xf>
    <xf numFmtId="168" fontId="21" fillId="5" borderId="3" xfId="0" applyNumberFormat="1" applyFont="1" applyFill="1" applyBorder="1" applyAlignment="1" applyProtection="1">
      <alignment horizontal="left" vertical="top"/>
      <protection locked="0"/>
    </xf>
    <xf numFmtId="168" fontId="30" fillId="5" borderId="4" xfId="0" applyNumberFormat="1" applyFont="1" applyFill="1" applyBorder="1" applyAlignment="1" applyProtection="1">
      <alignment horizontal="left" vertical="top"/>
      <protection locked="0"/>
    </xf>
    <xf numFmtId="168" fontId="30" fillId="5" borderId="5" xfId="0" applyNumberFormat="1" applyFont="1" applyFill="1" applyBorder="1" applyAlignment="1" applyProtection="1">
      <alignment horizontal="left" vertical="top"/>
      <protection locked="0"/>
    </xf>
    <xf numFmtId="0" fontId="21" fillId="0" borderId="3" xfId="271" applyFont="1" applyBorder="1" applyAlignment="1">
      <alignment horizontal="left"/>
    </xf>
    <xf numFmtId="0" fontId="21" fillId="0" borderId="4" xfId="271" applyFont="1" applyBorder="1" applyAlignment="1">
      <alignment horizontal="left"/>
    </xf>
    <xf numFmtId="0" fontId="21" fillId="0" borderId="5" xfId="271" applyFont="1" applyBorder="1" applyAlignment="1">
      <alignment horizontal="left"/>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30" fillId="0" borderId="1" xfId="0" applyFont="1" applyBorder="1" applyAlignment="1">
      <alignment horizontal="center" vertical="top" wrapText="1"/>
    </xf>
    <xf numFmtId="0" fontId="28" fillId="0" borderId="11" xfId="0" applyFont="1" applyBorder="1" applyAlignment="1">
      <alignment horizontal="center" vertical="center"/>
    </xf>
    <xf numFmtId="1" fontId="21" fillId="0" borderId="3" xfId="0" applyNumberFormat="1" applyFont="1" applyBorder="1" applyAlignment="1">
      <alignment horizontal="center"/>
    </xf>
    <xf numFmtId="1" fontId="30" fillId="0" borderId="4" xfId="0" applyNumberFormat="1" applyFont="1" applyBorder="1" applyAlignment="1">
      <alignment horizontal="center"/>
    </xf>
    <xf numFmtId="1" fontId="30" fillId="0" borderId="5" xfId="0" applyNumberFormat="1" applyFont="1" applyBorder="1" applyAlignment="1">
      <alignment horizontal="center"/>
    </xf>
    <xf numFmtId="0" fontId="28" fillId="0" borderId="11" xfId="0" applyFont="1" applyBorder="1" applyAlignment="1">
      <alignment horizontal="center" vertical="center" wrapText="1"/>
    </xf>
    <xf numFmtId="168" fontId="0" fillId="5" borderId="11" xfId="0" applyNumberFormat="1" applyFill="1" applyBorder="1" applyAlignment="1" applyProtection="1">
      <alignment horizontal="center"/>
      <protection locked="0"/>
    </xf>
    <xf numFmtId="0" fontId="28" fillId="0" borderId="0" xfId="0" applyFont="1" applyAlignment="1">
      <alignment horizontal="center" vertical="center"/>
    </xf>
    <xf numFmtId="0" fontId="28" fillId="0" borderId="11" xfId="0" applyFont="1" applyBorder="1" applyAlignment="1">
      <alignment horizontal="center"/>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5" fontId="28" fillId="0" borderId="3" xfId="271" applyNumberFormat="1" applyFont="1" applyBorder="1" applyAlignment="1">
      <alignment horizontal="center"/>
    </xf>
    <xf numFmtId="165" fontId="28" fillId="0" borderId="4" xfId="271" applyNumberFormat="1" applyFont="1" applyBorder="1" applyAlignment="1">
      <alignment horizontal="center"/>
    </xf>
    <xf numFmtId="165" fontId="28" fillId="0" borderId="5" xfId="271" applyNumberFormat="1" applyFont="1" applyBorder="1" applyAlignment="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2" fontId="21" fillId="0" borderId="0" xfId="543" applyNumberFormat="1" applyAlignment="1">
      <alignment horizontal="center"/>
    </xf>
    <xf numFmtId="0" fontId="21" fillId="0" borderId="0" xfId="543" applyAlignment="1">
      <alignment horizontal="center"/>
    </xf>
    <xf numFmtId="171" fontId="21" fillId="0" borderId="0" xfId="543" applyNumberFormat="1" applyAlignment="1">
      <alignment horizontal="center"/>
    </xf>
    <xf numFmtId="171" fontId="21" fillId="0" borderId="0" xfId="543" applyNumberFormat="1" applyAlignment="1">
      <alignment horizontal="right"/>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59" fillId="0" borderId="0" xfId="0" applyNumberFormat="1" applyFont="1" applyAlignment="1">
      <alignment horizontal="center" vertical="center" wrapText="1"/>
    </xf>
    <xf numFmtId="168" fontId="0" fillId="0" borderId="11" xfId="0" applyNumberFormat="1" applyBorder="1" applyAlignment="1">
      <alignment horizontal="right"/>
    </xf>
    <xf numFmtId="0" fontId="30" fillId="0" borderId="11" xfId="0" applyFont="1" applyBorder="1" applyAlignment="1">
      <alignment horizontal="center" vertical="top" wrapText="1"/>
    </xf>
    <xf numFmtId="0" fontId="0" fillId="5" borderId="3" xfId="0" applyFill="1" applyBorder="1" applyAlignment="1" applyProtection="1">
      <alignment horizontal="center"/>
      <protection locked="0"/>
    </xf>
    <xf numFmtId="0" fontId="0" fillId="0" borderId="3" xfId="0" applyBorder="1"/>
    <xf numFmtId="0" fontId="0" fillId="0" borderId="4" xfId="0" applyBorder="1"/>
    <xf numFmtId="0" fontId="0" fillId="0" borderId="5" xfId="0" applyBorder="1"/>
    <xf numFmtId="168" fontId="0" fillId="0" borderId="11" xfId="0" applyNumberFormat="1" applyBorder="1" applyAlignment="1">
      <alignment horizontal="center"/>
    </xf>
    <xf numFmtId="168" fontId="0" fillId="5" borderId="11" xfId="0" applyNumberFormat="1" applyFill="1" applyBorder="1" applyProtection="1">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xf numFmtId="0" fontId="21" fillId="5" borderId="3" xfId="0" applyFont="1" applyFill="1" applyBorder="1" applyProtection="1">
      <protection locked="0"/>
    </xf>
    <xf numFmtId="0" fontId="30" fillId="0" borderId="4" xfId="0" applyFont="1" applyBorder="1" applyProtection="1">
      <protection locked="0"/>
    </xf>
    <xf numFmtId="0" fontId="30" fillId="0" borderId="5" xfId="0" applyFont="1" applyBorder="1" applyProtection="1">
      <protection locked="0"/>
    </xf>
    <xf numFmtId="0" fontId="28" fillId="5" borderId="3" xfId="0" applyFont="1" applyFill="1" applyBorder="1" applyAlignment="1" applyProtection="1">
      <alignment horizontal="right"/>
      <protection locked="0"/>
    </xf>
    <xf numFmtId="0" fontId="28" fillId="5" borderId="4" xfId="0" applyFont="1" applyFill="1" applyBorder="1" applyAlignment="1" applyProtection="1">
      <alignment horizontal="right"/>
      <protection locked="0"/>
    </xf>
    <xf numFmtId="0" fontId="28"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21" fillId="5" borderId="10" xfId="0" applyNumberFormat="1" applyFont="1" applyFill="1" applyBorder="1" applyAlignment="1" applyProtection="1">
      <alignment horizontal="right"/>
      <protection locked="0"/>
    </xf>
    <xf numFmtId="168" fontId="21" fillId="5" borderId="13" xfId="0" applyNumberFormat="1" applyFont="1" applyFill="1" applyBorder="1" applyAlignment="1" applyProtection="1">
      <alignment horizontal="right"/>
      <protection locked="0"/>
    </xf>
    <xf numFmtId="9" fontId="21" fillId="0" borderId="0" xfId="543" applyNumberFormat="1" applyAlignment="1">
      <alignment horizontal="center" vertical="center"/>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1" fillId="0" borderId="3" xfId="0" applyFont="1" applyBorder="1"/>
    <xf numFmtId="0" fontId="21" fillId="0" borderId="4" xfId="0" applyFont="1" applyBorder="1"/>
    <xf numFmtId="0" fontId="21" fillId="0" borderId="5" xfId="0" applyFont="1" applyBorder="1"/>
    <xf numFmtId="172" fontId="28" fillId="0" borderId="11" xfId="0" applyNumberFormat="1" applyFont="1" applyBorder="1" applyAlignment="1">
      <alignment horizontal="center" vertical="center" wrapText="1"/>
    </xf>
    <xf numFmtId="0" fontId="0" fillId="0" borderId="6" xfId="0" applyBorder="1" applyAlignment="1">
      <alignment horizontal="center"/>
    </xf>
    <xf numFmtId="0" fontId="0" fillId="0" borderId="10" xfId="0" applyBorder="1" applyAlignment="1">
      <alignment horizontal="center"/>
    </xf>
    <xf numFmtId="0" fontId="21" fillId="5" borderId="4" xfId="0" applyFont="1" applyFill="1" applyBorder="1" applyAlignment="1" applyProtection="1">
      <alignment wrapText="1"/>
      <protection locked="0"/>
    </xf>
    <xf numFmtId="0" fontId="30" fillId="5" borderId="4" xfId="0" applyFont="1" applyFill="1" applyBorder="1" applyAlignment="1" applyProtection="1">
      <alignment wrapText="1"/>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8" fillId="0" borderId="9" xfId="0" applyFont="1" applyBorder="1" applyAlignment="1">
      <alignment horizontal="right"/>
    </xf>
    <xf numFmtId="0" fontId="28" fillId="0" borderId="10" xfId="0" applyFont="1" applyBorder="1" applyAlignment="1">
      <alignment horizontal="right"/>
    </xf>
    <xf numFmtId="0" fontId="37" fillId="0" borderId="1" xfId="0" applyFont="1" applyBorder="1" applyAlignment="1">
      <alignment horizontal="center" vertical="center" wrapText="1"/>
    </xf>
    <xf numFmtId="0" fontId="37" fillId="0" borderId="2" xfId="0" applyFont="1" applyBorder="1" applyAlignment="1">
      <alignment horizontal="center" vertical="center" wrapText="1"/>
    </xf>
    <xf numFmtId="0" fontId="37" fillId="0" borderId="7" xfId="0" applyFont="1" applyBorder="1" applyAlignment="1">
      <alignment horizontal="center" vertical="center" wrapText="1"/>
    </xf>
    <xf numFmtId="0" fontId="37" fillId="0" borderId="8" xfId="0" applyFont="1" applyBorder="1" applyAlignment="1">
      <alignment horizontal="center" vertical="center" wrapText="1"/>
    </xf>
    <xf numFmtId="0" fontId="37" fillId="0" borderId="0" xfId="0" applyFont="1" applyAlignment="1">
      <alignment horizontal="center" vertical="center" wrapText="1"/>
    </xf>
    <xf numFmtId="0" fontId="37" fillId="0" borderId="12" xfId="0" applyFont="1" applyBorder="1" applyAlignment="1">
      <alignment horizontal="center" vertical="center" wrapText="1"/>
    </xf>
    <xf numFmtId="0" fontId="37" fillId="0" borderId="9" xfId="0" applyFont="1" applyBorder="1" applyAlignment="1">
      <alignment horizontal="center" vertical="center" wrapText="1"/>
    </xf>
    <xf numFmtId="0" fontId="37" fillId="0" borderId="6" xfId="0" applyFont="1" applyBorder="1" applyAlignment="1">
      <alignment horizontal="center" vertical="center" wrapText="1"/>
    </xf>
    <xf numFmtId="0" fontId="37" fillId="0" borderId="10" xfId="0" applyFont="1" applyBorder="1" applyAlignment="1">
      <alignment horizontal="center" vertical="center" wrapText="1"/>
    </xf>
    <xf numFmtId="0" fontId="21" fillId="0" borderId="11" xfId="543" applyBorder="1" applyAlignment="1">
      <alignment horizontal="center"/>
    </xf>
    <xf numFmtId="0" fontId="58" fillId="0" borderId="1" xfId="0" applyFont="1" applyBorder="1" applyAlignment="1">
      <alignment horizontal="center" vertical="center" wrapText="1"/>
    </xf>
    <xf numFmtId="0" fontId="58" fillId="0" borderId="2" xfId="0" applyFont="1" applyBorder="1" applyAlignment="1">
      <alignment horizontal="center" vertical="center" wrapText="1"/>
    </xf>
    <xf numFmtId="0" fontId="58" fillId="0" borderId="7" xfId="0" applyFont="1" applyBorder="1" applyAlignment="1">
      <alignment horizontal="center" vertical="center" wrapText="1"/>
    </xf>
    <xf numFmtId="0" fontId="58" fillId="0" borderId="8" xfId="0" applyFont="1" applyBorder="1" applyAlignment="1">
      <alignment horizontal="center" vertical="center" wrapText="1"/>
    </xf>
    <xf numFmtId="0" fontId="58" fillId="0" borderId="0" xfId="0" applyFont="1" applyAlignment="1">
      <alignment horizontal="center" vertical="center" wrapText="1"/>
    </xf>
    <xf numFmtId="0" fontId="58" fillId="0" borderId="12" xfId="0" applyFont="1" applyBorder="1" applyAlignment="1">
      <alignment horizontal="center" vertical="center" wrapText="1"/>
    </xf>
    <xf numFmtId="0" fontId="58" fillId="0" borderId="9" xfId="0" applyFont="1" applyBorder="1" applyAlignment="1">
      <alignment horizontal="center" vertical="center" wrapText="1"/>
    </xf>
    <xf numFmtId="0" fontId="58" fillId="0" borderId="6" xfId="0" applyFont="1" applyBorder="1" applyAlignment="1">
      <alignment horizontal="center" vertical="center" wrapText="1"/>
    </xf>
    <xf numFmtId="0" fontId="58" fillId="0" borderId="10" xfId="0" applyFont="1" applyBorder="1" applyAlignment="1">
      <alignment horizontal="center" vertical="center" wrapText="1"/>
    </xf>
    <xf numFmtId="14" fontId="0" fillId="5" borderId="4" xfId="0" applyNumberFormat="1" applyFill="1" applyBorder="1" applyAlignment="1" applyProtection="1">
      <alignment horizontal="center"/>
      <protection locked="0"/>
    </xf>
    <xf numFmtId="0" fontId="21" fillId="0" borderId="3" xfId="543" applyBorder="1" applyAlignment="1">
      <alignment horizontal="center"/>
    </xf>
    <xf numFmtId="0" fontId="21" fillId="0" borderId="4" xfId="543" applyBorder="1" applyAlignment="1">
      <alignment horizontal="center"/>
    </xf>
    <xf numFmtId="0" fontId="21" fillId="0" borderId="5" xfId="543" applyBorder="1" applyAlignment="1">
      <alignment horizontal="center"/>
    </xf>
    <xf numFmtId="0" fontId="40" fillId="5" borderId="3" xfId="543" applyFont="1" applyFill="1" applyBorder="1" applyAlignment="1">
      <alignment horizontal="center"/>
    </xf>
    <xf numFmtId="0" fontId="40" fillId="5" borderId="4" xfId="543" applyFont="1" applyFill="1" applyBorder="1" applyAlignment="1">
      <alignment horizontal="center"/>
    </xf>
    <xf numFmtId="0" fontId="40" fillId="5" borderId="5" xfId="543" applyFont="1" applyFill="1" applyBorder="1" applyAlignment="1">
      <alignment horizontal="center"/>
    </xf>
    <xf numFmtId="49" fontId="21" fillId="5" borderId="3" xfId="543" applyNumberFormat="1" applyFill="1" applyBorder="1" applyAlignment="1">
      <alignment horizontal="center"/>
    </xf>
    <xf numFmtId="49" fontId="21" fillId="5" borderId="5" xfId="543" applyNumberFormat="1" applyFill="1" applyBorder="1" applyAlignment="1">
      <alignment horizontal="center"/>
    </xf>
    <xf numFmtId="0" fontId="28" fillId="5" borderId="11" xfId="0" applyFont="1" applyFill="1" applyBorder="1" applyAlignment="1" applyProtection="1">
      <alignment horizontal="center"/>
      <protection locked="0"/>
    </xf>
    <xf numFmtId="0" fontId="30" fillId="0" borderId="11" xfId="0" applyFont="1" applyBorder="1" applyAlignment="1">
      <alignment horizontal="center"/>
    </xf>
    <xf numFmtId="168" fontId="21" fillId="5" borderId="3" xfId="0" applyNumberFormat="1" applyFont="1" applyFill="1" applyBorder="1" applyAlignment="1" applyProtection="1">
      <alignment horizontal="right"/>
      <protection locked="0"/>
    </xf>
    <xf numFmtId="168" fontId="21" fillId="5" borderId="4" xfId="0" applyNumberFormat="1" applyFont="1" applyFill="1" applyBorder="1" applyAlignment="1" applyProtection="1">
      <alignment horizontal="right"/>
      <protection locked="0"/>
    </xf>
    <xf numFmtId="168" fontId="21" fillId="5" borderId="5" xfId="0" applyNumberFormat="1" applyFon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0" fontId="30" fillId="0" borderId="3" xfId="0" applyFont="1" applyBorder="1" applyAlignment="1">
      <alignment horizontal="left"/>
    </xf>
    <xf numFmtId="164" fontId="40" fillId="5" borderId="3" xfId="0" applyNumberFormat="1" applyFont="1" applyFill="1" applyBorder="1" applyAlignment="1" applyProtection="1">
      <alignment horizontal="left"/>
      <protection locked="0"/>
    </xf>
    <xf numFmtId="164" fontId="40" fillId="5" borderId="4" xfId="0" applyNumberFormat="1" applyFont="1" applyFill="1" applyBorder="1" applyAlignment="1" applyProtection="1">
      <alignment horizontal="left"/>
      <protection locked="0"/>
    </xf>
    <xf numFmtId="164" fontId="40" fillId="5" borderId="5" xfId="0" applyNumberFormat="1" applyFont="1" applyFill="1" applyBorder="1" applyAlignment="1" applyProtection="1">
      <alignment horizontal="left"/>
      <protection locked="0"/>
    </xf>
    <xf numFmtId="0" fontId="28" fillId="0" borderId="1" xfId="0" applyFont="1" applyBorder="1" applyAlignment="1">
      <alignment horizontal="center"/>
    </xf>
    <xf numFmtId="0" fontId="28" fillId="0" borderId="2" xfId="0" applyFont="1" applyBorder="1" applyAlignment="1">
      <alignment horizontal="center"/>
    </xf>
    <xf numFmtId="0" fontId="28" fillId="0" borderId="7" xfId="0"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8" fillId="0" borderId="8" xfId="0" applyFont="1" applyBorder="1" applyAlignment="1">
      <alignment horizontal="center" wrapText="1"/>
    </xf>
    <xf numFmtId="0" fontId="28" fillId="0" borderId="0" xfId="0" applyFont="1" applyAlignment="1">
      <alignment horizontal="center" wrapText="1"/>
    </xf>
    <xf numFmtId="0" fontId="28" fillId="0" borderId="12" xfId="0" applyFont="1" applyBorder="1" applyAlignment="1">
      <alignment horizontal="center" wrapText="1"/>
    </xf>
    <xf numFmtId="0" fontId="28" fillId="0" borderId="9" xfId="0" applyFont="1" applyBorder="1" applyAlignment="1">
      <alignment horizontal="center" wrapText="1"/>
    </xf>
    <xf numFmtId="0" fontId="28" fillId="0" borderId="6" xfId="0" applyFont="1" applyBorder="1" applyAlignment="1">
      <alignment horizontal="center" wrapText="1"/>
    </xf>
    <xf numFmtId="0" fontId="28" fillId="0" borderId="10" xfId="0" applyFont="1" applyBorder="1" applyAlignment="1">
      <alignment horizontal="center" wrapText="1"/>
    </xf>
    <xf numFmtId="0" fontId="28" fillId="0" borderId="2" xfId="0" applyFont="1" applyBorder="1" applyAlignment="1">
      <alignment horizontal="center" wrapText="1"/>
    </xf>
    <xf numFmtId="0" fontId="28" fillId="0" borderId="7" xfId="0" applyFont="1" applyBorder="1" applyAlignment="1">
      <alignment horizontal="center" wrapText="1"/>
    </xf>
    <xf numFmtId="168" fontId="21" fillId="10" borderId="3" xfId="543" applyNumberFormat="1" applyFill="1" applyBorder="1" applyAlignment="1">
      <alignment horizontal="center"/>
    </xf>
    <xf numFmtId="168" fontId="21" fillId="10" borderId="4" xfId="543" applyNumberFormat="1" applyFill="1" applyBorder="1" applyAlignment="1">
      <alignment horizontal="center"/>
    </xf>
    <xf numFmtId="168" fontId="21" fillId="10" borderId="5" xfId="543" applyNumberFormat="1" applyFill="1" applyBorder="1" applyAlignment="1">
      <alignment horizontal="center"/>
    </xf>
    <xf numFmtId="3" fontId="0" fillId="5" borderId="3" xfId="0" applyNumberFormat="1" applyFill="1" applyBorder="1" applyAlignment="1" applyProtection="1">
      <alignment horizontal="right"/>
      <protection locked="0"/>
    </xf>
    <xf numFmtId="9" fontId="21" fillId="5" borderId="3" xfId="0" applyNumberFormat="1" applyFont="1" applyFill="1" applyBorder="1" applyAlignment="1" applyProtection="1">
      <alignment horizontal="right"/>
      <protection locked="0"/>
    </xf>
    <xf numFmtId="0" fontId="41" fillId="0" borderId="1" xfId="543" applyFont="1" applyBorder="1" applyAlignment="1">
      <alignment horizontal="right"/>
    </xf>
    <xf numFmtId="0" fontId="41" fillId="0" borderId="2" xfId="543" applyFont="1" applyBorder="1" applyAlignment="1">
      <alignment horizontal="right"/>
    </xf>
    <xf numFmtId="0" fontId="41" fillId="0" borderId="7" xfId="543" applyFont="1" applyBorder="1" applyAlignment="1">
      <alignment horizontal="right"/>
    </xf>
    <xf numFmtId="14" fontId="0" fillId="5" borderId="3" xfId="0" applyNumberFormat="1" applyFill="1" applyBorder="1" applyAlignment="1" applyProtection="1">
      <alignment horizontal="right"/>
      <protection locked="0"/>
    </xf>
    <xf numFmtId="0" fontId="21" fillId="0" borderId="8" xfId="543" applyBorder="1" applyAlignment="1">
      <alignment horizontal="left" vertical="center" wrapText="1"/>
    </xf>
    <xf numFmtId="0" fontId="21" fillId="0" borderId="0" xfId="543" applyAlignment="1">
      <alignment horizontal="left" vertical="center" wrapText="1"/>
    </xf>
    <xf numFmtId="0" fontId="21" fillId="0" borderId="12" xfId="543" applyBorder="1" applyAlignment="1">
      <alignment horizontal="left" vertical="center" wrapText="1"/>
    </xf>
    <xf numFmtId="0" fontId="28" fillId="0" borderId="1" xfId="543" applyFont="1" applyBorder="1" applyAlignment="1">
      <alignment horizontal="left" vertical="center" wrapText="1"/>
    </xf>
    <xf numFmtId="0" fontId="28" fillId="0" borderId="2" xfId="543" applyFont="1" applyBorder="1" applyAlignment="1">
      <alignment horizontal="left" vertical="center" wrapText="1"/>
    </xf>
    <xf numFmtId="0" fontId="28" fillId="0" borderId="7" xfId="543" applyFont="1" applyBorder="1" applyAlignment="1">
      <alignment horizontal="left" vertical="center" wrapText="1"/>
    </xf>
    <xf numFmtId="0" fontId="21" fillId="5" borderId="3" xfId="543" applyFill="1" applyBorder="1" applyAlignment="1" applyProtection="1">
      <alignment horizontal="left" vertical="top" wrapText="1"/>
      <protection locked="0"/>
    </xf>
    <xf numFmtId="0" fontId="30" fillId="5" borderId="4" xfId="543" applyFont="1" applyFill="1" applyBorder="1" applyAlignment="1" applyProtection="1">
      <alignment horizontal="left" vertical="top" wrapText="1"/>
      <protection locked="0"/>
    </xf>
    <xf numFmtId="0" fontId="30" fillId="5" borderId="5" xfId="543" applyFont="1" applyFill="1" applyBorder="1" applyAlignment="1" applyProtection="1">
      <alignment horizontal="left" vertical="top" wrapText="1"/>
      <protection locked="0"/>
    </xf>
    <xf numFmtId="168" fontId="21" fillId="0" borderId="11" xfId="543" applyNumberFormat="1" applyBorder="1" applyAlignment="1">
      <alignment horizontal="center"/>
    </xf>
    <xf numFmtId="0" fontId="57" fillId="5" borderId="3" xfId="0" applyFont="1" applyFill="1" applyBorder="1" applyAlignment="1" applyProtection="1">
      <alignment horizontal="right"/>
      <protection locked="0"/>
    </xf>
    <xf numFmtId="0" fontId="57" fillId="5" borderId="4" xfId="0" applyFont="1" applyFill="1" applyBorder="1" applyAlignment="1" applyProtection="1">
      <alignment horizontal="right"/>
      <protection locked="0"/>
    </xf>
    <xf numFmtId="0" fontId="57" fillId="5" borderId="5" xfId="0" applyFont="1" applyFill="1" applyBorder="1" applyAlignment="1" applyProtection="1">
      <alignment horizontal="right"/>
      <protection locked="0"/>
    </xf>
    <xf numFmtId="0" fontId="21" fillId="43" borderId="11" xfId="0" applyFont="1" applyFill="1" applyBorder="1" applyAlignment="1" applyProtection="1">
      <alignment horizontal="center"/>
      <protection locked="0"/>
    </xf>
    <xf numFmtId="168" fontId="21" fillId="5" borderId="3" xfId="0" applyNumberFormat="1" applyFont="1" applyFill="1" applyBorder="1" applyAlignment="1" applyProtection="1">
      <alignment horizontal="left"/>
      <protection locked="0"/>
    </xf>
    <xf numFmtId="168" fontId="21" fillId="5" borderId="4" xfId="0" applyNumberFormat="1" applyFont="1" applyFill="1" applyBorder="1" applyAlignment="1" applyProtection="1">
      <alignment horizontal="left"/>
      <protection locked="0"/>
    </xf>
    <xf numFmtId="168" fontId="21" fillId="5" borderId="5" xfId="0" applyNumberFormat="1" applyFont="1" applyFill="1" applyBorder="1" applyAlignment="1" applyProtection="1">
      <alignment horizontal="left"/>
      <protection locked="0"/>
    </xf>
    <xf numFmtId="0" fontId="28" fillId="0" borderId="2" xfId="0" applyFont="1" applyBorder="1" applyAlignment="1">
      <alignment horizontal="right"/>
    </xf>
    <xf numFmtId="0" fontId="28" fillId="0" borderId="7" xfId="0" applyFont="1" applyBorder="1" applyAlignment="1">
      <alignment horizontal="right"/>
    </xf>
    <xf numFmtId="0" fontId="21" fillId="5" borderId="3"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21" fillId="0" borderId="1" xfId="543" applyNumberFormat="1" applyBorder="1" applyAlignment="1">
      <alignment horizontal="center" vertical="center"/>
    </xf>
    <xf numFmtId="168" fontId="21" fillId="0" borderId="2" xfId="543" applyNumberFormat="1" applyBorder="1" applyAlignment="1">
      <alignment horizontal="center" vertical="center"/>
    </xf>
    <xf numFmtId="168" fontId="21" fillId="0" borderId="7" xfId="543" applyNumberFormat="1" applyBorder="1" applyAlignment="1">
      <alignment horizontal="center" vertical="center"/>
    </xf>
    <xf numFmtId="168" fontId="21" fillId="0" borderId="8" xfId="543" applyNumberFormat="1" applyBorder="1" applyAlignment="1">
      <alignment horizontal="center" vertical="center"/>
    </xf>
    <xf numFmtId="168" fontId="21" fillId="0" borderId="0" xfId="543" applyNumberFormat="1" applyAlignment="1">
      <alignment horizontal="center" vertical="center"/>
    </xf>
    <xf numFmtId="168" fontId="21" fillId="0" borderId="12" xfId="543" applyNumberFormat="1" applyBorder="1" applyAlignment="1">
      <alignment horizontal="center" vertical="center"/>
    </xf>
    <xf numFmtId="0" fontId="28" fillId="0" borderId="8" xfId="543" applyFont="1" applyBorder="1" applyAlignment="1">
      <alignment horizontal="left" vertical="center" wrapText="1"/>
    </xf>
    <xf numFmtId="0" fontId="28" fillId="0" borderId="0" xfId="543" applyFont="1" applyAlignment="1">
      <alignment horizontal="left" vertical="center" wrapText="1"/>
    </xf>
    <xf numFmtId="0" fontId="28" fillId="0" borderId="12" xfId="543" applyFont="1" applyBorder="1" applyAlignment="1">
      <alignment horizontal="left" vertical="center" wrapText="1"/>
    </xf>
    <xf numFmtId="0" fontId="21" fillId="0" borderId="8" xfId="543" applyBorder="1" applyAlignment="1">
      <alignment horizontal="left" vertical="top" wrapText="1"/>
    </xf>
    <xf numFmtId="0" fontId="21" fillId="0" borderId="0" xfId="543" applyAlignment="1">
      <alignment horizontal="left" vertical="top" wrapText="1"/>
    </xf>
    <xf numFmtId="0" fontId="21" fillId="0" borderId="12" xfId="543" applyBorder="1" applyAlignment="1">
      <alignment horizontal="left" vertical="top" wrapText="1"/>
    </xf>
    <xf numFmtId="0" fontId="21" fillId="0" borderId="9" xfId="543" applyBorder="1" applyAlignment="1">
      <alignment horizontal="left" vertical="top" wrapText="1"/>
    </xf>
    <xf numFmtId="0" fontId="21" fillId="0" borderId="6" xfId="543" applyBorder="1" applyAlignment="1">
      <alignment horizontal="left" vertical="top" wrapText="1"/>
    </xf>
    <xf numFmtId="0" fontId="21" fillId="0" borderId="10" xfId="543" applyBorder="1" applyAlignment="1">
      <alignment horizontal="left" vertical="top" wrapText="1"/>
    </xf>
    <xf numFmtId="168" fontId="21" fillId="0" borderId="9" xfId="543" applyNumberFormat="1" applyBorder="1" applyAlignment="1">
      <alignment horizontal="center" vertical="center"/>
    </xf>
    <xf numFmtId="168" fontId="21" fillId="0" borderId="6" xfId="543" applyNumberFormat="1" applyBorder="1" applyAlignment="1">
      <alignment horizontal="center" vertical="center"/>
    </xf>
    <xf numFmtId="168" fontId="21" fillId="0" borderId="10" xfId="543" applyNumberFormat="1" applyBorder="1" applyAlignment="1">
      <alignment horizontal="center" vertical="center"/>
    </xf>
    <xf numFmtId="0" fontId="21" fillId="2" borderId="3" xfId="543" applyFill="1" applyBorder="1" applyAlignment="1">
      <alignment horizontal="center"/>
    </xf>
    <xf numFmtId="0" fontId="21" fillId="2" borderId="4" xfId="543" applyFill="1" applyBorder="1" applyAlignment="1">
      <alignment horizontal="center"/>
    </xf>
    <xf numFmtId="0" fontId="21" fillId="2" borderId="5" xfId="543" applyFill="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8" fillId="0" borderId="3" xfId="543" applyFont="1" applyBorder="1" applyAlignment="1">
      <alignment horizontal="right"/>
    </xf>
    <xf numFmtId="0" fontId="28" fillId="0" borderId="4" xfId="543" applyFont="1" applyBorder="1" applyAlignment="1">
      <alignment horizontal="right"/>
    </xf>
    <xf numFmtId="0" fontId="28" fillId="0" borderId="5" xfId="543" applyFont="1" applyBorder="1" applyAlignment="1">
      <alignment horizontal="right"/>
    </xf>
    <xf numFmtId="0" fontId="40" fillId="5" borderId="3" xfId="543" applyFont="1" applyFill="1" applyBorder="1" applyAlignment="1" applyProtection="1">
      <alignment horizontal="center"/>
      <protection locked="0"/>
    </xf>
    <xf numFmtId="0" fontId="40" fillId="5" borderId="5" xfId="543" applyFont="1" applyFill="1" applyBorder="1" applyAlignment="1" applyProtection="1">
      <alignment horizontal="center"/>
      <protection locked="0"/>
    </xf>
    <xf numFmtId="0" fontId="21" fillId="0" borderId="8" xfId="0" applyFont="1" applyBorder="1" applyAlignment="1">
      <alignment horizontal="left" wrapText="1"/>
    </xf>
    <xf numFmtId="0" fontId="21" fillId="0" borderId="12" xfId="0" applyFont="1" applyBorder="1" applyAlignment="1">
      <alignment horizontal="left" wrapText="1"/>
    </xf>
    <xf numFmtId="0" fontId="21" fillId="0" borderId="9" xfId="0" applyFont="1" applyBorder="1" applyAlignment="1">
      <alignment horizontal="left" wrapText="1"/>
    </xf>
    <xf numFmtId="0" fontId="21" fillId="0" borderId="6" xfId="0" applyFont="1" applyBorder="1" applyAlignment="1">
      <alignment horizontal="left" wrapText="1"/>
    </xf>
    <xf numFmtId="0" fontId="21" fillId="0" borderId="10" xfId="0" applyFont="1" applyBorder="1" applyAlignment="1">
      <alignment horizontal="left" wrapText="1"/>
    </xf>
    <xf numFmtId="0" fontId="40" fillId="0" borderId="3" xfId="543" applyFont="1" applyBorder="1" applyAlignment="1">
      <alignment horizontal="center"/>
    </xf>
    <xf numFmtId="0" fontId="40" fillId="0" borderId="5" xfId="543" applyFont="1" applyBorder="1" applyAlignment="1">
      <alignment horizontal="center"/>
    </xf>
    <xf numFmtId="0" fontId="40" fillId="5" borderId="9" xfId="543" applyFont="1" applyFill="1" applyBorder="1" applyAlignment="1" applyProtection="1">
      <alignment horizontal="center"/>
      <protection locked="0"/>
    </xf>
    <xf numFmtId="0" fontId="40" fillId="5" borderId="10" xfId="543" applyFont="1" applyFill="1" applyBorder="1" applyAlignment="1" applyProtection="1">
      <alignment horizontal="center"/>
      <protection locked="0"/>
    </xf>
    <xf numFmtId="0" fontId="28" fillId="0" borderId="1" xfId="0" applyFont="1" applyBorder="1" applyAlignment="1">
      <alignment horizontal="center" wrapText="1"/>
    </xf>
    <xf numFmtId="168" fontId="2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8" fillId="10" borderId="3" xfId="543" applyFont="1" applyFill="1" applyBorder="1" applyAlignment="1">
      <alignment horizontal="center"/>
    </xf>
    <xf numFmtId="0" fontId="28" fillId="10" borderId="4" xfId="543" applyFont="1" applyFill="1" applyBorder="1" applyAlignment="1">
      <alignment horizontal="center"/>
    </xf>
    <xf numFmtId="0" fontId="28" fillId="10" borderId="5" xfId="543" applyFont="1" applyFill="1" applyBorder="1" applyAlignment="1">
      <alignment horizontal="center"/>
    </xf>
    <xf numFmtId="0" fontId="40" fillId="5" borderId="3" xfId="543" applyFont="1" applyFill="1" applyBorder="1" applyAlignment="1" applyProtection="1">
      <alignment horizontal="center" vertical="top"/>
      <protection locked="0"/>
    </xf>
    <xf numFmtId="0" fontId="40" fillId="5" borderId="5" xfId="543" applyFont="1" applyFill="1" applyBorder="1" applyAlignment="1" applyProtection="1">
      <alignment horizontal="center" vertical="top"/>
      <protection locked="0"/>
    </xf>
    <xf numFmtId="0" fontId="28" fillId="0" borderId="1" xfId="543" applyFont="1" applyBorder="1" applyAlignment="1">
      <alignment horizontal="left" vertical="top" wrapText="1"/>
    </xf>
    <xf numFmtId="0" fontId="28" fillId="0" borderId="2" xfId="543" applyFont="1" applyBorder="1" applyAlignment="1">
      <alignment horizontal="left" vertical="top" wrapText="1"/>
    </xf>
    <xf numFmtId="0" fontId="28" fillId="0" borderId="7" xfId="543" applyFont="1" applyBorder="1" applyAlignment="1">
      <alignment horizontal="left" vertical="top" wrapText="1"/>
    </xf>
    <xf numFmtId="0" fontId="28" fillId="0" borderId="8" xfId="543" applyFont="1" applyBorder="1" applyAlignment="1">
      <alignment horizontal="left" vertical="top" wrapText="1"/>
    </xf>
    <xf numFmtId="0" fontId="28" fillId="0" borderId="0" xfId="543" applyFont="1" applyAlignment="1">
      <alignment horizontal="left" vertical="top" wrapText="1"/>
    </xf>
    <xf numFmtId="0" fontId="28" fillId="0" borderId="12" xfId="543" applyFont="1" applyBorder="1" applyAlignment="1">
      <alignment horizontal="left" vertical="top" wrapText="1"/>
    </xf>
    <xf numFmtId="1" fontId="21" fillId="0" borderId="3" xfId="543" applyNumberFormat="1" applyBorder="1" applyAlignment="1">
      <alignment horizontal="center"/>
    </xf>
    <xf numFmtId="1" fontId="21" fillId="0" borderId="4" xfId="543" applyNumberFormat="1" applyBorder="1" applyAlignment="1">
      <alignment horizontal="center"/>
    </xf>
    <xf numFmtId="1" fontId="21" fillId="0" borderId="5" xfId="543" applyNumberFormat="1" applyBorder="1" applyAlignment="1">
      <alignment horizontal="center"/>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41" fillId="0" borderId="4" xfId="543" applyFont="1" applyBorder="1" applyAlignment="1">
      <alignment horizontal="right" vertical="top" wrapText="1"/>
    </xf>
    <xf numFmtId="0" fontId="41" fillId="0" borderId="5" xfId="543" applyFont="1" applyBorder="1" applyAlignment="1">
      <alignment horizontal="right" vertical="top" wrapText="1"/>
    </xf>
    <xf numFmtId="0" fontId="29" fillId="0" borderId="3" xfId="543" applyFont="1" applyBorder="1" applyAlignment="1">
      <alignment horizontal="center"/>
    </xf>
    <xf numFmtId="0" fontId="29" fillId="0" borderId="5" xfId="543" applyFont="1" applyBorder="1" applyAlignment="1">
      <alignment horizontal="center"/>
    </xf>
    <xf numFmtId="1" fontId="29" fillId="0" borderId="3" xfId="543" applyNumberFormat="1" applyFont="1" applyBorder="1" applyAlignment="1">
      <alignment horizontal="center"/>
    </xf>
    <xf numFmtId="1" fontId="29" fillId="0" borderId="5" xfId="543" applyNumberFormat="1" applyFont="1" applyBorder="1" applyAlignment="1">
      <alignment horizontal="center"/>
    </xf>
    <xf numFmtId="0" fontId="42" fillId="0" borderId="3" xfId="543" applyFont="1" applyBorder="1" applyAlignment="1">
      <alignment horizontal="center"/>
    </xf>
    <xf numFmtId="0" fontId="42" fillId="0" borderId="4" xfId="543" applyFont="1" applyBorder="1" applyAlignment="1">
      <alignment horizontal="center"/>
    </xf>
    <xf numFmtId="0" fontId="42" fillId="0" borderId="5" xfId="543" applyFont="1" applyBorder="1" applyAlignment="1">
      <alignment horizontal="center"/>
    </xf>
    <xf numFmtId="182" fontId="29" fillId="43" borderId="11" xfId="8721" applyNumberFormat="1" applyFont="1" applyFill="1" applyBorder="1" applyAlignment="1" applyProtection="1">
      <alignment horizontal="center" vertical="center" wrapText="1"/>
      <protection locked="0"/>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48" fillId="0" borderId="8" xfId="543" applyFont="1" applyBorder="1" applyAlignment="1">
      <alignment horizontal="center" vertical="center" wrapText="1"/>
    </xf>
    <xf numFmtId="0" fontId="48" fillId="0" borderId="0" xfId="543" applyFont="1" applyAlignment="1">
      <alignment horizontal="center" vertical="center" wrapText="1"/>
    </xf>
    <xf numFmtId="0" fontId="48" fillId="0" borderId="12" xfId="543" applyFont="1" applyBorder="1" applyAlignment="1">
      <alignment horizontal="center" vertical="center" wrapText="1"/>
    </xf>
    <xf numFmtId="168" fontId="28" fillId="0" borderId="3" xfId="543" applyNumberFormat="1" applyFont="1" applyBorder="1" applyAlignment="1">
      <alignment horizontal="center" vertical="center"/>
    </xf>
    <xf numFmtId="168" fontId="28" fillId="0" borderId="4" xfId="543" applyNumberFormat="1" applyFont="1" applyBorder="1" applyAlignment="1">
      <alignment horizontal="center" vertical="center"/>
    </xf>
    <xf numFmtId="168" fontId="28" fillId="0" borderId="5" xfId="543" applyNumberFormat="1" applyFont="1" applyBorder="1" applyAlignment="1">
      <alignment horizontal="center" vertical="center"/>
    </xf>
    <xf numFmtId="168" fontId="30" fillId="0" borderId="6" xfId="0" applyNumberFormat="1" applyFont="1" applyBorder="1" applyAlignment="1">
      <alignment horizontal="center"/>
    </xf>
    <xf numFmtId="0" fontId="28" fillId="0" borderId="9" xfId="0" applyFont="1" applyBorder="1" applyAlignment="1">
      <alignment horizontal="center"/>
    </xf>
    <xf numFmtId="0" fontId="54" fillId="0" borderId="0" xfId="0" applyFont="1" applyAlignment="1">
      <alignment horizontal="center"/>
    </xf>
    <xf numFmtId="0" fontId="28" fillId="0" borderId="0" xfId="0" applyFont="1" applyAlignment="1">
      <alignment horizontal="center"/>
    </xf>
    <xf numFmtId="0" fontId="21" fillId="0" borderId="0" xfId="0" applyFont="1" applyAlignment="1">
      <alignment horizontal="center"/>
    </xf>
    <xf numFmtId="0" fontId="36" fillId="0" borderId="0" xfId="0" applyFont="1" applyAlignment="1">
      <alignment horizontal="center"/>
    </xf>
    <xf numFmtId="0" fontId="21" fillId="0" borderId="0" xfId="0" applyFont="1" applyAlignment="1">
      <alignment horizontal="center" vertical="top"/>
    </xf>
    <xf numFmtId="180" fontId="0" fillId="0" borderId="6" xfId="0" applyNumberFormat="1" applyBorder="1" applyAlignment="1">
      <alignment horizontal="center"/>
    </xf>
    <xf numFmtId="0" fontId="29" fillId="0" borderId="0" xfId="0" applyFont="1" applyAlignment="1">
      <alignment horizontal="center"/>
    </xf>
    <xf numFmtId="0" fontId="29" fillId="5" borderId="3" xfId="543" applyFont="1" applyFill="1" applyBorder="1" applyAlignment="1" applyProtection="1">
      <alignment horizontal="left" vertical="top" wrapText="1"/>
      <protection locked="0"/>
    </xf>
    <xf numFmtId="0" fontId="29" fillId="5" borderId="4" xfId="543" applyFont="1" applyFill="1" applyBorder="1" applyAlignment="1" applyProtection="1">
      <alignment horizontal="left" vertical="top" wrapText="1"/>
      <protection locked="0"/>
    </xf>
    <xf numFmtId="0" fontId="29" fillId="5" borderId="5" xfId="543" applyFont="1" applyFill="1" applyBorder="1" applyAlignment="1" applyProtection="1">
      <alignment horizontal="left" vertical="top" wrapText="1"/>
      <protection locked="0"/>
    </xf>
    <xf numFmtId="0" fontId="21" fillId="0" borderId="9" xfId="543" applyBorder="1" applyAlignment="1">
      <alignment horizontal="left" vertical="center" wrapText="1"/>
    </xf>
    <xf numFmtId="0" fontId="21" fillId="0" borderId="6" xfId="543" applyBorder="1" applyAlignment="1">
      <alignment horizontal="left" vertical="center" wrapText="1"/>
    </xf>
    <xf numFmtId="0" fontId="21" fillId="0" borderId="10" xfId="543" applyBorder="1" applyAlignment="1">
      <alignment horizontal="left" vertical="center" wrapText="1"/>
    </xf>
    <xf numFmtId="0" fontId="162" fillId="0" borderId="8" xfId="543" applyFont="1" applyBorder="1" applyAlignment="1">
      <alignment horizontal="center" wrapText="1"/>
    </xf>
    <xf numFmtId="0" fontId="162" fillId="0" borderId="0" xfId="543" applyFont="1" applyAlignment="1">
      <alignment horizontal="center" wrapText="1"/>
    </xf>
    <xf numFmtId="0" fontId="162" fillId="0" borderId="12" xfId="543" applyFont="1" applyBorder="1" applyAlignment="1">
      <alignment horizontal="center" wrapText="1"/>
    </xf>
    <xf numFmtId="0" fontId="162" fillId="0" borderId="9" xfId="543" applyFont="1" applyBorder="1" applyAlignment="1">
      <alignment horizontal="center" wrapText="1"/>
    </xf>
    <xf numFmtId="0" fontId="162" fillId="0" borderId="6" xfId="543" applyFont="1" applyBorder="1" applyAlignment="1">
      <alignment horizontal="center" wrapText="1"/>
    </xf>
    <xf numFmtId="0" fontId="162" fillId="0" borderId="10" xfId="543" applyFont="1" applyBorder="1" applyAlignment="1">
      <alignment horizontal="center" wrapText="1"/>
    </xf>
    <xf numFmtId="0" fontId="162" fillId="0" borderId="8" xfId="543" applyFont="1" applyBorder="1" applyAlignment="1">
      <alignment horizontal="center" vertical="top" wrapText="1"/>
    </xf>
    <xf numFmtId="0" fontId="162" fillId="0" borderId="0" xfId="543" applyFont="1" applyAlignment="1">
      <alignment horizontal="center" vertical="top" wrapText="1"/>
    </xf>
    <xf numFmtId="0" fontId="162" fillId="0" borderId="12" xfId="543" applyFont="1" applyBorder="1" applyAlignment="1">
      <alignment horizontal="center" vertical="top" wrapText="1"/>
    </xf>
    <xf numFmtId="0" fontId="162" fillId="0" borderId="9" xfId="543" applyFont="1" applyBorder="1" applyAlignment="1">
      <alignment horizontal="center" vertical="top" wrapText="1"/>
    </xf>
    <xf numFmtId="0" fontId="162" fillId="0" borderId="6" xfId="543" applyFont="1" applyBorder="1" applyAlignment="1">
      <alignment horizontal="center" vertical="top" wrapText="1"/>
    </xf>
    <xf numFmtId="0" fontId="162" fillId="0" borderId="10" xfId="543" applyFont="1" applyBorder="1" applyAlignment="1">
      <alignment horizontal="center" vertical="top" wrapText="1"/>
    </xf>
    <xf numFmtId="0" fontId="159" fillId="0" borderId="0" xfId="0" applyFont="1" applyAlignment="1">
      <alignment horizontal="center" vertical="center" wrapText="1"/>
    </xf>
    <xf numFmtId="0" fontId="30" fillId="0" borderId="0" xfId="543" applyFont="1" applyAlignment="1">
      <alignment horizontal="center"/>
    </xf>
    <xf numFmtId="0" fontId="21" fillId="0" borderId="0" xfId="543" applyAlignment="1">
      <alignment wrapText="1"/>
    </xf>
    <xf numFmtId="0" fontId="30" fillId="0" borderId="2" xfId="0" applyFont="1" applyBorder="1" applyAlignment="1">
      <alignment horizontal="left" vertical="top" wrapText="1"/>
    </xf>
    <xf numFmtId="177" fontId="30" fillId="5" borderId="6" xfId="0" applyNumberFormat="1" applyFont="1" applyFill="1" applyBorder="1" applyAlignment="1" applyProtection="1">
      <alignment horizontal="left" vertical="top" wrapText="1"/>
      <protection locked="0"/>
    </xf>
    <xf numFmtId="0" fontId="58" fillId="0" borderId="0" xfId="0" applyFont="1" applyAlignment="1">
      <alignment vertical="top" wrapText="1"/>
    </xf>
    <xf numFmtId="0" fontId="30" fillId="0" borderId="0" xfId="0" applyFont="1" applyAlignment="1">
      <alignment vertical="top" wrapText="1"/>
    </xf>
    <xf numFmtId="0" fontId="30" fillId="0" borderId="6" xfId="0" applyFont="1" applyBorder="1" applyAlignment="1">
      <alignment horizontal="right" vertical="top" wrapText="1"/>
    </xf>
    <xf numFmtId="0" fontId="30" fillId="0" borderId="6" xfId="0" applyFont="1" applyBorder="1" applyAlignment="1">
      <alignment vertical="top" wrapText="1"/>
    </xf>
    <xf numFmtId="0" fontId="62" fillId="2" borderId="3" xfId="0" applyFont="1" applyFill="1" applyBorder="1" applyAlignment="1">
      <alignment horizontal="center" vertical="top"/>
    </xf>
    <xf numFmtId="0" fontId="62" fillId="2" borderId="4" xfId="0" applyFont="1" applyFill="1" applyBorder="1" applyAlignment="1">
      <alignment horizontal="center" vertical="top"/>
    </xf>
    <xf numFmtId="0" fontId="62" fillId="2" borderId="5" xfId="0" applyFont="1" applyFill="1" applyBorder="1" applyAlignment="1">
      <alignment horizontal="center" vertical="top"/>
    </xf>
    <xf numFmtId="0" fontId="30" fillId="0" borderId="2" xfId="0" applyFont="1" applyBorder="1" applyAlignment="1">
      <alignment vertical="top" wrapText="1"/>
    </xf>
    <xf numFmtId="0" fontId="57" fillId="0" borderId="0" xfId="0" applyFont="1" applyAlignment="1">
      <alignment vertical="top" wrapText="1"/>
    </xf>
    <xf numFmtId="0" fontId="58" fillId="0" borderId="0" xfId="569" applyFont="1" applyAlignment="1">
      <alignment vertical="top" wrapText="1"/>
    </xf>
    <xf numFmtId="0" fontId="21" fillId="0" borderId="0" xfId="569" applyAlignment="1">
      <alignment horizontal="right" vertical="top" wrapText="1"/>
    </xf>
    <xf numFmtId="0" fontId="27" fillId="3" borderId="3" xfId="0" applyFont="1" applyFill="1" applyBorder="1" applyAlignment="1">
      <alignment horizontal="left" vertical="top"/>
    </xf>
    <xf numFmtId="0" fontId="27" fillId="3" borderId="4" xfId="0" applyFont="1" applyFill="1" applyBorder="1" applyAlignment="1">
      <alignment horizontal="left" vertical="top"/>
    </xf>
    <xf numFmtId="0" fontId="27" fillId="3" borderId="5" xfId="0" applyFont="1" applyFill="1" applyBorder="1" applyAlignment="1">
      <alignment horizontal="left" vertical="top"/>
    </xf>
    <xf numFmtId="0" fontId="106" fillId="44" borderId="0" xfId="8736" applyFont="1" applyFill="1" applyAlignment="1">
      <alignment horizontal="left"/>
    </xf>
    <xf numFmtId="0" fontId="5" fillId="48" borderId="80" xfId="8736" applyFill="1" applyBorder="1" applyAlignment="1" applyProtection="1">
      <alignment horizontal="left"/>
      <protection locked="0"/>
    </xf>
    <xf numFmtId="0" fontId="5" fillId="48" borderId="79" xfId="8736" applyFill="1" applyBorder="1" applyAlignment="1" applyProtection="1">
      <alignment horizontal="left"/>
      <protection locked="0"/>
    </xf>
    <xf numFmtId="0" fontId="5" fillId="48" borderId="78" xfId="8736" applyFill="1" applyBorder="1" applyAlignment="1" applyProtection="1">
      <alignment horizontal="left"/>
      <protection locked="0"/>
    </xf>
    <xf numFmtId="0" fontId="168" fillId="44" borderId="0" xfId="8736" applyFont="1" applyFill="1" applyAlignment="1">
      <alignment horizontal="left" vertical="top"/>
    </xf>
    <xf numFmtId="0" fontId="106" fillId="44" borderId="0" xfId="8730" applyFont="1" applyFill="1" applyBorder="1" applyAlignment="1">
      <alignment horizontal="left" vertical="top"/>
    </xf>
    <xf numFmtId="14" fontId="5" fillId="48" borderId="80" xfId="8736" applyNumberFormat="1" applyFill="1" applyBorder="1" applyAlignment="1" applyProtection="1">
      <alignment horizontal="center"/>
      <protection locked="0"/>
    </xf>
    <xf numFmtId="14" fontId="5" fillId="48" borderId="79" xfId="8736" applyNumberFormat="1" applyFill="1" applyBorder="1" applyAlignment="1" applyProtection="1">
      <alignment horizontal="center"/>
      <protection locked="0"/>
    </xf>
    <xf numFmtId="14" fontId="5" fillId="48" borderId="78" xfId="8736" applyNumberFormat="1" applyFill="1" applyBorder="1" applyAlignment="1" applyProtection="1">
      <alignment horizontal="center"/>
      <protection locked="0"/>
    </xf>
    <xf numFmtId="0" fontId="169" fillId="47" borderId="0" xfId="8736" applyFont="1" applyFill="1" applyAlignment="1">
      <alignment horizontal="left" vertical="top" wrapText="1"/>
    </xf>
    <xf numFmtId="0" fontId="106" fillId="47" borderId="42" xfId="8736" applyFont="1" applyFill="1" applyBorder="1" applyAlignment="1">
      <alignment horizontal="center"/>
    </xf>
    <xf numFmtId="0" fontId="5" fillId="48" borderId="80" xfId="8736" applyFill="1" applyBorder="1" applyAlignment="1" applyProtection="1">
      <alignment horizontal="center"/>
      <protection locked="0"/>
    </xf>
    <xf numFmtId="0" fontId="5" fillId="48" borderId="79" xfId="8736" applyFill="1" applyBorder="1" applyAlignment="1" applyProtection="1">
      <alignment horizontal="center"/>
      <protection locked="0"/>
    </xf>
    <xf numFmtId="0" fontId="5" fillId="48" borderId="78" xfId="8736" applyFill="1" applyBorder="1" applyAlignment="1" applyProtection="1">
      <alignment horizontal="center"/>
      <protection locked="0"/>
    </xf>
    <xf numFmtId="0" fontId="170" fillId="47" borderId="65" xfId="8736" applyFont="1" applyFill="1" applyBorder="1" applyAlignment="1">
      <alignment horizontal="center"/>
    </xf>
    <xf numFmtId="0" fontId="170" fillId="47" borderId="29" xfId="8736" applyFont="1" applyFill="1" applyBorder="1" applyAlignment="1">
      <alignment horizontal="center"/>
    </xf>
    <xf numFmtId="0" fontId="170" fillId="47" borderId="31" xfId="8736" applyFont="1" applyFill="1" applyBorder="1" applyAlignment="1">
      <alignment horizontal="center"/>
    </xf>
    <xf numFmtId="0" fontId="5" fillId="47" borderId="66" xfId="8736" applyFill="1" applyBorder="1" applyAlignment="1">
      <alignment horizontal="center"/>
    </xf>
    <xf numFmtId="0" fontId="5" fillId="47" borderId="0" xfId="8736" applyFill="1" applyAlignment="1">
      <alignment horizontal="center"/>
    </xf>
    <xf numFmtId="0" fontId="5" fillId="47" borderId="41" xfId="8736" applyFill="1" applyBorder="1" applyAlignment="1">
      <alignment horizontal="center"/>
    </xf>
    <xf numFmtId="0" fontId="169" fillId="47" borderId="66" xfId="8736" applyFont="1" applyFill="1" applyBorder="1" applyAlignment="1">
      <alignment horizontal="center"/>
    </xf>
    <xf numFmtId="0" fontId="169" fillId="47" borderId="0" xfId="8736" applyFont="1" applyFill="1" applyAlignment="1">
      <alignment horizontal="center"/>
    </xf>
    <xf numFmtId="0" fontId="169" fillId="47" borderId="41" xfId="8736" applyFont="1" applyFill="1" applyBorder="1" applyAlignment="1">
      <alignment horizontal="center"/>
    </xf>
    <xf numFmtId="0" fontId="106" fillId="47" borderId="66" xfId="8736" applyFont="1" applyFill="1" applyBorder="1" applyAlignment="1">
      <alignment horizontal="center"/>
    </xf>
    <xf numFmtId="0" fontId="106" fillId="47" borderId="0" xfId="8736" applyFont="1" applyFill="1" applyAlignment="1">
      <alignment horizontal="center"/>
    </xf>
    <xf numFmtId="0" fontId="106" fillId="47" borderId="41" xfId="8736" applyFont="1" applyFill="1" applyBorder="1" applyAlignment="1">
      <alignment horizontal="center"/>
    </xf>
    <xf numFmtId="0" fontId="106" fillId="47" borderId="0" xfId="8736" applyFont="1" applyFill="1" applyAlignment="1">
      <alignment horizontal="left"/>
    </xf>
    <xf numFmtId="0" fontId="171" fillId="50" borderId="3" xfId="698" applyNumberFormat="1" applyFont="1" applyFill="1" applyBorder="1" applyAlignment="1" applyProtection="1">
      <alignment horizontal="center"/>
      <protection locked="0"/>
    </xf>
    <xf numFmtId="0" fontId="171" fillId="50" borderId="4" xfId="698" applyNumberFormat="1" applyFont="1" applyFill="1" applyBorder="1" applyAlignment="1" applyProtection="1">
      <alignment horizontal="center"/>
      <protection locked="0"/>
    </xf>
    <xf numFmtId="0" fontId="171" fillId="50" borderId="81" xfId="698" applyNumberFormat="1" applyFont="1" applyFill="1" applyBorder="1" applyAlignment="1" applyProtection="1">
      <alignment horizontal="center"/>
      <protection locked="0"/>
    </xf>
    <xf numFmtId="43" fontId="169" fillId="49" borderId="72" xfId="698" applyFont="1" applyFill="1" applyBorder="1" applyAlignment="1" applyProtection="1">
      <alignment horizontal="right"/>
      <protection hidden="1"/>
    </xf>
    <xf numFmtId="43" fontId="169" fillId="49" borderId="11" xfId="698" applyFont="1" applyFill="1" applyBorder="1" applyAlignment="1" applyProtection="1">
      <alignment horizontal="right"/>
      <protection hidden="1"/>
    </xf>
    <xf numFmtId="44" fontId="169" fillId="0" borderId="11" xfId="700" applyFont="1" applyBorder="1" applyAlignment="1" applyProtection="1">
      <alignment horizontal="center"/>
      <protection hidden="1"/>
    </xf>
    <xf numFmtId="168" fontId="169" fillId="0" borderId="11" xfId="700" applyNumberFormat="1" applyFont="1" applyBorder="1" applyAlignment="1" applyProtection="1">
      <alignment horizontal="center"/>
      <protection hidden="1"/>
    </xf>
    <xf numFmtId="9" fontId="169" fillId="0" borderId="11" xfId="1022" applyFont="1" applyBorder="1" applyAlignment="1" applyProtection="1">
      <alignment horizontal="center"/>
      <protection hidden="1"/>
    </xf>
    <xf numFmtId="43" fontId="169" fillId="49" borderId="3" xfId="698" applyFont="1" applyFill="1" applyBorder="1" applyAlignment="1" applyProtection="1">
      <alignment horizontal="center"/>
      <protection hidden="1"/>
    </xf>
    <xf numFmtId="43" fontId="169" fillId="49" borderId="4" xfId="698" applyFont="1" applyFill="1" applyBorder="1" applyAlignment="1" applyProtection="1">
      <alignment horizontal="center"/>
      <protection hidden="1"/>
    </xf>
    <xf numFmtId="43" fontId="169" fillId="49" borderId="81" xfId="698" applyFont="1" applyFill="1" applyBorder="1" applyAlignment="1" applyProtection="1">
      <alignment horizontal="center"/>
      <protection hidden="1"/>
    </xf>
    <xf numFmtId="0" fontId="172" fillId="49" borderId="72" xfId="698" applyNumberFormat="1" applyFont="1" applyFill="1" applyBorder="1" applyAlignment="1" applyProtection="1">
      <alignment horizontal="center"/>
      <protection hidden="1"/>
    </xf>
    <xf numFmtId="0" fontId="172" fillId="49" borderId="11" xfId="698" applyNumberFormat="1" applyFont="1" applyFill="1" applyBorder="1" applyAlignment="1" applyProtection="1">
      <alignment horizontal="center"/>
      <protection hidden="1"/>
    </xf>
    <xf numFmtId="0" fontId="172" fillId="48" borderId="11" xfId="569" applyFont="1" applyFill="1" applyBorder="1" applyAlignment="1" applyProtection="1">
      <alignment horizontal="center"/>
      <protection locked="0"/>
    </xf>
    <xf numFmtId="14" fontId="171" fillId="48" borderId="11" xfId="700" applyNumberFormat="1" applyFont="1" applyFill="1" applyBorder="1" applyAlignment="1" applyProtection="1">
      <alignment horizontal="center"/>
      <protection locked="0"/>
    </xf>
    <xf numFmtId="168" fontId="172" fillId="48" borderId="11" xfId="700" applyNumberFormat="1" applyFont="1" applyFill="1" applyBorder="1" applyAlignment="1" applyProtection="1">
      <alignment horizontal="center"/>
      <protection locked="0"/>
    </xf>
    <xf numFmtId="9" fontId="172" fillId="48" borderId="11" xfId="1022" applyFont="1" applyFill="1" applyBorder="1" applyAlignment="1" applyProtection="1">
      <alignment horizontal="center"/>
      <protection locked="0"/>
    </xf>
    <xf numFmtId="44" fontId="171" fillId="48" borderId="11" xfId="700" applyFont="1" applyFill="1" applyBorder="1" applyAlignment="1" applyProtection="1">
      <alignment horizontal="center"/>
      <protection locked="0"/>
    </xf>
    <xf numFmtId="0" fontId="174" fillId="45" borderId="11" xfId="8736" applyFont="1" applyFill="1" applyBorder="1" applyAlignment="1">
      <alignment horizontal="left" wrapText="1"/>
    </xf>
    <xf numFmtId="43" fontId="169" fillId="45" borderId="80" xfId="698" applyFont="1" applyFill="1" applyBorder="1" applyAlignment="1" applyProtection="1">
      <alignment horizontal="center"/>
      <protection hidden="1"/>
    </xf>
    <xf numFmtId="43" fontId="169" fillId="45" borderId="79" xfId="698" applyFont="1" applyFill="1" applyBorder="1" applyAlignment="1" applyProtection="1">
      <alignment horizontal="center"/>
      <protection hidden="1"/>
    </xf>
    <xf numFmtId="43" fontId="169" fillId="45" borderId="78" xfId="698" applyFont="1" applyFill="1" applyBorder="1" applyAlignment="1" applyProtection="1">
      <alignment horizontal="center"/>
      <protection hidden="1"/>
    </xf>
    <xf numFmtId="43" fontId="173" fillId="49" borderId="66" xfId="698" applyFont="1" applyFill="1" applyBorder="1" applyAlignment="1" applyProtection="1">
      <alignment horizontal="center" wrapText="1"/>
      <protection hidden="1"/>
    </xf>
    <xf numFmtId="43" fontId="173" fillId="49" borderId="0" xfId="698" applyFont="1" applyFill="1" applyBorder="1" applyAlignment="1" applyProtection="1">
      <alignment horizontal="center" wrapText="1"/>
      <protection hidden="1"/>
    </xf>
    <xf numFmtId="43" fontId="173" fillId="49" borderId="12" xfId="698" applyFont="1" applyFill="1" applyBorder="1" applyAlignment="1" applyProtection="1">
      <alignment horizontal="center" wrapText="1"/>
      <protection hidden="1"/>
    </xf>
    <xf numFmtId="43" fontId="173" fillId="49" borderId="83" xfId="698" applyFont="1" applyFill="1" applyBorder="1" applyAlignment="1" applyProtection="1">
      <alignment horizontal="center" wrapText="1"/>
      <protection hidden="1"/>
    </xf>
    <xf numFmtId="43" fontId="173" fillId="49" borderId="6" xfId="698" applyFont="1" applyFill="1" applyBorder="1" applyAlignment="1" applyProtection="1">
      <alignment horizontal="center" wrapText="1"/>
      <protection hidden="1"/>
    </xf>
    <xf numFmtId="43" fontId="173" fillId="49" borderId="10" xfId="698" applyFont="1" applyFill="1" applyBorder="1" applyAlignment="1" applyProtection="1">
      <alignment horizontal="center" wrapText="1"/>
      <protection hidden="1"/>
    </xf>
    <xf numFmtId="43" fontId="173" fillId="49" borderId="8" xfId="698" applyFont="1" applyFill="1" applyBorder="1" applyAlignment="1" applyProtection="1">
      <alignment horizontal="center" wrapText="1"/>
      <protection hidden="1"/>
    </xf>
    <xf numFmtId="43" fontId="173" fillId="49" borderId="9" xfId="698" applyFont="1" applyFill="1" applyBorder="1" applyAlignment="1" applyProtection="1">
      <alignment horizontal="center" wrapText="1"/>
      <protection hidden="1"/>
    </xf>
    <xf numFmtId="14" fontId="173" fillId="0" borderId="8" xfId="700" applyNumberFormat="1" applyFont="1" applyFill="1" applyBorder="1" applyAlignment="1" applyProtection="1">
      <alignment horizontal="center" wrapText="1"/>
      <protection hidden="1"/>
    </xf>
    <xf numFmtId="14" fontId="173" fillId="0" borderId="0" xfId="700" applyNumberFormat="1" applyFont="1" applyFill="1" applyBorder="1" applyAlignment="1" applyProtection="1">
      <alignment horizontal="center" wrapText="1"/>
      <protection hidden="1"/>
    </xf>
    <xf numFmtId="14" fontId="173" fillId="0" borderId="12" xfId="700" applyNumberFormat="1" applyFont="1" applyFill="1" applyBorder="1" applyAlignment="1" applyProtection="1">
      <alignment horizontal="center" wrapText="1"/>
      <protection hidden="1"/>
    </xf>
    <xf numFmtId="14" fontId="173" fillId="0" borderId="9" xfId="700" applyNumberFormat="1" applyFont="1" applyFill="1" applyBorder="1" applyAlignment="1" applyProtection="1">
      <alignment horizontal="center" wrapText="1"/>
      <protection hidden="1"/>
    </xf>
    <xf numFmtId="14" fontId="173" fillId="0" borderId="6" xfId="700" applyNumberFormat="1" applyFont="1" applyFill="1" applyBorder="1" applyAlignment="1" applyProtection="1">
      <alignment horizontal="center" wrapText="1"/>
      <protection hidden="1"/>
    </xf>
    <xf numFmtId="14" fontId="173" fillId="0" borderId="10" xfId="700" applyNumberFormat="1" applyFont="1" applyFill="1" applyBorder="1" applyAlignment="1" applyProtection="1">
      <alignment horizontal="center" wrapText="1"/>
      <protection hidden="1"/>
    </xf>
    <xf numFmtId="44" fontId="173" fillId="0" borderId="8" xfId="700" applyFont="1" applyBorder="1" applyAlignment="1" applyProtection="1">
      <alignment horizontal="center" wrapText="1"/>
      <protection hidden="1"/>
    </xf>
    <xf numFmtId="44" fontId="173" fillId="0" borderId="0" xfId="700" applyFont="1" applyBorder="1" applyAlignment="1" applyProtection="1">
      <alignment horizontal="center" wrapText="1"/>
      <protection hidden="1"/>
    </xf>
    <xf numFmtId="44" fontId="173" fillId="0" borderId="12" xfId="700" applyFont="1" applyBorder="1" applyAlignment="1" applyProtection="1">
      <alignment horizontal="center" wrapText="1"/>
      <protection hidden="1"/>
    </xf>
    <xf numFmtId="44" fontId="173" fillId="0" borderId="9" xfId="700" applyFont="1" applyBorder="1" applyAlignment="1" applyProtection="1">
      <alignment horizontal="center" wrapText="1"/>
      <protection hidden="1"/>
    </xf>
    <xf numFmtId="44" fontId="173" fillId="0" borderId="6" xfId="700" applyFont="1" applyBorder="1" applyAlignment="1" applyProtection="1">
      <alignment horizontal="center" wrapText="1"/>
      <protection hidden="1"/>
    </xf>
    <xf numFmtId="44" fontId="173" fillId="0" borderId="10" xfId="700" applyFont="1" applyBorder="1" applyAlignment="1" applyProtection="1">
      <alignment horizontal="center" wrapText="1"/>
      <protection hidden="1"/>
    </xf>
    <xf numFmtId="43" fontId="173" fillId="49" borderId="41" xfId="698" applyFont="1" applyFill="1" applyBorder="1" applyAlignment="1" applyProtection="1">
      <alignment horizontal="center" wrapText="1"/>
      <protection hidden="1"/>
    </xf>
    <xf numFmtId="43" fontId="173" fillId="49" borderId="82" xfId="698" applyFont="1" applyFill="1" applyBorder="1" applyAlignment="1" applyProtection="1">
      <alignment horizontal="center" wrapText="1"/>
      <protection hidden="1"/>
    </xf>
    <xf numFmtId="0" fontId="175" fillId="45" borderId="11" xfId="8736" applyFont="1" applyFill="1" applyBorder="1" applyAlignment="1">
      <alignment horizontal="left"/>
    </xf>
    <xf numFmtId="182" fontId="5" fillId="48" borderId="11" xfId="700" applyNumberFormat="1" applyFont="1" applyFill="1" applyBorder="1" applyAlignment="1" applyProtection="1">
      <alignment horizontal="center"/>
      <protection locked="0"/>
    </xf>
    <xf numFmtId="10" fontId="175" fillId="48" borderId="11" xfId="1022" applyNumberFormat="1" applyFont="1" applyFill="1" applyBorder="1" applyAlignment="1" applyProtection="1">
      <alignment horizontal="center"/>
      <protection locked="0"/>
    </xf>
    <xf numFmtId="182" fontId="5" fillId="0" borderId="13" xfId="8736" applyNumberFormat="1" applyBorder="1" applyAlignment="1">
      <alignment horizontal="center"/>
    </xf>
    <xf numFmtId="0" fontId="5" fillId="0" borderId="13" xfId="8736" applyBorder="1" applyAlignment="1">
      <alignment horizontal="center"/>
    </xf>
    <xf numFmtId="0" fontId="168" fillId="45" borderId="80" xfId="569" applyFont="1" applyFill="1" applyBorder="1" applyAlignment="1" applyProtection="1">
      <alignment horizontal="center" wrapText="1"/>
      <protection hidden="1"/>
    </xf>
    <xf numFmtId="0" fontId="168" fillId="45" borderId="79" xfId="569" applyFont="1" applyFill="1" applyBorder="1" applyAlignment="1" applyProtection="1">
      <alignment horizontal="center" wrapText="1"/>
      <protection hidden="1"/>
    </xf>
    <xf numFmtId="0" fontId="168" fillId="45" borderId="78" xfId="569" applyFont="1" applyFill="1" applyBorder="1" applyAlignment="1" applyProtection="1">
      <alignment horizontal="center" wrapText="1"/>
      <protection hidden="1"/>
    </xf>
    <xf numFmtId="0" fontId="168" fillId="45" borderId="13" xfId="569" applyFont="1" applyFill="1" applyBorder="1" applyAlignment="1" applyProtection="1">
      <alignment horizontal="left" wrapText="1"/>
      <protection hidden="1"/>
    </xf>
    <xf numFmtId="0" fontId="168" fillId="45" borderId="13" xfId="569" applyFont="1" applyFill="1" applyBorder="1" applyAlignment="1" applyProtection="1">
      <alignment horizontal="center" wrapText="1"/>
      <protection hidden="1"/>
    </xf>
    <xf numFmtId="0" fontId="177" fillId="45" borderId="67" xfId="8736" applyFont="1" applyFill="1" applyBorder="1" applyAlignment="1">
      <alignment horizontal="right"/>
    </xf>
    <xf numFmtId="0" fontId="177" fillId="45" borderId="68" xfId="8736" applyFont="1" applyFill="1" applyBorder="1" applyAlignment="1">
      <alignment horizontal="right"/>
    </xf>
    <xf numFmtId="168" fontId="172" fillId="44" borderId="68" xfId="700" applyNumberFormat="1" applyFont="1" applyFill="1" applyBorder="1" applyAlignment="1">
      <alignment horizontal="left"/>
    </xf>
    <xf numFmtId="168" fontId="172" fillId="44" borderId="71" xfId="700" applyNumberFormat="1" applyFont="1" applyFill="1" applyBorder="1" applyAlignment="1">
      <alignment horizontal="left"/>
    </xf>
    <xf numFmtId="0" fontId="174" fillId="48" borderId="66" xfId="8736" applyFont="1" applyFill="1" applyBorder="1" applyAlignment="1">
      <alignment horizontal="left" wrapText="1"/>
    </xf>
    <xf numFmtId="0" fontId="174" fillId="48" borderId="0" xfId="8736" applyFont="1" applyFill="1" applyAlignment="1">
      <alignment horizontal="left" wrapText="1"/>
    </xf>
    <xf numFmtId="0" fontId="174" fillId="48" borderId="41" xfId="8736" applyFont="1" applyFill="1" applyBorder="1" applyAlignment="1">
      <alignment horizontal="left" wrapText="1"/>
    </xf>
    <xf numFmtId="0" fontId="174" fillId="48" borderId="73" xfId="8736" applyFont="1" applyFill="1" applyBorder="1" applyAlignment="1">
      <alignment horizontal="left" wrapText="1"/>
    </xf>
    <xf numFmtId="0" fontId="174" fillId="48" borderId="42" xfId="8736" applyFont="1" applyFill="1" applyBorder="1" applyAlignment="1">
      <alignment horizontal="left" wrapText="1"/>
    </xf>
    <xf numFmtId="0" fontId="174" fillId="48" borderId="44" xfId="8736" applyFont="1" applyFill="1" applyBorder="1" applyAlignment="1">
      <alignment horizontal="left" wrapText="1"/>
    </xf>
    <xf numFmtId="0" fontId="176" fillId="45" borderId="69" xfId="8736" applyFont="1" applyFill="1" applyBorder="1" applyAlignment="1">
      <alignment horizontal="right"/>
    </xf>
    <xf numFmtId="0" fontId="176" fillId="45" borderId="70" xfId="8736" applyFont="1" applyFill="1" applyBorder="1" applyAlignment="1">
      <alignment horizontal="right"/>
    </xf>
    <xf numFmtId="0" fontId="168" fillId="44" borderId="70" xfId="700" applyNumberFormat="1" applyFont="1" applyFill="1" applyBorder="1" applyAlignment="1">
      <alignment horizontal="left"/>
    </xf>
    <xf numFmtId="168" fontId="168" fillId="44" borderId="70" xfId="700" applyNumberFormat="1" applyFont="1" applyFill="1" applyBorder="1" applyAlignment="1">
      <alignment horizontal="left"/>
    </xf>
    <xf numFmtId="168" fontId="168" fillId="44" borderId="77" xfId="700" applyNumberFormat="1" applyFont="1" applyFill="1" applyBorder="1" applyAlignment="1">
      <alignment horizontal="left"/>
    </xf>
    <xf numFmtId="0" fontId="169" fillId="47" borderId="0" xfId="8736" applyFont="1" applyFill="1" applyAlignment="1">
      <alignment horizontal="right"/>
    </xf>
    <xf numFmtId="168" fontId="173" fillId="47" borderId="0" xfId="700" applyNumberFormat="1" applyFont="1" applyFill="1" applyBorder="1" applyAlignment="1" applyProtection="1">
      <alignment horizontal="left"/>
      <protection locked="0"/>
    </xf>
    <xf numFmtId="0" fontId="175" fillId="48" borderId="87" xfId="8736" applyFont="1" applyFill="1" applyBorder="1" applyAlignment="1" applyProtection="1">
      <alignment horizontal="center"/>
      <protection locked="0"/>
    </xf>
    <xf numFmtId="0" fontId="175" fillId="48" borderId="86" xfId="8736" applyFont="1" applyFill="1" applyBorder="1" applyAlignment="1" applyProtection="1">
      <alignment horizontal="center"/>
      <protection locked="0"/>
    </xf>
    <xf numFmtId="0" fontId="177" fillId="48" borderId="70" xfId="8736" applyFont="1" applyFill="1" applyBorder="1" applyAlignment="1" applyProtection="1">
      <alignment horizontal="left"/>
      <protection locked="0"/>
    </xf>
    <xf numFmtId="0" fontId="177" fillId="48" borderId="77" xfId="8736" applyFont="1" applyFill="1" applyBorder="1" applyAlignment="1" applyProtection="1">
      <alignment horizontal="left"/>
      <protection locked="0"/>
    </xf>
    <xf numFmtId="168" fontId="175" fillId="48" borderId="86" xfId="700" applyNumberFormat="1" applyFont="1" applyFill="1" applyBorder="1" applyAlignment="1" applyProtection="1">
      <alignment horizontal="left"/>
      <protection locked="0"/>
    </xf>
    <xf numFmtId="168" fontId="175" fillId="48" borderId="85" xfId="700" applyNumberFormat="1" applyFont="1" applyFill="1" applyBorder="1" applyAlignment="1" applyProtection="1">
      <alignment horizontal="left"/>
      <protection locked="0"/>
    </xf>
    <xf numFmtId="0" fontId="175" fillId="48" borderId="87" xfId="8736" applyFont="1" applyFill="1" applyBorder="1" applyAlignment="1" applyProtection="1">
      <alignment horizontal="left"/>
      <protection locked="0"/>
    </xf>
    <xf numFmtId="0" fontId="175" fillId="48" borderId="86" xfId="8736" applyFont="1" applyFill="1" applyBorder="1" applyAlignment="1" applyProtection="1">
      <alignment horizontal="left"/>
      <protection locked="0"/>
    </xf>
    <xf numFmtId="0" fontId="175" fillId="48" borderId="85" xfId="8736" applyFont="1" applyFill="1" applyBorder="1" applyAlignment="1" applyProtection="1">
      <alignment horizontal="left"/>
      <protection locked="0"/>
    </xf>
    <xf numFmtId="0" fontId="106" fillId="48" borderId="80" xfId="8736" applyFont="1" applyFill="1" applyBorder="1" applyAlignment="1">
      <alignment horizontal="left"/>
    </xf>
    <xf numFmtId="0" fontId="106" fillId="48" borderId="79" xfId="8736" applyFont="1" applyFill="1" applyBorder="1" applyAlignment="1">
      <alignment horizontal="left"/>
    </xf>
    <xf numFmtId="44" fontId="5" fillId="48" borderId="84" xfId="700" applyFont="1" applyFill="1" applyBorder="1" applyAlignment="1" applyProtection="1">
      <alignment horizontal="center"/>
      <protection locked="0"/>
    </xf>
    <xf numFmtId="0" fontId="175" fillId="48" borderId="72" xfId="8736" applyFont="1" applyFill="1" applyBorder="1" applyAlignment="1" applyProtection="1">
      <alignment horizontal="center"/>
      <protection locked="0"/>
    </xf>
    <xf numFmtId="0" fontId="175" fillId="48" borderId="11" xfId="8736" applyFont="1" applyFill="1" applyBorder="1" applyAlignment="1" applyProtection="1">
      <alignment horizontal="center"/>
      <protection locked="0"/>
    </xf>
    <xf numFmtId="0" fontId="177" fillId="48" borderId="11" xfId="8736" applyFont="1" applyFill="1" applyBorder="1" applyAlignment="1" applyProtection="1">
      <alignment horizontal="left"/>
      <protection locked="0"/>
    </xf>
    <xf numFmtId="168" fontId="175" fillId="48" borderId="11" xfId="700" applyNumberFormat="1" applyFont="1" applyFill="1" applyBorder="1" applyAlignment="1" applyProtection="1">
      <alignment horizontal="left"/>
      <protection locked="0"/>
    </xf>
    <xf numFmtId="0" fontId="175" fillId="48" borderId="11" xfId="8736" applyFont="1" applyFill="1" applyBorder="1" applyAlignment="1" applyProtection="1">
      <alignment horizontal="left"/>
      <protection locked="0"/>
    </xf>
    <xf numFmtId="0" fontId="175" fillId="48" borderId="76" xfId="8736" applyFont="1" applyFill="1" applyBorder="1" applyAlignment="1" applyProtection="1">
      <alignment horizontal="left"/>
      <protection locked="0"/>
    </xf>
    <xf numFmtId="0" fontId="5" fillId="48" borderId="1" xfId="8736" applyFill="1" applyBorder="1" applyAlignment="1">
      <alignment horizontal="center"/>
    </xf>
    <xf numFmtId="0" fontId="5" fillId="48" borderId="2" xfId="8736" applyFill="1" applyBorder="1" applyAlignment="1">
      <alignment horizontal="center"/>
    </xf>
    <xf numFmtId="0" fontId="5" fillId="48" borderId="112" xfId="8736" applyFill="1" applyBorder="1" applyAlignment="1">
      <alignment horizontal="center"/>
    </xf>
    <xf numFmtId="0" fontId="177" fillId="48" borderId="72" xfId="8736" applyFont="1" applyFill="1" applyBorder="1" applyAlignment="1" applyProtection="1">
      <alignment horizontal="center"/>
      <protection locked="0"/>
    </xf>
    <xf numFmtId="0" fontId="177" fillId="48" borderId="11" xfId="8736" applyFont="1" applyFill="1" applyBorder="1" applyAlignment="1" applyProtection="1">
      <alignment horizontal="center"/>
      <protection locked="0"/>
    </xf>
    <xf numFmtId="43" fontId="172" fillId="50" borderId="72" xfId="698" applyFont="1" applyFill="1" applyBorder="1" applyAlignment="1" applyProtection="1">
      <alignment horizontal="left" wrapText="1"/>
      <protection hidden="1"/>
    </xf>
    <xf numFmtId="43" fontId="172" fillId="50" borderId="11" xfId="698" applyFont="1" applyFill="1" applyBorder="1" applyAlignment="1" applyProtection="1">
      <alignment horizontal="left" wrapText="1"/>
      <protection hidden="1"/>
    </xf>
    <xf numFmtId="44" fontId="5" fillId="48" borderId="11" xfId="700" applyFont="1" applyFill="1" applyBorder="1" applyAlignment="1" applyProtection="1">
      <alignment horizontal="center"/>
      <protection hidden="1"/>
    </xf>
    <xf numFmtId="43" fontId="169" fillId="50" borderId="111" xfId="698" applyFont="1" applyFill="1" applyBorder="1" applyAlignment="1" applyProtection="1">
      <alignment horizontal="center"/>
      <protection hidden="1"/>
    </xf>
    <xf numFmtId="43" fontId="169" fillId="50" borderId="84" xfId="698" applyFont="1" applyFill="1" applyBorder="1" applyAlignment="1" applyProtection="1">
      <alignment horizontal="center"/>
      <protection hidden="1"/>
    </xf>
    <xf numFmtId="43" fontId="169" fillId="50" borderId="102" xfId="698" applyFont="1" applyFill="1" applyBorder="1" applyAlignment="1" applyProtection="1">
      <alignment horizontal="center"/>
      <protection hidden="1"/>
    </xf>
    <xf numFmtId="0" fontId="175" fillId="45" borderId="72" xfId="8736" applyFont="1" applyFill="1" applyBorder="1" applyAlignment="1">
      <alignment horizontal="right"/>
    </xf>
    <xf numFmtId="0" fontId="175" fillId="45" borderId="11" xfId="8736" applyFont="1" applyFill="1" applyBorder="1" applyAlignment="1">
      <alignment horizontal="right"/>
    </xf>
    <xf numFmtId="43" fontId="172" fillId="50" borderId="98" xfId="698" applyFont="1" applyFill="1" applyBorder="1" applyAlignment="1" applyProtection="1">
      <alignment horizontal="left"/>
      <protection hidden="1"/>
    </xf>
    <xf numFmtId="43" fontId="172" fillId="50" borderId="13" xfId="698" applyFont="1" applyFill="1" applyBorder="1" applyAlignment="1" applyProtection="1">
      <alignment horizontal="left"/>
      <protection hidden="1"/>
    </xf>
    <xf numFmtId="44" fontId="5" fillId="48" borderId="13" xfId="700" applyFont="1" applyFill="1" applyBorder="1" applyAlignment="1" applyProtection="1">
      <alignment horizontal="center"/>
      <protection locked="0"/>
    </xf>
    <xf numFmtId="0" fontId="175" fillId="48" borderId="9" xfId="8736" applyFont="1" applyFill="1" applyBorder="1" applyAlignment="1">
      <alignment horizontal="center"/>
    </xf>
    <xf numFmtId="0" fontId="175" fillId="48" borderId="6" xfId="8736" applyFont="1" applyFill="1" applyBorder="1" applyAlignment="1">
      <alignment horizontal="center"/>
    </xf>
    <xf numFmtId="0" fontId="175" fillId="48" borderId="82" xfId="8736" applyFont="1" applyFill="1" applyBorder="1" applyAlignment="1">
      <alignment horizontal="center"/>
    </xf>
    <xf numFmtId="0" fontId="5" fillId="48" borderId="3" xfId="8736" applyFill="1" applyBorder="1" applyAlignment="1">
      <alignment horizontal="center"/>
    </xf>
    <xf numFmtId="0" fontId="5" fillId="48" borderId="4" xfId="8736" applyFill="1" applyBorder="1" applyAlignment="1">
      <alignment horizontal="center"/>
    </xf>
    <xf numFmtId="0" fontId="5" fillId="48" borderId="81" xfId="8736" applyFill="1" applyBorder="1" applyAlignment="1">
      <alignment horizontal="center"/>
    </xf>
    <xf numFmtId="168" fontId="177" fillId="44" borderId="11" xfId="700" applyNumberFormat="1" applyFont="1" applyFill="1" applyBorder="1" applyAlignment="1">
      <alignment horizontal="left"/>
    </xf>
    <xf numFmtId="0" fontId="106" fillId="45" borderId="65" xfId="8736" applyFont="1" applyFill="1" applyBorder="1" applyAlignment="1">
      <alignment horizontal="left" wrapText="1"/>
    </xf>
    <xf numFmtId="0" fontId="106" fillId="45" borderId="29" xfId="8736" applyFont="1" applyFill="1" applyBorder="1" applyAlignment="1">
      <alignment horizontal="left" wrapText="1"/>
    </xf>
    <xf numFmtId="0" fontId="106" fillId="45" borderId="31" xfId="8736" applyFont="1" applyFill="1" applyBorder="1" applyAlignment="1">
      <alignment horizontal="left" wrapText="1"/>
    </xf>
    <xf numFmtId="0" fontId="106" fillId="45" borderId="73" xfId="8736" applyFont="1" applyFill="1" applyBorder="1" applyAlignment="1">
      <alignment horizontal="left" wrapText="1"/>
    </xf>
    <xf numFmtId="0" fontId="106" fillId="45" borderId="42" xfId="8736" applyFont="1" applyFill="1" applyBorder="1" applyAlignment="1">
      <alignment horizontal="left" wrapText="1"/>
    </xf>
    <xf numFmtId="0" fontId="106" fillId="45" borderId="44" xfId="8736" applyFont="1" applyFill="1" applyBorder="1" applyAlignment="1">
      <alignment horizontal="left" wrapText="1"/>
    </xf>
    <xf numFmtId="43" fontId="172" fillId="50" borderId="72" xfId="698" applyFont="1" applyFill="1" applyBorder="1" applyAlignment="1" applyProtection="1">
      <alignment horizontal="left"/>
      <protection hidden="1"/>
    </xf>
    <xf numFmtId="43" fontId="172" fillId="50" borderId="11" xfId="698" applyFont="1" applyFill="1" applyBorder="1" applyAlignment="1" applyProtection="1">
      <alignment horizontal="left"/>
      <protection hidden="1"/>
    </xf>
    <xf numFmtId="44" fontId="5" fillId="48" borderId="11" xfId="700" applyFont="1" applyFill="1" applyBorder="1" applyAlignment="1" applyProtection="1">
      <alignment horizontal="center"/>
      <protection locked="0"/>
    </xf>
    <xf numFmtId="0" fontId="106" fillId="45" borderId="67" xfId="8736" applyFont="1" applyFill="1" applyBorder="1" applyAlignment="1">
      <alignment horizontal="center"/>
    </xf>
    <xf numFmtId="0" fontId="106" fillId="45" borderId="68" xfId="8736" applyFont="1" applyFill="1" applyBorder="1" applyAlignment="1">
      <alignment horizontal="center"/>
    </xf>
    <xf numFmtId="0" fontId="169" fillId="45" borderId="68" xfId="8736" applyFont="1" applyFill="1" applyBorder="1" applyAlignment="1">
      <alignment horizontal="center"/>
    </xf>
    <xf numFmtId="0" fontId="169" fillId="45" borderId="71" xfId="8736" applyFont="1" applyFill="1" applyBorder="1" applyAlignment="1">
      <alignment horizontal="center"/>
    </xf>
    <xf numFmtId="0" fontId="176" fillId="51" borderId="11" xfId="8736" applyFont="1" applyFill="1" applyBorder="1" applyAlignment="1">
      <alignment horizontal="center"/>
    </xf>
    <xf numFmtId="0" fontId="176" fillId="51" borderId="76" xfId="8736" applyFont="1" applyFill="1" applyBorder="1" applyAlignment="1">
      <alignment horizontal="center"/>
    </xf>
    <xf numFmtId="0" fontId="177" fillId="45" borderId="72" xfId="8736" applyFont="1" applyFill="1" applyBorder="1" applyAlignment="1">
      <alignment horizontal="right"/>
    </xf>
    <xf numFmtId="0" fontId="177" fillId="45" borderId="11" xfId="8736" applyFont="1" applyFill="1" applyBorder="1" applyAlignment="1">
      <alignment horizontal="right"/>
    </xf>
    <xf numFmtId="168" fontId="177" fillId="48" borderId="11" xfId="700" applyNumberFormat="1" applyFont="1" applyFill="1" applyBorder="1" applyAlignment="1" applyProtection="1">
      <alignment horizontal="left"/>
      <protection locked="0"/>
    </xf>
    <xf numFmtId="168" fontId="175" fillId="44" borderId="11" xfId="700" applyNumberFormat="1" applyFont="1" applyFill="1" applyBorder="1" applyAlignment="1" applyProtection="1">
      <alignment horizontal="left"/>
      <protection locked="0"/>
    </xf>
    <xf numFmtId="0" fontId="106" fillId="45" borderId="71" xfId="8736" applyFont="1" applyFill="1" applyBorder="1" applyAlignment="1">
      <alignment horizontal="center"/>
    </xf>
    <xf numFmtId="0" fontId="169" fillId="45" borderId="67" xfId="8736" applyFont="1" applyFill="1" applyBorder="1" applyAlignment="1">
      <alignment horizontal="left"/>
    </xf>
    <xf numFmtId="0" fontId="169" fillId="45" borderId="68" xfId="8736" applyFont="1" applyFill="1" applyBorder="1" applyAlignment="1">
      <alignment horizontal="left"/>
    </xf>
    <xf numFmtId="0" fontId="169" fillId="45" borderId="71" xfId="8736" applyFont="1" applyFill="1" applyBorder="1" applyAlignment="1">
      <alignment horizontal="left"/>
    </xf>
    <xf numFmtId="0" fontId="106" fillId="45" borderId="72" xfId="8736" applyFont="1" applyFill="1" applyBorder="1" applyAlignment="1">
      <alignment horizontal="center"/>
    </xf>
    <xf numFmtId="0" fontId="106" fillId="45" borderId="11" xfId="8736" applyFont="1" applyFill="1" applyBorder="1" applyAlignment="1">
      <alignment horizontal="center"/>
    </xf>
    <xf numFmtId="0" fontId="106" fillId="45" borderId="76" xfId="8736" applyFont="1" applyFill="1" applyBorder="1" applyAlignment="1">
      <alignment horizontal="center"/>
    </xf>
    <xf numFmtId="0" fontId="175" fillId="48" borderId="72" xfId="8736" applyFont="1" applyFill="1" applyBorder="1" applyAlignment="1" applyProtection="1">
      <alignment horizontal="left" vertical="top"/>
      <protection locked="0"/>
    </xf>
    <xf numFmtId="0" fontId="175" fillId="48" borderId="11" xfId="8736" applyFont="1" applyFill="1" applyBorder="1" applyAlignment="1" applyProtection="1">
      <alignment horizontal="left" vertical="top"/>
      <protection locked="0"/>
    </xf>
    <xf numFmtId="0" fontId="175" fillId="48" borderId="76" xfId="8736" applyFont="1" applyFill="1" applyBorder="1" applyAlignment="1" applyProtection="1">
      <alignment horizontal="left" vertical="top"/>
      <protection locked="0"/>
    </xf>
    <xf numFmtId="0" fontId="175" fillId="48" borderId="69" xfId="8736" applyFont="1" applyFill="1" applyBorder="1" applyAlignment="1" applyProtection="1">
      <alignment horizontal="left" vertical="top"/>
      <protection locked="0"/>
    </xf>
    <xf numFmtId="0" fontId="175" fillId="48" borderId="70" xfId="8736" applyFont="1" applyFill="1" applyBorder="1" applyAlignment="1" applyProtection="1">
      <alignment horizontal="left" vertical="top"/>
      <protection locked="0"/>
    </xf>
    <xf numFmtId="0" fontId="175" fillId="48" borderId="77" xfId="8736" applyFont="1" applyFill="1" applyBorder="1" applyAlignment="1" applyProtection="1">
      <alignment horizontal="left" vertical="top"/>
      <protection locked="0"/>
    </xf>
    <xf numFmtId="14" fontId="175" fillId="48" borderId="11" xfId="8736" applyNumberFormat="1" applyFont="1" applyFill="1" applyBorder="1" applyAlignment="1" applyProtection="1">
      <alignment horizontal="center"/>
      <protection locked="0"/>
    </xf>
    <xf numFmtId="14" fontId="175" fillId="48" borderId="76" xfId="8736" applyNumberFormat="1" applyFont="1" applyFill="1" applyBorder="1" applyAlignment="1" applyProtection="1">
      <alignment horizontal="center"/>
      <protection locked="0"/>
    </xf>
    <xf numFmtId="0" fontId="175" fillId="48" borderId="69" xfId="8736" applyFont="1" applyFill="1" applyBorder="1" applyAlignment="1" applyProtection="1">
      <alignment horizontal="center"/>
      <protection locked="0"/>
    </xf>
    <xf numFmtId="0" fontId="175" fillId="48" borderId="70" xfId="8736" applyFont="1" applyFill="1" applyBorder="1" applyAlignment="1" applyProtection="1">
      <alignment horizontal="center"/>
      <protection locked="0"/>
    </xf>
    <xf numFmtId="14" fontId="175" fillId="48" borderId="70" xfId="8736" applyNumberFormat="1" applyFont="1" applyFill="1" applyBorder="1" applyAlignment="1" applyProtection="1">
      <alignment horizontal="center"/>
      <protection locked="0"/>
    </xf>
    <xf numFmtId="14" fontId="175" fillId="48" borderId="77" xfId="8736" applyNumberFormat="1" applyFont="1" applyFill="1" applyBorder="1" applyAlignment="1" applyProtection="1">
      <alignment horizontal="center"/>
      <protection locked="0"/>
    </xf>
    <xf numFmtId="0" fontId="174" fillId="45" borderId="72" xfId="8736" applyFont="1" applyFill="1" applyBorder="1" applyAlignment="1">
      <alignment horizontal="center"/>
    </xf>
    <xf numFmtId="0" fontId="174" fillId="45" borderId="11" xfId="8736" applyFont="1" applyFill="1" applyBorder="1" applyAlignment="1">
      <alignment horizontal="center"/>
    </xf>
    <xf numFmtId="0" fontId="178" fillId="48" borderId="11" xfId="8736" applyFont="1" applyFill="1" applyBorder="1" applyAlignment="1" applyProtection="1">
      <alignment horizontal="left"/>
      <protection locked="0"/>
    </xf>
    <xf numFmtId="14" fontId="177" fillId="48" borderId="11" xfId="8736" applyNumberFormat="1" applyFont="1" applyFill="1" applyBorder="1" applyAlignment="1" applyProtection="1">
      <alignment horizontal="center"/>
      <protection locked="0"/>
    </xf>
    <xf numFmtId="168" fontId="177" fillId="48" borderId="11" xfId="8737" applyNumberFormat="1" applyFont="1" applyFill="1" applyBorder="1" applyAlignment="1" applyProtection="1">
      <alignment horizontal="center"/>
      <protection locked="0"/>
    </xf>
    <xf numFmtId="168" fontId="177" fillId="48" borderId="76" xfId="8737" applyNumberFormat="1" applyFont="1" applyFill="1" applyBorder="1" applyAlignment="1" applyProtection="1">
      <alignment horizontal="center"/>
      <protection locked="0"/>
    </xf>
    <xf numFmtId="0" fontId="174" fillId="45" borderId="69" xfId="8736" applyFont="1" applyFill="1" applyBorder="1" applyAlignment="1">
      <alignment horizontal="center"/>
    </xf>
    <xf numFmtId="0" fontId="174" fillId="45" borderId="70" xfId="8736" applyFont="1" applyFill="1" applyBorder="1" applyAlignment="1">
      <alignment horizontal="center"/>
    </xf>
    <xf numFmtId="0" fontId="178" fillId="48" borderId="70" xfId="8736" applyFont="1" applyFill="1" applyBorder="1" applyAlignment="1" applyProtection="1">
      <alignment horizontal="left"/>
      <protection locked="0"/>
    </xf>
    <xf numFmtId="0" fontId="177" fillId="48" borderId="70" xfId="8736" applyFont="1" applyFill="1" applyBorder="1" applyAlignment="1" applyProtection="1">
      <alignment horizontal="center"/>
      <protection locked="0"/>
    </xf>
    <xf numFmtId="14" fontId="177" fillId="48" borderId="70" xfId="8736" applyNumberFormat="1" applyFont="1" applyFill="1" applyBorder="1" applyAlignment="1" applyProtection="1">
      <alignment horizontal="center"/>
      <protection locked="0"/>
    </xf>
    <xf numFmtId="168" fontId="177" fillId="48" borderId="70" xfId="8737" applyNumberFormat="1" applyFont="1" applyFill="1" applyBorder="1" applyAlignment="1" applyProtection="1">
      <alignment horizontal="center"/>
      <protection locked="0"/>
    </xf>
    <xf numFmtId="168" fontId="177" fillId="48" borderId="77" xfId="8737" applyNumberFormat="1" applyFont="1" applyFill="1" applyBorder="1" applyAlignment="1" applyProtection="1">
      <alignment horizontal="center"/>
      <protection locked="0"/>
    </xf>
    <xf numFmtId="0" fontId="179" fillId="45" borderId="69" xfId="8736" applyFont="1" applyFill="1" applyBorder="1" applyAlignment="1">
      <alignment horizontal="left"/>
    </xf>
    <xf numFmtId="0" fontId="179" fillId="45" borderId="70" xfId="8736" applyFont="1" applyFill="1" applyBorder="1" applyAlignment="1">
      <alignment horizontal="left"/>
    </xf>
    <xf numFmtId="0" fontId="5" fillId="48" borderId="70" xfId="8736" applyFill="1" applyBorder="1" applyAlignment="1" applyProtection="1">
      <alignment horizontal="center"/>
      <protection locked="0"/>
    </xf>
    <xf numFmtId="0" fontId="5" fillId="48" borderId="77" xfId="8736" applyFill="1" applyBorder="1" applyAlignment="1" applyProtection="1">
      <alignment horizontal="center"/>
      <protection locked="0"/>
    </xf>
    <xf numFmtId="0" fontId="169" fillId="45" borderId="67" xfId="8736" applyFont="1" applyFill="1" applyBorder="1" applyAlignment="1">
      <alignment horizontal="center"/>
    </xf>
    <xf numFmtId="0" fontId="168" fillId="45" borderId="11" xfId="8736" applyFont="1" applyFill="1" applyBorder="1" applyAlignment="1">
      <alignment horizontal="center"/>
    </xf>
    <xf numFmtId="0" fontId="179" fillId="45" borderId="72" xfId="8736" applyFont="1" applyFill="1" applyBorder="1" applyAlignment="1">
      <alignment horizontal="left"/>
    </xf>
    <xf numFmtId="0" fontId="179" fillId="45" borderId="11" xfId="8736" applyFont="1" applyFill="1" applyBorder="1" applyAlignment="1">
      <alignment horizontal="left"/>
    </xf>
    <xf numFmtId="0" fontId="5" fillId="48" borderId="11" xfId="8736" applyFill="1" applyBorder="1" applyAlignment="1" applyProtection="1">
      <alignment horizontal="center"/>
      <protection locked="0"/>
    </xf>
    <xf numFmtId="0" fontId="5" fillId="48" borderId="76" xfId="8736" applyFill="1" applyBorder="1" applyAlignment="1" applyProtection="1">
      <alignment horizontal="center"/>
      <protection locked="0"/>
    </xf>
    <xf numFmtId="0" fontId="168" fillId="45" borderId="11" xfId="8736" applyFont="1" applyFill="1" applyBorder="1" applyAlignment="1">
      <alignment horizontal="center" wrapText="1"/>
    </xf>
    <xf numFmtId="0" fontId="168" fillId="45" borderId="76" xfId="8736" applyFont="1" applyFill="1" applyBorder="1" applyAlignment="1">
      <alignment horizontal="center" wrapText="1"/>
    </xf>
    <xf numFmtId="0" fontId="168" fillId="48" borderId="90" xfId="8736" applyFont="1" applyFill="1" applyBorder="1" applyAlignment="1">
      <alignment horizontal="left"/>
    </xf>
    <xf numFmtId="0" fontId="168" fillId="48" borderId="4" xfId="8736" applyFont="1" applyFill="1" applyBorder="1" applyAlignment="1">
      <alignment horizontal="left"/>
    </xf>
    <xf numFmtId="0" fontId="168" fillId="48" borderId="5" xfId="8736"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8" fillId="45" borderId="72" xfId="8736" applyFont="1" applyFill="1" applyBorder="1" applyAlignment="1">
      <alignment horizontal="left"/>
    </xf>
    <xf numFmtId="0" fontId="168" fillId="45" borderId="11" xfId="8736" applyFont="1" applyFill="1" applyBorder="1" applyAlignment="1">
      <alignment horizontal="left"/>
    </xf>
    <xf numFmtId="0" fontId="180" fillId="48" borderId="11" xfId="8736" applyFont="1" applyFill="1" applyBorder="1" applyAlignment="1" applyProtection="1">
      <alignment horizontal="left"/>
      <protection locked="0"/>
    </xf>
    <xf numFmtId="0" fontId="180" fillId="48" borderId="76" xfId="8736" applyFont="1" applyFill="1" applyBorder="1" applyAlignment="1" applyProtection="1">
      <alignment horizontal="left"/>
      <protection locked="0"/>
    </xf>
    <xf numFmtId="0" fontId="177" fillId="48" borderId="72" xfId="8736" applyFont="1" applyFill="1" applyBorder="1" applyAlignment="1" applyProtection="1">
      <alignment horizontal="left" vertical="top"/>
      <protection locked="0"/>
    </xf>
    <xf numFmtId="0" fontId="177" fillId="48" borderId="11" xfId="8736" applyFont="1" applyFill="1" applyBorder="1" applyAlignment="1" applyProtection="1">
      <alignment horizontal="left" vertical="top"/>
      <protection locked="0"/>
    </xf>
    <xf numFmtId="0" fontId="177" fillId="48" borderId="76" xfId="8736" applyFont="1" applyFill="1" applyBorder="1" applyAlignment="1" applyProtection="1">
      <alignment horizontal="left" vertical="top"/>
      <protection locked="0"/>
    </xf>
    <xf numFmtId="0" fontId="177" fillId="48" borderId="69" xfId="8736" applyFont="1" applyFill="1" applyBorder="1" applyAlignment="1" applyProtection="1">
      <alignment horizontal="left" vertical="top"/>
      <protection locked="0"/>
    </xf>
    <xf numFmtId="0" fontId="177" fillId="48" borderId="70" xfId="8736" applyFont="1" applyFill="1" applyBorder="1" applyAlignment="1" applyProtection="1">
      <alignment horizontal="left" vertical="top"/>
      <protection locked="0"/>
    </xf>
    <xf numFmtId="0" fontId="177" fillId="48" borderId="77" xfId="8736" applyFont="1" applyFill="1" applyBorder="1" applyAlignment="1" applyProtection="1">
      <alignment horizontal="left" vertical="top"/>
      <protection locked="0"/>
    </xf>
    <xf numFmtId="0" fontId="168" fillId="45" borderId="67" xfId="8736" applyFont="1" applyFill="1" applyBorder="1" applyAlignment="1">
      <alignment horizontal="left"/>
    </xf>
    <xf numFmtId="0" fontId="168" fillId="45" borderId="68" xfId="8736" applyFont="1" applyFill="1" applyBorder="1" applyAlignment="1">
      <alignment horizontal="left"/>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81" xfId="8736" applyFont="1" applyFill="1" applyBorder="1" applyAlignment="1" applyProtection="1">
      <alignment horizontal="center"/>
      <protection locked="0"/>
    </xf>
    <xf numFmtId="0" fontId="176" fillId="45" borderId="11" xfId="8736" applyFont="1" applyFill="1" applyBorder="1" applyAlignment="1">
      <alignment horizontal="center"/>
    </xf>
    <xf numFmtId="0" fontId="182" fillId="45" borderId="11" xfId="8736" applyFont="1" applyFill="1" applyBorder="1" applyAlignment="1">
      <alignment horizontal="left"/>
    </xf>
    <xf numFmtId="0" fontId="182" fillId="45" borderId="76" xfId="8736" applyFont="1" applyFill="1" applyBorder="1" applyAlignment="1">
      <alignment horizontal="left"/>
    </xf>
    <xf numFmtId="0" fontId="169" fillId="45" borderId="93" xfId="8736" applyFont="1" applyFill="1" applyBorder="1" applyAlignment="1">
      <alignment horizontal="center"/>
    </xf>
    <xf numFmtId="0" fontId="169" fillId="45" borderId="92" xfId="8736" applyFont="1" applyFill="1" applyBorder="1" applyAlignment="1">
      <alignment horizontal="center"/>
    </xf>
    <xf numFmtId="0" fontId="169" fillId="45" borderId="91" xfId="8736" applyFont="1" applyFill="1" applyBorder="1" applyAlignment="1">
      <alignment horizontal="center"/>
    </xf>
    <xf numFmtId="0" fontId="176" fillId="45" borderId="72" xfId="8736" applyFont="1" applyFill="1" applyBorder="1" applyAlignment="1">
      <alignment horizontal="center"/>
    </xf>
    <xf numFmtId="0" fontId="106" fillId="45" borderId="67" xfId="8736" applyFont="1" applyFill="1" applyBorder="1" applyAlignment="1" applyProtection="1">
      <alignment horizontal="left" vertical="center" wrapText="1"/>
      <protection locked="0"/>
    </xf>
    <xf numFmtId="0" fontId="106" fillId="45" borderId="68" xfId="8736" applyFont="1" applyFill="1" applyBorder="1" applyAlignment="1" applyProtection="1">
      <alignment horizontal="left" vertical="center" wrapText="1"/>
      <protection locked="0"/>
    </xf>
    <xf numFmtId="0" fontId="106" fillId="45" borderId="72" xfId="8736" applyFont="1" applyFill="1" applyBorder="1" applyAlignment="1" applyProtection="1">
      <alignment horizontal="left" vertical="center" wrapText="1"/>
      <protection locked="0"/>
    </xf>
    <xf numFmtId="0" fontId="106" fillId="45" borderId="11" xfId="8736" applyFont="1" applyFill="1" applyBorder="1" applyAlignment="1" applyProtection="1">
      <alignment horizontal="left" vertical="center" wrapText="1"/>
      <protection locked="0"/>
    </xf>
    <xf numFmtId="0" fontId="172" fillId="48" borderId="68" xfId="8736" applyFont="1" applyFill="1" applyBorder="1" applyAlignment="1" applyProtection="1">
      <alignment horizontal="left" vertical="center" wrapText="1"/>
      <protection locked="0"/>
    </xf>
    <xf numFmtId="0" fontId="172" fillId="48" borderId="71" xfId="8736" applyFont="1" applyFill="1" applyBorder="1" applyAlignment="1" applyProtection="1">
      <alignment horizontal="left" vertical="center" wrapText="1"/>
      <protection locked="0"/>
    </xf>
    <xf numFmtId="0" fontId="172" fillId="48" borderId="11" xfId="8736" applyFont="1" applyFill="1" applyBorder="1" applyAlignment="1" applyProtection="1">
      <alignment horizontal="left" vertical="center" wrapText="1"/>
      <protection locked="0"/>
    </xf>
    <xf numFmtId="0" fontId="172" fillId="48" borderId="76" xfId="8736" applyFont="1" applyFill="1" applyBorder="1" applyAlignment="1" applyProtection="1">
      <alignment horizontal="left" vertical="center" wrapText="1"/>
      <protection locked="0"/>
    </xf>
    <xf numFmtId="0" fontId="175" fillId="48" borderId="72" xfId="8736" applyFont="1" applyFill="1" applyBorder="1" applyAlignment="1" applyProtection="1">
      <alignment horizontal="left" vertical="top" wrapText="1"/>
      <protection locked="0"/>
    </xf>
    <xf numFmtId="0" fontId="175" fillId="48" borderId="11" xfId="8736" applyFont="1" applyFill="1" applyBorder="1" applyAlignment="1" applyProtection="1">
      <alignment horizontal="left" vertical="top" wrapText="1"/>
      <protection locked="0"/>
    </xf>
    <xf numFmtId="0" fontId="175" fillId="48" borderId="69" xfId="8736" applyFont="1" applyFill="1" applyBorder="1" applyAlignment="1" applyProtection="1">
      <alignment horizontal="left" vertical="top" wrapText="1"/>
      <protection locked="0"/>
    </xf>
    <xf numFmtId="0" fontId="175" fillId="48" borderId="70"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center" vertical="center" wrapText="1"/>
      <protection locked="0"/>
    </xf>
    <xf numFmtId="0" fontId="172" fillId="48" borderId="76" xfId="8736" applyFont="1" applyFill="1" applyBorder="1" applyAlignment="1" applyProtection="1">
      <alignment horizontal="center" vertical="center" wrapText="1"/>
      <protection locked="0"/>
    </xf>
    <xf numFmtId="0" fontId="172" fillId="48" borderId="70" xfId="8736" applyFont="1" applyFill="1" applyBorder="1" applyAlignment="1" applyProtection="1">
      <alignment horizontal="center" vertical="center" wrapText="1"/>
      <protection locked="0"/>
    </xf>
    <xf numFmtId="0" fontId="172" fillId="48" borderId="77" xfId="8736" applyFont="1" applyFill="1" applyBorder="1" applyAlignment="1" applyProtection="1">
      <alignment horizontal="center" vertical="center" wrapText="1"/>
      <protection locked="0"/>
    </xf>
    <xf numFmtId="0" fontId="5" fillId="51" borderId="70" xfId="8736" applyFill="1" applyBorder="1" applyAlignment="1" applyProtection="1">
      <alignment horizontal="center"/>
      <protection locked="0"/>
    </xf>
    <xf numFmtId="0" fontId="5" fillId="51" borderId="77" xfId="8736" applyFill="1" applyBorder="1" applyAlignment="1" applyProtection="1">
      <alignment horizontal="center"/>
      <protection locked="0"/>
    </xf>
    <xf numFmtId="0" fontId="106" fillId="45" borderId="67" xfId="8736" applyFont="1" applyFill="1" applyBorder="1" applyAlignment="1">
      <alignment horizontal="left" wrapText="1"/>
    </xf>
    <xf numFmtId="0" fontId="106" fillId="45" borderId="68" xfId="8736" applyFont="1" applyFill="1" applyBorder="1" applyAlignment="1">
      <alignment horizontal="left" wrapText="1"/>
    </xf>
    <xf numFmtId="0" fontId="106" fillId="45" borderId="71" xfId="8736" applyFont="1" applyFill="1" applyBorder="1" applyAlignment="1">
      <alignment horizontal="left" wrapText="1"/>
    </xf>
    <xf numFmtId="0" fontId="106" fillId="45" borderId="72" xfId="8736" applyFont="1" applyFill="1" applyBorder="1" applyAlignment="1">
      <alignment horizontal="left" wrapText="1"/>
    </xf>
    <xf numFmtId="0" fontId="106" fillId="45" borderId="11" xfId="8736" applyFont="1" applyFill="1" applyBorder="1" applyAlignment="1">
      <alignment horizontal="left" wrapText="1"/>
    </xf>
    <xf numFmtId="0" fontId="106" fillId="45" borderId="76" xfId="8736" applyFont="1" applyFill="1" applyBorder="1" applyAlignment="1">
      <alignment horizontal="left" wrapText="1"/>
    </xf>
    <xf numFmtId="0" fontId="106" fillId="45" borderId="65" xfId="8736" applyFont="1" applyFill="1" applyBorder="1" applyAlignment="1">
      <alignment horizontal="center"/>
    </xf>
    <xf numFmtId="0" fontId="106" fillId="45" borderId="29" xfId="8736" applyFont="1" applyFill="1" applyBorder="1" applyAlignment="1">
      <alignment horizontal="center"/>
    </xf>
    <xf numFmtId="0" fontId="106" fillId="45" borderId="31" xfId="8736" applyFont="1" applyFill="1" applyBorder="1" applyAlignment="1">
      <alignment horizontal="center"/>
    </xf>
    <xf numFmtId="0" fontId="176" fillId="45" borderId="69" xfId="8736" applyFont="1" applyFill="1" applyBorder="1" applyAlignment="1">
      <alignment horizontal="center"/>
    </xf>
    <xf numFmtId="0" fontId="176" fillId="45" borderId="70" xfId="8736" applyFont="1" applyFill="1" applyBorder="1" applyAlignment="1">
      <alignment horizontal="center"/>
    </xf>
    <xf numFmtId="0" fontId="176" fillId="45" borderId="11" xfId="8736" applyFont="1" applyFill="1" applyBorder="1" applyAlignment="1">
      <alignment horizontal="center" wrapText="1"/>
    </xf>
    <xf numFmtId="0" fontId="168" fillId="45" borderId="76" xfId="8736" applyFont="1" applyFill="1" applyBorder="1" applyAlignment="1">
      <alignment horizontal="center"/>
    </xf>
    <xf numFmtId="0" fontId="5" fillId="48" borderId="9" xfId="8736" applyFill="1" applyBorder="1" applyAlignment="1" applyProtection="1">
      <alignment horizontal="center"/>
      <protection locked="0"/>
    </xf>
    <xf numFmtId="0" fontId="5" fillId="48" borderId="6" xfId="8736" applyFill="1" applyBorder="1" applyAlignment="1" applyProtection="1">
      <alignment horizontal="center"/>
      <protection locked="0"/>
    </xf>
    <xf numFmtId="0" fontId="5" fillId="48" borderId="82" xfId="8736" applyFill="1" applyBorder="1" applyAlignment="1" applyProtection="1">
      <alignment horizontal="center"/>
      <protection locked="0"/>
    </xf>
    <xf numFmtId="0" fontId="106" fillId="45" borderId="67" xfId="8736" applyFont="1" applyFill="1" applyBorder="1" applyAlignment="1">
      <alignment horizontal="center" wrapText="1"/>
    </xf>
    <xf numFmtId="0" fontId="106" fillId="45" borderId="68" xfId="8736" applyFont="1" applyFill="1" applyBorder="1" applyAlignment="1">
      <alignment horizontal="center" wrapText="1"/>
    </xf>
    <xf numFmtId="0" fontId="106" fillId="45" borderId="71" xfId="8736" applyFont="1" applyFill="1" applyBorder="1" applyAlignment="1">
      <alignment horizontal="center" wrapText="1"/>
    </xf>
    <xf numFmtId="0" fontId="172" fillId="48" borderId="68" xfId="8736" applyFont="1" applyFill="1" applyBorder="1" applyAlignment="1" applyProtection="1">
      <alignment horizontal="left" wrapText="1"/>
      <protection locked="0"/>
    </xf>
    <xf numFmtId="0" fontId="172" fillId="48" borderId="71" xfId="8736" applyFont="1" applyFill="1" applyBorder="1" applyAlignment="1" applyProtection="1">
      <alignment horizontal="left" wrapText="1"/>
      <protection locked="0"/>
    </xf>
    <xf numFmtId="0" fontId="172" fillId="48" borderId="11" xfId="8736" applyFont="1" applyFill="1" applyBorder="1" applyAlignment="1" applyProtection="1">
      <alignment horizontal="left" wrapText="1"/>
      <protection locked="0"/>
    </xf>
    <xf numFmtId="0" fontId="172" fillId="48" borderId="76" xfId="8736" applyFont="1" applyFill="1" applyBorder="1" applyAlignment="1" applyProtection="1">
      <alignment horizontal="left" wrapText="1"/>
      <protection locked="0"/>
    </xf>
    <xf numFmtId="0" fontId="177" fillId="48" borderId="72" xfId="8736" applyFont="1" applyFill="1" applyBorder="1" applyAlignment="1" applyProtection="1">
      <alignment horizontal="right"/>
      <protection locked="0"/>
    </xf>
    <xf numFmtId="0" fontId="177" fillId="48" borderId="11" xfId="8736" applyFont="1" applyFill="1" applyBorder="1" applyAlignment="1" applyProtection="1">
      <alignment horizontal="right"/>
      <protection locked="0"/>
    </xf>
    <xf numFmtId="168" fontId="177" fillId="48" borderId="76" xfId="700" applyNumberFormat="1" applyFont="1" applyFill="1" applyBorder="1" applyAlignment="1" applyProtection="1">
      <alignment horizontal="left"/>
      <protection locked="0"/>
    </xf>
    <xf numFmtId="0" fontId="169" fillId="45" borderId="98" xfId="8736" applyFont="1" applyFill="1" applyBorder="1" applyAlignment="1">
      <alignment horizontal="center"/>
    </xf>
    <xf numFmtId="0" fontId="169" fillId="45" borderId="13" xfId="8736" applyFont="1" applyFill="1" applyBorder="1" applyAlignment="1">
      <alignment horizontal="center"/>
    </xf>
    <xf numFmtId="0" fontId="175" fillId="48" borderId="72" xfId="8736" applyFont="1" applyFill="1" applyBorder="1" applyAlignment="1" applyProtection="1">
      <alignment horizontal="right"/>
      <protection locked="0"/>
    </xf>
    <xf numFmtId="0" fontId="175" fillId="48" borderId="11" xfId="8736" applyFont="1" applyFill="1" applyBorder="1" applyAlignment="1" applyProtection="1">
      <alignment horizontal="right"/>
      <protection locked="0"/>
    </xf>
    <xf numFmtId="0" fontId="169" fillId="45" borderId="89" xfId="8736" applyFont="1" applyFill="1" applyBorder="1" applyAlignment="1">
      <alignment horizontal="right"/>
    </xf>
    <xf numFmtId="0" fontId="169" fillId="45" borderId="43" xfId="8736" applyFont="1" applyFill="1" applyBorder="1" applyAlignment="1">
      <alignment horizontal="right"/>
    </xf>
    <xf numFmtId="168" fontId="169" fillId="45" borderId="43" xfId="8736" applyNumberFormat="1" applyFont="1" applyFill="1" applyBorder="1" applyAlignment="1">
      <alignment horizontal="left"/>
    </xf>
    <xf numFmtId="168" fontId="169" fillId="45" borderId="88" xfId="8736" applyNumberFormat="1" applyFont="1" applyFill="1" applyBorder="1" applyAlignment="1">
      <alignment horizontal="left"/>
    </xf>
    <xf numFmtId="0" fontId="175" fillId="48" borderId="68" xfId="8736" applyFont="1" applyFill="1" applyBorder="1" applyAlignment="1" applyProtection="1">
      <alignment horizontal="left"/>
      <protection locked="0"/>
    </xf>
    <xf numFmtId="0" fontId="175" fillId="48" borderId="71" xfId="8736" applyFont="1" applyFill="1" applyBorder="1" applyAlignment="1" applyProtection="1">
      <alignment horizontal="left"/>
      <protection locked="0"/>
    </xf>
    <xf numFmtId="0" fontId="169" fillId="45" borderId="69" xfId="8736" applyFont="1" applyFill="1" applyBorder="1" applyAlignment="1">
      <alignment horizontal="center"/>
    </xf>
    <xf numFmtId="0" fontId="169"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5" fillId="48" borderId="77" xfId="8736" applyFont="1" applyFill="1" applyBorder="1" applyAlignment="1" applyProtection="1">
      <alignment horizontal="left"/>
      <protection locked="0"/>
    </xf>
    <xf numFmtId="0" fontId="172" fillId="48" borderId="74" xfId="8736" applyFont="1" applyFill="1" applyBorder="1" applyAlignment="1" applyProtection="1">
      <alignment horizontal="left"/>
      <protection locked="0"/>
    </xf>
    <xf numFmtId="0" fontId="169" fillId="45" borderId="72" xfId="8736" applyFont="1" applyFill="1" applyBorder="1" applyAlignment="1">
      <alignment horizontal="center"/>
    </xf>
    <xf numFmtId="0" fontId="169" fillId="45" borderId="11" xfId="8736" applyFont="1" applyFill="1" applyBorder="1" applyAlignment="1">
      <alignment horizontal="center"/>
    </xf>
    <xf numFmtId="0" fontId="169" fillId="45" borderId="3" xfId="8736" applyFont="1" applyFill="1" applyBorder="1" applyAlignment="1">
      <alignment horizontal="center"/>
    </xf>
    <xf numFmtId="0" fontId="169" fillId="45" borderId="4" xfId="8736" applyFont="1" applyFill="1" applyBorder="1" applyAlignment="1">
      <alignment horizontal="center"/>
    </xf>
    <xf numFmtId="0" fontId="169" fillId="45" borderId="81" xfId="8736" applyFont="1" applyFill="1" applyBorder="1" applyAlignment="1">
      <alignment horizontal="center"/>
    </xf>
    <xf numFmtId="0" fontId="106" fillId="45" borderId="69" xfId="8736" applyFont="1" applyFill="1" applyBorder="1" applyAlignment="1">
      <alignment horizontal="center"/>
    </xf>
    <xf numFmtId="0" fontId="106" fillId="45" borderId="70" xfId="8736" applyFont="1" applyFill="1" applyBorder="1" applyAlignment="1">
      <alignment horizontal="center"/>
    </xf>
    <xf numFmtId="0" fontId="175" fillId="44" borderId="72" xfId="8736" applyFont="1" applyFill="1" applyBorder="1" applyAlignment="1" applyProtection="1">
      <alignment horizontal="right"/>
      <protection locked="0"/>
    </xf>
    <xf numFmtId="0" fontId="175" fillId="44" borderId="11" xfId="8736" applyFont="1" applyFill="1" applyBorder="1" applyAlignment="1" applyProtection="1">
      <alignment horizontal="right"/>
      <protection locked="0"/>
    </xf>
    <xf numFmtId="0" fontId="175" fillId="44" borderId="76" xfId="8736" applyFont="1" applyFill="1" applyBorder="1" applyAlignment="1" applyProtection="1">
      <alignment horizontal="right"/>
      <protection locked="0"/>
    </xf>
    <xf numFmtId="0" fontId="175" fillId="48" borderId="5" xfId="8736" applyFont="1" applyFill="1" applyBorder="1" applyAlignment="1" applyProtection="1">
      <alignment horizontal="left"/>
      <protection locked="0"/>
    </xf>
    <xf numFmtId="0" fontId="175" fillId="44" borderId="69" xfId="8736" applyFont="1" applyFill="1" applyBorder="1" applyAlignment="1" applyProtection="1">
      <alignment horizontal="right"/>
      <protection locked="0"/>
    </xf>
    <xf numFmtId="0" fontId="175" fillId="44" borderId="70" xfId="8736" applyFont="1" applyFill="1" applyBorder="1" applyAlignment="1" applyProtection="1">
      <alignment horizontal="right"/>
      <protection locked="0"/>
    </xf>
    <xf numFmtId="0" fontId="175" fillId="44" borderId="77" xfId="8736" applyFont="1" applyFill="1" applyBorder="1" applyAlignment="1" applyProtection="1">
      <alignment horizontal="right"/>
      <protection locked="0"/>
    </xf>
    <xf numFmtId="0" fontId="175" fillId="48" borderId="95" xfId="8736" applyFont="1" applyFill="1" applyBorder="1" applyAlignment="1" applyProtection="1">
      <alignment horizontal="left"/>
      <protection locked="0"/>
    </xf>
    <xf numFmtId="0" fontId="169" fillId="45" borderId="65" xfId="8736" applyFont="1" applyFill="1" applyBorder="1" applyAlignment="1">
      <alignment horizontal="center"/>
    </xf>
    <xf numFmtId="0" fontId="169" fillId="45" borderId="29" xfId="8736" applyFont="1" applyFill="1" applyBorder="1" applyAlignment="1">
      <alignment horizontal="center"/>
    </xf>
    <xf numFmtId="0" fontId="169" fillId="45" borderId="31" xfId="8736" applyFont="1" applyFill="1" applyBorder="1" applyAlignment="1">
      <alignment horizontal="center"/>
    </xf>
    <xf numFmtId="168" fontId="175" fillId="48" borderId="11" xfId="8737" applyNumberFormat="1" applyFont="1" applyFill="1" applyBorder="1" applyAlignment="1" applyProtection="1">
      <alignment horizontal="center"/>
      <protection locked="0"/>
    </xf>
    <xf numFmtId="1" fontId="175" fillId="48" borderId="11" xfId="8736" applyNumberFormat="1" applyFont="1" applyFill="1" applyBorder="1" applyAlignment="1" applyProtection="1">
      <alignment horizontal="center"/>
      <protection locked="0"/>
    </xf>
    <xf numFmtId="0" fontId="175" fillId="48" borderId="11" xfId="700" applyNumberFormat="1" applyFont="1" applyFill="1" applyBorder="1" applyAlignment="1" applyProtection="1">
      <alignment horizontal="left"/>
      <protection locked="0"/>
    </xf>
    <xf numFmtId="0" fontId="175" fillId="48" borderId="76" xfId="700" applyNumberFormat="1" applyFont="1" applyFill="1" applyBorder="1" applyAlignment="1" applyProtection="1">
      <alignment horizontal="left"/>
      <protection locked="0"/>
    </xf>
    <xf numFmtId="168" fontId="176" fillId="45" borderId="70" xfId="8737" applyNumberFormat="1" applyFont="1" applyFill="1" applyBorder="1" applyAlignment="1">
      <alignment horizontal="center"/>
    </xf>
    <xf numFmtId="1" fontId="176" fillId="45" borderId="70" xfId="8737" applyNumberFormat="1" applyFont="1" applyFill="1" applyBorder="1" applyAlignment="1">
      <alignment horizontal="center"/>
    </xf>
    <xf numFmtId="0" fontId="176" fillId="45" borderId="70" xfId="8737" applyNumberFormat="1" applyFont="1" applyFill="1" applyBorder="1" applyAlignment="1">
      <alignment horizontal="center"/>
    </xf>
    <xf numFmtId="0" fontId="176" fillId="45" borderId="77" xfId="8737" applyNumberFormat="1" applyFont="1" applyFill="1" applyBorder="1" applyAlignment="1">
      <alignment horizontal="center"/>
    </xf>
    <xf numFmtId="0" fontId="168" fillId="45" borderId="11" xfId="8736" applyFont="1" applyFill="1" applyBorder="1" applyAlignment="1">
      <alignment horizontal="center" vertical="center" wrapText="1"/>
    </xf>
    <xf numFmtId="0" fontId="168" fillId="45" borderId="76" xfId="8736" applyFont="1" applyFill="1" applyBorder="1" applyAlignment="1">
      <alignment horizontal="center" vertical="center" wrapText="1"/>
    </xf>
    <xf numFmtId="1" fontId="180" fillId="48" borderId="70" xfId="8736" applyNumberFormat="1" applyFont="1" applyFill="1" applyBorder="1" applyAlignment="1" applyProtection="1">
      <alignment horizontal="center"/>
      <protection locked="0"/>
    </xf>
    <xf numFmtId="1" fontId="180" fillId="48" borderId="94" xfId="8736" applyNumberFormat="1" applyFont="1" applyFill="1" applyBorder="1" applyAlignment="1" applyProtection="1">
      <alignment horizontal="center"/>
      <protection locked="0"/>
    </xf>
    <xf numFmtId="1" fontId="180" fillId="48" borderId="86" xfId="8736" applyNumberFormat="1" applyFont="1" applyFill="1" applyBorder="1" applyAlignment="1" applyProtection="1">
      <alignment horizontal="center"/>
      <protection locked="0"/>
    </xf>
    <xf numFmtId="1" fontId="180" fillId="48" borderId="95" xfId="8736" applyNumberFormat="1" applyFont="1" applyFill="1" applyBorder="1" applyAlignment="1" applyProtection="1">
      <alignment horizontal="center"/>
      <protection locked="0"/>
    </xf>
    <xf numFmtId="1" fontId="180" fillId="48" borderId="3" xfId="8736" applyNumberFormat="1" applyFont="1" applyFill="1" applyBorder="1" applyAlignment="1" applyProtection="1">
      <alignment horizontal="center"/>
      <protection locked="0"/>
    </xf>
    <xf numFmtId="1" fontId="180" fillId="48" borderId="4" xfId="8736" applyNumberFormat="1" applyFont="1" applyFill="1" applyBorder="1" applyAlignment="1" applyProtection="1">
      <alignment horizontal="center"/>
      <protection locked="0"/>
    </xf>
    <xf numFmtId="1" fontId="180" fillId="48" borderId="5" xfId="8736" applyNumberFormat="1" applyFont="1" applyFill="1" applyBorder="1" applyAlignment="1" applyProtection="1">
      <alignment horizontal="center"/>
      <protection locked="0"/>
    </xf>
    <xf numFmtId="1" fontId="168" fillId="44" borderId="3" xfId="8736" applyNumberFormat="1" applyFont="1" applyFill="1" applyBorder="1" applyAlignment="1">
      <alignment horizontal="center"/>
    </xf>
    <xf numFmtId="1" fontId="168" fillId="44" borderId="4" xfId="8736" applyNumberFormat="1" applyFont="1" applyFill="1" applyBorder="1" applyAlignment="1">
      <alignment horizontal="center"/>
    </xf>
    <xf numFmtId="1" fontId="168" fillId="44" borderId="5" xfId="8736" applyNumberFormat="1" applyFont="1" applyFill="1" applyBorder="1" applyAlignment="1">
      <alignment horizontal="center"/>
    </xf>
    <xf numFmtId="9" fontId="168" fillId="44" borderId="3" xfId="8738" applyFont="1" applyFill="1" applyBorder="1" applyAlignment="1">
      <alignment horizontal="center"/>
    </xf>
    <xf numFmtId="9" fontId="168" fillId="44" borderId="4" xfId="8738" applyFont="1" applyFill="1" applyBorder="1" applyAlignment="1">
      <alignment horizontal="center"/>
    </xf>
    <xf numFmtId="9" fontId="168" fillId="44" borderId="81" xfId="8738" applyFont="1" applyFill="1" applyBorder="1" applyAlignment="1">
      <alignment horizontal="center"/>
    </xf>
    <xf numFmtId="0" fontId="175" fillId="48" borderId="69" xfId="8736" applyFont="1" applyFill="1" applyBorder="1" applyAlignment="1" applyProtection="1">
      <alignment horizontal="right"/>
      <protection locked="0"/>
    </xf>
    <xf numFmtId="0" fontId="175" fillId="48" borderId="70" xfId="8736" applyFont="1" applyFill="1" applyBorder="1" applyAlignment="1" applyProtection="1">
      <alignment horizontal="right"/>
      <protection locked="0"/>
    </xf>
    <xf numFmtId="0" fontId="180" fillId="48" borderId="70" xfId="8736" applyFont="1" applyFill="1" applyBorder="1" applyAlignment="1" applyProtection="1">
      <alignment horizontal="center"/>
      <protection locked="0"/>
    </xf>
    <xf numFmtId="9" fontId="168" fillId="44" borderId="94" xfId="8738" applyFont="1" applyFill="1" applyBorder="1" applyAlignment="1">
      <alignment horizontal="center"/>
    </xf>
    <xf numFmtId="9" fontId="168" fillId="44" borderId="86" xfId="8738" applyFont="1" applyFill="1" applyBorder="1" applyAlignment="1">
      <alignment horizontal="center"/>
    </xf>
    <xf numFmtId="9" fontId="168" fillId="44" borderId="85" xfId="8738" applyFont="1" applyFill="1" applyBorder="1" applyAlignment="1">
      <alignment horizontal="center"/>
    </xf>
    <xf numFmtId="0" fontId="180" fillId="48" borderId="11" xfId="8736" applyFont="1" applyFill="1" applyBorder="1" applyAlignment="1" applyProtection="1">
      <alignment horizontal="center"/>
      <protection locked="0"/>
    </xf>
    <xf numFmtId="1" fontId="180" fillId="48" borderId="11" xfId="8736" applyNumberFormat="1" applyFont="1" applyFill="1" applyBorder="1" applyAlignment="1" applyProtection="1">
      <alignment horizontal="center"/>
      <protection locked="0"/>
    </xf>
    <xf numFmtId="0" fontId="176" fillId="44" borderId="101" xfId="8736" applyFont="1" applyFill="1" applyBorder="1" applyAlignment="1">
      <alignment horizontal="center"/>
    </xf>
    <xf numFmtId="0" fontId="176" fillId="44" borderId="42" xfId="8736" applyFont="1" applyFill="1" applyBorder="1" applyAlignment="1">
      <alignment horizontal="center"/>
    </xf>
    <xf numFmtId="0" fontId="176" fillId="44" borderId="96" xfId="8736" applyFont="1" applyFill="1" applyBorder="1" applyAlignment="1">
      <alignment horizontal="center"/>
    </xf>
    <xf numFmtId="9" fontId="176" fillId="44" borderId="101" xfId="1022" applyFont="1" applyFill="1" applyBorder="1" applyAlignment="1">
      <alignment horizontal="center"/>
    </xf>
    <xf numFmtId="9" fontId="176" fillId="44" borderId="42" xfId="1022" applyFont="1" applyFill="1" applyBorder="1" applyAlignment="1">
      <alignment horizontal="center"/>
    </xf>
    <xf numFmtId="9" fontId="176" fillId="44" borderId="44" xfId="1022" applyFont="1" applyFill="1" applyBorder="1" applyAlignment="1">
      <alignment horizontal="center"/>
    </xf>
    <xf numFmtId="0" fontId="169" fillId="45" borderId="80" xfId="8736" applyFont="1" applyFill="1" applyBorder="1" applyAlignment="1">
      <alignment horizontal="center"/>
    </xf>
    <xf numFmtId="0" fontId="169" fillId="45" borderId="79" xfId="8736" applyFont="1" applyFill="1" applyBorder="1" applyAlignment="1">
      <alignment horizontal="center"/>
    </xf>
    <xf numFmtId="0" fontId="169" fillId="45" borderId="78" xfId="8736" applyFont="1" applyFill="1" applyBorder="1" applyAlignment="1">
      <alignment horizontal="center"/>
    </xf>
    <xf numFmtId="0" fontId="168" fillId="45" borderId="98" xfId="8736" applyFont="1" applyFill="1" applyBorder="1" applyAlignment="1">
      <alignment horizontal="center" vertical="center" wrapText="1"/>
    </xf>
    <xf numFmtId="0" fontId="168" fillId="45" borderId="13" xfId="8736" applyFont="1" applyFill="1" applyBorder="1" applyAlignment="1">
      <alignment horizontal="center" vertical="center"/>
    </xf>
    <xf numFmtId="0" fontId="168" fillId="45" borderId="72" xfId="8736" applyFont="1" applyFill="1" applyBorder="1" applyAlignment="1">
      <alignment horizontal="center" vertical="center"/>
    </xf>
    <xf numFmtId="0" fontId="168" fillId="45" borderId="11" xfId="8736" applyFont="1" applyFill="1" applyBorder="1" applyAlignment="1">
      <alignment horizontal="center" vertical="center"/>
    </xf>
    <xf numFmtId="0" fontId="176" fillId="45" borderId="13" xfId="8736" applyFont="1" applyFill="1" applyBorder="1" applyAlignment="1">
      <alignment horizontal="center" vertical="center" wrapText="1"/>
    </xf>
    <xf numFmtId="0" fontId="176" fillId="45" borderId="13" xfId="8736" applyFont="1" applyFill="1" applyBorder="1" applyAlignment="1">
      <alignment horizontal="center" vertical="center"/>
    </xf>
    <xf numFmtId="0" fontId="176" fillId="45" borderId="11" xfId="8736" applyFont="1" applyFill="1" applyBorder="1" applyAlignment="1">
      <alignment horizontal="center" vertical="center"/>
    </xf>
    <xf numFmtId="0" fontId="176" fillId="45" borderId="9" xfId="8736" applyFont="1" applyFill="1" applyBorder="1" applyAlignment="1">
      <alignment horizontal="center" vertical="center"/>
    </xf>
    <xf numFmtId="0" fontId="176" fillId="45" borderId="3" xfId="8736" applyFont="1" applyFill="1" applyBorder="1" applyAlignment="1">
      <alignment horizontal="center" vertical="center"/>
    </xf>
    <xf numFmtId="0" fontId="168" fillId="45" borderId="80" xfId="8736" applyFont="1" applyFill="1" applyBorder="1" applyAlignment="1">
      <alignment horizontal="center"/>
    </xf>
    <xf numFmtId="0" fontId="168" fillId="45" borderId="79" xfId="8736" applyFont="1" applyFill="1" applyBorder="1" applyAlignment="1">
      <alignment horizontal="center"/>
    </xf>
    <xf numFmtId="0" fontId="168" fillId="45" borderId="78" xfId="8736" applyFont="1" applyFill="1" applyBorder="1" applyAlignment="1">
      <alignment horizontal="center"/>
    </xf>
    <xf numFmtId="0" fontId="168" fillId="45" borderId="65" xfId="8736" applyFont="1" applyFill="1" applyBorder="1" applyAlignment="1">
      <alignment horizontal="center" vertical="center" wrapText="1"/>
    </xf>
    <xf numFmtId="0" fontId="168" fillId="45" borderId="29" xfId="8736" applyFont="1" applyFill="1" applyBorder="1" applyAlignment="1">
      <alignment horizontal="center" vertical="center" wrapText="1"/>
    </xf>
    <xf numFmtId="0" fontId="168" fillId="45" borderId="31" xfId="8736" applyFont="1" applyFill="1" applyBorder="1" applyAlignment="1">
      <alignment horizontal="center" vertical="center" wrapText="1"/>
    </xf>
    <xf numFmtId="0" fontId="168" fillId="45" borderId="73" xfId="8736" applyFont="1" applyFill="1" applyBorder="1" applyAlignment="1">
      <alignment horizontal="center" vertical="center" wrapText="1"/>
    </xf>
    <xf numFmtId="0" fontId="168" fillId="45" borderId="42" xfId="8736" applyFont="1" applyFill="1" applyBorder="1" applyAlignment="1">
      <alignment horizontal="center" vertical="center" wrapText="1"/>
    </xf>
    <xf numFmtId="0" fontId="168" fillId="45" borderId="44" xfId="8736" applyFont="1" applyFill="1" applyBorder="1" applyAlignment="1">
      <alignment horizontal="center" vertical="center" wrapText="1"/>
    </xf>
    <xf numFmtId="9" fontId="176" fillId="48" borderId="13" xfId="8736" applyNumberFormat="1" applyFont="1" applyFill="1" applyBorder="1" applyAlignment="1" applyProtection="1">
      <alignment horizontal="center"/>
      <protection locked="0"/>
    </xf>
    <xf numFmtId="0" fontId="176" fillId="44" borderId="73" xfId="8736" applyFont="1" applyFill="1" applyBorder="1" applyAlignment="1">
      <alignment horizontal="center"/>
    </xf>
    <xf numFmtId="0" fontId="168" fillId="44" borderId="9" xfId="8736" applyFont="1" applyFill="1" applyBorder="1" applyAlignment="1">
      <alignment horizontal="center"/>
    </xf>
    <xf numFmtId="0" fontId="168" fillId="44" borderId="6" xfId="8736" applyFont="1" applyFill="1" applyBorder="1" applyAlignment="1">
      <alignment horizontal="center"/>
    </xf>
    <xf numFmtId="0" fontId="168" fillId="44" borderId="82" xfId="8736" applyFont="1" applyFill="1" applyBorder="1" applyAlignment="1">
      <alignment horizontal="center"/>
    </xf>
    <xf numFmtId="9" fontId="176" fillId="48" borderId="9" xfId="8736" applyNumberFormat="1" applyFont="1" applyFill="1" applyBorder="1" applyAlignment="1" applyProtection="1">
      <alignment horizontal="center"/>
      <protection locked="0"/>
    </xf>
    <xf numFmtId="9" fontId="176" fillId="48" borderId="6" xfId="8736" applyNumberFormat="1" applyFont="1" applyFill="1" applyBorder="1" applyAlignment="1" applyProtection="1">
      <alignment horizontal="center"/>
      <protection locked="0"/>
    </xf>
    <xf numFmtId="9" fontId="176" fillId="48" borderId="10" xfId="8736" applyNumberFormat="1" applyFont="1" applyFill="1" applyBorder="1" applyAlignment="1" applyProtection="1">
      <alignment horizontal="center"/>
      <protection locked="0"/>
    </xf>
    <xf numFmtId="9" fontId="168" fillId="48" borderId="9" xfId="8736" applyNumberFormat="1" applyFont="1" applyFill="1" applyBorder="1" applyAlignment="1" applyProtection="1">
      <alignment horizontal="center"/>
      <protection locked="0"/>
    </xf>
    <xf numFmtId="9" fontId="168" fillId="48" borderId="6" xfId="8736" applyNumberFormat="1" applyFont="1" applyFill="1" applyBorder="1" applyAlignment="1" applyProtection="1">
      <alignment horizontal="center"/>
      <protection locked="0"/>
    </xf>
    <xf numFmtId="9" fontId="168" fillId="48" borderId="10" xfId="8736" applyNumberFormat="1" applyFont="1" applyFill="1" applyBorder="1" applyAlignment="1" applyProtection="1">
      <alignment horizontal="center"/>
      <protection locked="0"/>
    </xf>
    <xf numFmtId="0" fontId="168" fillId="44" borderId="10" xfId="8736" applyFont="1" applyFill="1" applyBorder="1" applyAlignment="1">
      <alignment horizontal="center"/>
    </xf>
    <xf numFmtId="0" fontId="175" fillId="48" borderId="3" xfId="8736" applyFont="1" applyFill="1" applyBorder="1" applyAlignment="1" applyProtection="1">
      <alignment horizontal="center"/>
      <protection locked="0"/>
    </xf>
    <xf numFmtId="0" fontId="175" fillId="48" borderId="4" xfId="8736" applyFont="1" applyFill="1" applyBorder="1" applyAlignment="1" applyProtection="1">
      <alignment horizontal="center"/>
      <protection locked="0"/>
    </xf>
    <xf numFmtId="0" fontId="175" fillId="48" borderId="5" xfId="8736" applyFont="1" applyFill="1" applyBorder="1" applyAlignment="1" applyProtection="1">
      <alignment horizontal="center"/>
      <protection locked="0"/>
    </xf>
    <xf numFmtId="10" fontId="176" fillId="44" borderId="3" xfId="8736" applyNumberFormat="1" applyFont="1" applyFill="1" applyBorder="1" applyAlignment="1">
      <alignment horizontal="center"/>
    </xf>
    <xf numFmtId="10" fontId="176" fillId="44" borderId="4" xfId="8736" applyNumberFormat="1" applyFont="1" applyFill="1" applyBorder="1" applyAlignment="1">
      <alignment horizontal="center"/>
    </xf>
    <xf numFmtId="10" fontId="176" fillId="44" borderId="81" xfId="8736" applyNumberFormat="1" applyFont="1" applyFill="1" applyBorder="1" applyAlignment="1">
      <alignment horizontal="center"/>
    </xf>
    <xf numFmtId="0" fontId="176" fillId="44" borderId="87" xfId="8736" applyFont="1" applyFill="1" applyBorder="1" applyAlignment="1">
      <alignment horizontal="center"/>
    </xf>
    <xf numFmtId="0" fontId="176" fillId="44" borderId="86" xfId="8736" applyFont="1" applyFill="1" applyBorder="1" applyAlignment="1">
      <alignment horizontal="center"/>
    </xf>
    <xf numFmtId="0" fontId="176" fillId="44" borderId="95" xfId="8736" applyFont="1" applyFill="1" applyBorder="1" applyAlignment="1">
      <alignment horizontal="center"/>
    </xf>
    <xf numFmtId="0" fontId="175" fillId="44" borderId="94" xfId="8736" applyFont="1" applyFill="1" applyBorder="1" applyAlignment="1">
      <alignment horizontal="center"/>
    </xf>
    <xf numFmtId="0" fontId="175" fillId="44" borderId="86" xfId="8736" applyFont="1" applyFill="1" applyBorder="1" applyAlignment="1">
      <alignment horizontal="center"/>
    </xf>
    <xf numFmtId="0" fontId="175" fillId="44" borderId="95" xfId="8736" applyFont="1" applyFill="1" applyBorder="1" applyAlignment="1">
      <alignment horizontal="center"/>
    </xf>
    <xf numFmtId="10" fontId="176" fillId="44" borderId="94" xfId="8736" applyNumberFormat="1" applyFont="1" applyFill="1" applyBorder="1" applyAlignment="1">
      <alignment horizontal="center"/>
    </xf>
    <xf numFmtId="10" fontId="176" fillId="44" borderId="86" xfId="8736" applyNumberFormat="1" applyFont="1" applyFill="1" applyBorder="1" applyAlignment="1">
      <alignment horizontal="center"/>
    </xf>
    <xf numFmtId="10" fontId="176" fillId="44" borderId="85" xfId="8736" applyNumberFormat="1" applyFont="1" applyFill="1" applyBorder="1" applyAlignment="1">
      <alignment horizontal="center"/>
    </xf>
    <xf numFmtId="9" fontId="175" fillId="48" borderId="90" xfId="8736" applyNumberFormat="1" applyFont="1" applyFill="1" applyBorder="1" applyAlignment="1" applyProtection="1">
      <alignment horizontal="center"/>
      <protection locked="0"/>
    </xf>
    <xf numFmtId="9" fontId="175" fillId="48" borderId="4" xfId="8736" applyNumberFormat="1" applyFont="1" applyFill="1" applyBorder="1" applyAlignment="1" applyProtection="1">
      <alignment horizontal="center"/>
      <protection locked="0"/>
    </xf>
    <xf numFmtId="9" fontId="175" fillId="48" borderId="5" xfId="8736" applyNumberFormat="1" applyFont="1" applyFill="1" applyBorder="1" applyAlignment="1" applyProtection="1">
      <alignment horizontal="center"/>
      <protection locked="0"/>
    </xf>
    <xf numFmtId="0" fontId="175" fillId="44" borderId="3" xfId="8736" applyFont="1" applyFill="1" applyBorder="1" applyAlignment="1">
      <alignment horizontal="center"/>
    </xf>
    <xf numFmtId="0" fontId="175" fillId="44" borderId="4" xfId="8736" applyFont="1" applyFill="1" applyBorder="1" applyAlignment="1">
      <alignment horizontal="center"/>
    </xf>
    <xf numFmtId="0" fontId="175" fillId="44" borderId="5" xfId="8736" applyFont="1" applyFill="1" applyBorder="1" applyAlignment="1">
      <alignment horizontal="center"/>
    </xf>
    <xf numFmtId="0" fontId="106" fillId="45" borderId="80" xfId="8736" applyFont="1" applyFill="1" applyBorder="1" applyAlignment="1">
      <alignment horizontal="right"/>
    </xf>
    <xf numFmtId="0" fontId="106" fillId="45" borderId="79" xfId="8736" applyFont="1" applyFill="1" applyBorder="1" applyAlignment="1">
      <alignment horizontal="right"/>
    </xf>
    <xf numFmtId="0" fontId="106" fillId="45" borderId="103" xfId="8736" applyFont="1" applyFill="1" applyBorder="1" applyAlignment="1">
      <alignment horizontal="right"/>
    </xf>
    <xf numFmtId="0" fontId="5" fillId="44" borderId="84" xfId="8736" applyFill="1" applyBorder="1" applyAlignment="1">
      <alignment horizontal="center"/>
    </xf>
    <xf numFmtId="0" fontId="5" fillId="44" borderId="102" xfId="8736" applyFill="1" applyBorder="1" applyAlignment="1">
      <alignment horizontal="center"/>
    </xf>
    <xf numFmtId="0" fontId="176" fillId="45" borderId="11" xfId="8736" applyFont="1" applyFill="1" applyBorder="1" applyAlignment="1">
      <alignment horizontal="right"/>
    </xf>
    <xf numFmtId="14" fontId="172" fillId="48" borderId="11" xfId="8736" applyNumberFormat="1" applyFont="1" applyFill="1" applyBorder="1" applyAlignment="1" applyProtection="1">
      <alignment horizontal="center" vertical="center"/>
      <protection locked="0"/>
    </xf>
    <xf numFmtId="0" fontId="172" fillId="48" borderId="11" xfId="8736" applyFont="1" applyFill="1" applyBorder="1" applyAlignment="1" applyProtection="1">
      <alignment horizontal="center" vertical="center"/>
      <protection locked="0"/>
    </xf>
    <xf numFmtId="0" fontId="176" fillId="45" borderId="97" xfId="8736" applyFont="1" applyFill="1" applyBorder="1" applyAlignment="1">
      <alignment horizontal="center"/>
    </xf>
    <xf numFmtId="0" fontId="176" fillId="45" borderId="2" xfId="8736" applyFont="1" applyFill="1" applyBorder="1" applyAlignment="1">
      <alignment horizontal="center"/>
    </xf>
    <xf numFmtId="0" fontId="176" fillId="45" borderId="7" xfId="8736" applyFont="1" applyFill="1" applyBorder="1" applyAlignment="1">
      <alignment horizontal="center"/>
    </xf>
    <xf numFmtId="0" fontId="176" fillId="45" borderId="3" xfId="8736" applyFont="1" applyFill="1" applyBorder="1" applyAlignment="1">
      <alignment horizontal="center"/>
    </xf>
    <xf numFmtId="0" fontId="176" fillId="45" borderId="4" xfId="8736" applyFont="1" applyFill="1" applyBorder="1" applyAlignment="1">
      <alignment horizontal="center"/>
    </xf>
    <xf numFmtId="0" fontId="176" fillId="45" borderId="5" xfId="8736" applyFont="1" applyFill="1" applyBorder="1" applyAlignment="1">
      <alignment horizontal="center"/>
    </xf>
    <xf numFmtId="0" fontId="176" fillId="45" borderId="81" xfId="8736" applyFont="1" applyFill="1" applyBorder="1" applyAlignment="1">
      <alignment horizontal="center"/>
    </xf>
    <xf numFmtId="0" fontId="106" fillId="45" borderId="80" xfId="8736" applyFont="1" applyFill="1" applyBorder="1" applyAlignment="1">
      <alignment horizontal="center"/>
    </xf>
    <xf numFmtId="0" fontId="106" fillId="45" borderId="79" xfId="8736" applyFont="1" applyFill="1" applyBorder="1" applyAlignment="1">
      <alignment horizontal="center"/>
    </xf>
    <xf numFmtId="0" fontId="106" fillId="45" borderId="78" xfId="8736" applyFont="1" applyFill="1" applyBorder="1" applyAlignment="1">
      <alignment horizontal="center"/>
    </xf>
    <xf numFmtId="0" fontId="172" fillId="48" borderId="80" xfId="8736" applyFont="1" applyFill="1" applyBorder="1" applyAlignment="1" applyProtection="1">
      <alignment horizontal="center"/>
      <protection locked="0"/>
    </xf>
    <xf numFmtId="0" fontId="172" fillId="48" borderId="79" xfId="8736" applyFont="1" applyFill="1" applyBorder="1" applyAlignment="1" applyProtection="1">
      <alignment horizontal="center"/>
      <protection locked="0"/>
    </xf>
    <xf numFmtId="0" fontId="172" fillId="48" borderId="78" xfId="8736" applyFont="1" applyFill="1" applyBorder="1" applyAlignment="1" applyProtection="1">
      <alignment horizontal="center"/>
      <protection locked="0"/>
    </xf>
    <xf numFmtId="1" fontId="5" fillId="44" borderId="11" xfId="8736" applyNumberFormat="1" applyFill="1" applyBorder="1" applyAlignment="1">
      <alignment horizontal="center"/>
    </xf>
    <xf numFmtId="0" fontId="5" fillId="44" borderId="11" xfId="8736" applyFill="1" applyBorder="1" applyAlignment="1">
      <alignment horizontal="center"/>
    </xf>
    <xf numFmtId="0" fontId="173" fillId="45" borderId="11" xfId="8736" applyFont="1" applyFill="1" applyBorder="1" applyAlignment="1">
      <alignment horizontal="right" wrapText="1"/>
    </xf>
    <xf numFmtId="168" fontId="177" fillId="44" borderId="11" xfId="8737" applyNumberFormat="1" applyFont="1" applyFill="1" applyBorder="1" applyAlignment="1" applyProtection="1">
      <alignment horizontal="left"/>
    </xf>
    <xf numFmtId="0" fontId="179" fillId="45" borderId="11" xfId="8736" applyFont="1" applyFill="1" applyBorder="1" applyAlignment="1">
      <alignment horizontal="right"/>
    </xf>
    <xf numFmtId="14" fontId="172" fillId="48" borderId="11" xfId="8736" applyNumberFormat="1"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3" fillId="45" borderId="11" xfId="8736" applyFont="1" applyFill="1" applyBorder="1" applyAlignment="1">
      <alignment horizontal="right"/>
    </xf>
    <xf numFmtId="1" fontId="172" fillId="48" borderId="11" xfId="8736" applyNumberFormat="1" applyFont="1" applyFill="1" applyBorder="1" applyAlignment="1" applyProtection="1">
      <alignment horizontal="center"/>
      <protection locked="0"/>
    </xf>
    <xf numFmtId="0" fontId="5" fillId="44" borderId="80" xfId="8736" applyFill="1" applyBorder="1" applyAlignment="1">
      <alignment horizontal="center"/>
    </xf>
    <xf numFmtId="0" fontId="5" fillId="44" borderId="79" xfId="8736" applyFill="1" applyBorder="1" applyAlignment="1">
      <alignment horizontal="center"/>
    </xf>
    <xf numFmtId="0" fontId="5" fillId="44" borderId="78" xfId="8736" applyFill="1" applyBorder="1" applyAlignment="1">
      <alignment horizontal="center"/>
    </xf>
    <xf numFmtId="0" fontId="5" fillId="45" borderId="3" xfId="8736" applyFill="1" applyBorder="1" applyAlignment="1">
      <alignment horizontal="center"/>
    </xf>
    <xf numFmtId="0" fontId="5" fillId="45" borderId="4" xfId="8736" applyFill="1" applyBorder="1" applyAlignment="1">
      <alignment horizontal="center"/>
    </xf>
    <xf numFmtId="0" fontId="5" fillId="45" borderId="5" xfId="8736" applyFill="1" applyBorder="1" applyAlignment="1">
      <alignment horizontal="center"/>
    </xf>
    <xf numFmtId="0" fontId="172" fillId="44" borderId="80" xfId="8736" applyFont="1" applyFill="1" applyBorder="1" applyAlignment="1">
      <alignment horizontal="left"/>
    </xf>
    <xf numFmtId="0" fontId="172" fillId="44" borderId="79" xfId="8736" applyFont="1" applyFill="1" applyBorder="1" applyAlignment="1">
      <alignment horizontal="left"/>
    </xf>
    <xf numFmtId="0" fontId="172" fillId="44" borderId="78" xfId="8736" applyFont="1" applyFill="1" applyBorder="1" applyAlignment="1">
      <alignment horizontal="left"/>
    </xf>
    <xf numFmtId="0" fontId="184" fillId="51" borderId="65" xfId="8736" applyFont="1" applyFill="1" applyBorder="1" applyAlignment="1">
      <alignment horizontal="center"/>
    </xf>
    <xf numFmtId="0" fontId="184" fillId="51" borderId="29" xfId="8736" applyFont="1" applyFill="1" applyBorder="1" applyAlignment="1">
      <alignment horizontal="center"/>
    </xf>
    <xf numFmtId="0" fontId="184" fillId="51" borderId="31" xfId="8736" applyFont="1" applyFill="1" applyBorder="1" applyAlignment="1">
      <alignment horizontal="center"/>
    </xf>
    <xf numFmtId="0" fontId="169" fillId="48" borderId="66" xfId="8736" applyFont="1" applyFill="1" applyBorder="1" applyAlignment="1">
      <alignment horizontal="center"/>
    </xf>
    <xf numFmtId="0" fontId="169" fillId="48" borderId="0" xfId="8736" applyFont="1" applyFill="1" applyAlignment="1">
      <alignment horizontal="center"/>
    </xf>
    <xf numFmtId="0" fontId="169" fillId="48" borderId="41" xfId="8736" applyFont="1" applyFill="1" applyBorder="1" applyAlignment="1">
      <alignment horizontal="center"/>
    </xf>
    <xf numFmtId="0" fontId="169" fillId="45" borderId="5" xfId="8736" applyFont="1" applyFill="1" applyBorder="1" applyAlignment="1">
      <alignment horizontal="center"/>
    </xf>
    <xf numFmtId="168" fontId="21" fillId="2" borderId="3" xfId="569" applyNumberFormat="1" applyFill="1" applyBorder="1" applyAlignment="1">
      <alignment horizontal="center"/>
    </xf>
    <xf numFmtId="168" fontId="21" fillId="2" borderId="4" xfId="569" applyNumberFormat="1" applyFill="1" applyBorder="1" applyAlignment="1">
      <alignment horizontal="center"/>
    </xf>
    <xf numFmtId="168" fontId="21" fillId="2" borderId="5" xfId="569" applyNumberFormat="1" applyFill="1" applyBorder="1" applyAlignment="1">
      <alignment horizontal="center"/>
    </xf>
    <xf numFmtId="168" fontId="21" fillId="5" borderId="5" xfId="569" applyNumberFormat="1" applyFill="1" applyBorder="1" applyAlignment="1" applyProtection="1">
      <alignment horizontal="center"/>
      <protection locked="0"/>
    </xf>
    <xf numFmtId="168" fontId="21" fillId="5" borderId="11" xfId="569" applyNumberFormat="1" applyFill="1" applyBorder="1" applyAlignment="1" applyProtection="1">
      <alignment horizontal="center"/>
      <protection locked="0"/>
    </xf>
    <xf numFmtId="168" fontId="21" fillId="0" borderId="5" xfId="569" applyNumberFormat="1" applyBorder="1" applyAlignment="1">
      <alignment horizontal="center"/>
    </xf>
    <xf numFmtId="168" fontId="21" fillId="0" borderId="11" xfId="569" applyNumberFormat="1" applyBorder="1" applyAlignment="1">
      <alignment horizontal="center"/>
    </xf>
    <xf numFmtId="168" fontId="21" fillId="0" borderId="3" xfId="569" applyNumberFormat="1" applyBorder="1" applyAlignment="1">
      <alignment horizontal="center"/>
    </xf>
    <xf numFmtId="168" fontId="21" fillId="0" borderId="4" xfId="569" applyNumberFormat="1" applyBorder="1" applyAlignment="1">
      <alignment horizontal="center"/>
    </xf>
    <xf numFmtId="179" fontId="28" fillId="0" borderId="0" xfId="569" applyNumberFormat="1" applyFont="1" applyAlignment="1">
      <alignment horizontal="center" wrapText="1"/>
    </xf>
    <xf numFmtId="0" fontId="28" fillId="0" borderId="16" xfId="271" applyFont="1" applyBorder="1" applyAlignment="1">
      <alignment horizontal="center"/>
    </xf>
    <xf numFmtId="164" fontId="28" fillId="0" borderId="0" xfId="569" applyNumberFormat="1" applyFont="1" applyAlignment="1">
      <alignment horizontal="center" wrapText="1"/>
    </xf>
    <xf numFmtId="0" fontId="28" fillId="0" borderId="3" xfId="569" applyFont="1" applyBorder="1" applyAlignment="1">
      <alignment horizontal="right"/>
    </xf>
    <xf numFmtId="0" fontId="28" fillId="0" borderId="4" xfId="569" applyFont="1" applyBorder="1" applyAlignment="1">
      <alignment horizontal="right"/>
    </xf>
    <xf numFmtId="0" fontId="28" fillId="0" borderId="5" xfId="569" applyFont="1" applyBorder="1" applyAlignment="1">
      <alignment horizontal="right"/>
    </xf>
    <xf numFmtId="0" fontId="57" fillId="0" borderId="0" xfId="569" applyFont="1" applyAlignment="1">
      <alignment horizontal="left"/>
    </xf>
    <xf numFmtId="0" fontId="21" fillId="0" borderId="3" xfId="569" applyBorder="1" applyAlignment="1">
      <alignment horizontal="right"/>
    </xf>
    <xf numFmtId="0" fontId="21" fillId="0" borderId="4" xfId="569" applyBorder="1" applyAlignment="1">
      <alignment horizontal="right"/>
    </xf>
    <xf numFmtId="0" fontId="21" fillId="0" borderId="5" xfId="569" applyBorder="1" applyAlignment="1">
      <alignment horizontal="right"/>
    </xf>
    <xf numFmtId="0" fontId="29" fillId="0" borderId="3" xfId="569" applyFont="1" applyBorder="1" applyAlignment="1">
      <alignment horizontal="right"/>
    </xf>
    <xf numFmtId="0" fontId="29" fillId="0" borderId="4" xfId="569" applyFont="1" applyBorder="1" applyAlignment="1">
      <alignment horizontal="right"/>
    </xf>
    <xf numFmtId="0" fontId="29" fillId="0" borderId="5" xfId="569" applyFont="1" applyBorder="1" applyAlignment="1">
      <alignment horizontal="right"/>
    </xf>
    <xf numFmtId="168" fontId="21" fillId="0" borderId="3" xfId="569" applyNumberFormat="1" applyBorder="1" applyAlignment="1">
      <alignment horizontal="right"/>
    </xf>
    <xf numFmtId="168" fontId="21" fillId="0" borderId="4" xfId="569" applyNumberFormat="1" applyBorder="1" applyAlignment="1">
      <alignment horizontal="right"/>
    </xf>
    <xf numFmtId="168" fontId="21" fillId="0" borderId="5" xfId="569" applyNumberFormat="1" applyBorder="1" applyAlignment="1">
      <alignment horizontal="right"/>
    </xf>
    <xf numFmtId="9" fontId="21" fillId="0" borderId="5" xfId="569" applyNumberFormat="1" applyBorder="1" applyAlignment="1">
      <alignment horizontal="center"/>
    </xf>
    <xf numFmtId="9" fontId="21" fillId="0" borderId="11" xfId="569" applyNumberFormat="1" applyBorder="1" applyAlignment="1">
      <alignment horizontal="center"/>
    </xf>
    <xf numFmtId="0" fontId="28" fillId="0" borderId="3" xfId="569" applyFont="1" applyBorder="1" applyAlignment="1">
      <alignment horizontal="left"/>
    </xf>
    <xf numFmtId="0" fontId="28" fillId="0" borderId="5" xfId="569" applyFont="1" applyBorder="1" applyAlignment="1">
      <alignment horizontal="left"/>
    </xf>
    <xf numFmtId="0" fontId="29" fillId="0" borderId="4" xfId="569" applyFont="1" applyBorder="1" applyAlignment="1">
      <alignment horizontal="left"/>
    </xf>
    <xf numFmtId="0" fontId="29" fillId="0" borderId="5" xfId="569" applyFont="1" applyBorder="1" applyAlignment="1">
      <alignment horizontal="left"/>
    </xf>
    <xf numFmtId="0" fontId="27" fillId="3" borderId="2" xfId="569" applyFont="1" applyFill="1" applyBorder="1" applyAlignment="1">
      <alignment horizontal="center" vertical="center"/>
    </xf>
    <xf numFmtId="0" fontId="27" fillId="3" borderId="16" xfId="569" applyFont="1" applyFill="1" applyBorder="1" applyAlignment="1">
      <alignment horizontal="center" vertical="center"/>
    </xf>
    <xf numFmtId="0" fontId="28" fillId="0" borderId="11" xfId="569" applyFont="1" applyBorder="1" applyAlignment="1">
      <alignment horizontal="center" wrapText="1"/>
    </xf>
    <xf numFmtId="168" fontId="21" fillId="0" borderId="7" xfId="569" applyNumberFormat="1" applyBorder="1" applyAlignment="1">
      <alignment horizontal="center"/>
    </xf>
    <xf numFmtId="168" fontId="21" fillId="0" borderId="15" xfId="569" applyNumberFormat="1" applyBorder="1" applyAlignment="1">
      <alignment horizontal="center"/>
    </xf>
    <xf numFmtId="168" fontId="21" fillId="5" borderId="10" xfId="569" applyNumberFormat="1" applyFill="1" applyBorder="1" applyAlignment="1" applyProtection="1">
      <alignment horizontal="center"/>
      <protection locked="0"/>
    </xf>
    <xf numFmtId="168" fontId="21" fillId="5" borderId="13" xfId="569" applyNumberFormat="1" applyFill="1" applyBorder="1" applyAlignment="1" applyProtection="1">
      <alignment horizontal="center"/>
      <protection locked="0"/>
    </xf>
    <xf numFmtId="5" fontId="21" fillId="0" borderId="5" xfId="569" applyNumberFormat="1" applyBorder="1" applyAlignment="1">
      <alignment horizontal="center"/>
    </xf>
    <xf numFmtId="5" fontId="21" fillId="0" borderId="11" xfId="569" applyNumberFormat="1" applyBorder="1" applyAlignment="1">
      <alignment horizontal="center"/>
    </xf>
    <xf numFmtId="5" fontId="21" fillId="0" borderId="3" xfId="569" applyNumberFormat="1" applyBorder="1" applyAlignment="1">
      <alignment horizontal="center"/>
    </xf>
    <xf numFmtId="5" fontId="21" fillId="0" borderId="4" xfId="569" applyNumberFormat="1" applyBorder="1" applyAlignment="1">
      <alignment horizontal="center"/>
    </xf>
    <xf numFmtId="9" fontId="21" fillId="0" borderId="9" xfId="569" applyNumberFormat="1" applyBorder="1" applyAlignment="1">
      <alignment horizontal="center" vertical="center"/>
    </xf>
    <xf numFmtId="9" fontId="21" fillId="0" borderId="6" xfId="569" applyNumberFormat="1" applyBorder="1" applyAlignment="1">
      <alignment horizontal="center" vertical="center"/>
    </xf>
    <xf numFmtId="9" fontId="21" fillId="0" borderId="10" xfId="569" applyNumberFormat="1" applyBorder="1" applyAlignment="1">
      <alignment horizontal="center" vertical="center"/>
    </xf>
    <xf numFmtId="168" fontId="21" fillId="0" borderId="11" xfId="569" applyNumberFormat="1" applyBorder="1" applyAlignment="1">
      <alignment horizontal="right"/>
    </xf>
    <xf numFmtId="0" fontId="28" fillId="0" borderId="6" xfId="569" applyFont="1" applyBorder="1" applyAlignment="1">
      <alignment horizontal="center"/>
    </xf>
    <xf numFmtId="0" fontId="21" fillId="0" borderId="4" xfId="569" applyBorder="1" applyAlignment="1">
      <alignment horizontal="center"/>
    </xf>
    <xf numFmtId="0" fontId="21" fillId="0" borderId="5" xfId="569" applyBorder="1" applyAlignment="1">
      <alignment horizontal="center"/>
    </xf>
    <xf numFmtId="176" fontId="21" fillId="5" borderId="3" xfId="569" applyNumberFormat="1" applyFill="1" applyBorder="1" applyAlignment="1" applyProtection="1">
      <alignment horizontal="right"/>
      <protection locked="0"/>
    </xf>
    <xf numFmtId="176" fontId="21" fillId="5" borderId="4" xfId="569" applyNumberFormat="1" applyFill="1" applyBorder="1" applyAlignment="1" applyProtection="1">
      <alignment horizontal="right"/>
      <protection locked="0"/>
    </xf>
    <xf numFmtId="176" fontId="21" fillId="5" borderId="5" xfId="569" applyNumberFormat="1" applyFill="1" applyBorder="1" applyAlignment="1" applyProtection="1">
      <alignment horizontal="right"/>
      <protection locked="0"/>
    </xf>
    <xf numFmtId="0" fontId="111" fillId="0" borderId="0" xfId="569" applyFont="1" applyAlignment="1">
      <alignment horizontal="left" wrapText="1"/>
    </xf>
    <xf numFmtId="0" fontId="28" fillId="0" borderId="11" xfId="569" applyFont="1" applyBorder="1" applyAlignment="1">
      <alignment horizontal="center"/>
    </xf>
    <xf numFmtId="165" fontId="21" fillId="0" borderId="11" xfId="569" applyNumberFormat="1" applyBorder="1" applyAlignment="1" applyProtection="1">
      <alignment horizontal="center"/>
      <protection locked="0"/>
    </xf>
    <xf numFmtId="168" fontId="21" fillId="0" borderId="11" xfId="569" applyNumberFormat="1" applyBorder="1"/>
    <xf numFmtId="168" fontId="21" fillId="0" borderId="3" xfId="569" applyNumberFormat="1" applyBorder="1"/>
    <xf numFmtId="168" fontId="21" fillId="0" borderId="4" xfId="569" applyNumberFormat="1" applyBorder="1"/>
    <xf numFmtId="168" fontId="21" fillId="0" borderId="5" xfId="569" applyNumberFormat="1" applyBorder="1"/>
    <xf numFmtId="168" fontId="21" fillId="0" borderId="11" xfId="569" applyNumberFormat="1" applyBorder="1" applyAlignment="1">
      <alignment wrapText="1"/>
    </xf>
    <xf numFmtId="9" fontId="21" fillId="0" borderId="15" xfId="569" applyNumberFormat="1" applyBorder="1" applyAlignment="1">
      <alignment horizontal="center"/>
    </xf>
    <xf numFmtId="0" fontId="21" fillId="0" borderId="11" xfId="569" applyBorder="1" applyAlignment="1">
      <alignment horizontal="center"/>
    </xf>
    <xf numFmtId="0" fontId="111" fillId="0" borderId="0" xfId="0" applyFont="1" applyAlignment="1">
      <alignment horizontal="left" vertical="top" wrapText="1"/>
    </xf>
    <xf numFmtId="0" fontId="21" fillId="0" borderId="0" xfId="4495" applyFont="1" applyAlignment="1">
      <alignment horizontal="left" vertical="top" wrapText="1"/>
    </xf>
    <xf numFmtId="0" fontId="28" fillId="0" borderId="0" xfId="4495" applyFont="1" applyAlignment="1">
      <alignment horizontal="center" vertical="top"/>
    </xf>
    <xf numFmtId="0" fontId="21" fillId="5" borderId="6" xfId="4495" applyFont="1" applyFill="1" applyBorder="1" applyAlignment="1" applyProtection="1">
      <alignment horizontal="center" vertical="center" wrapText="1" shrinkToFit="1"/>
      <protection locked="0"/>
    </xf>
    <xf numFmtId="0" fontId="21" fillId="0" borderId="3" xfId="4495" applyFont="1" applyBorder="1" applyAlignment="1">
      <alignment horizontal="center"/>
    </xf>
    <xf numFmtId="0" fontId="21" fillId="0" borderId="5" xfId="4495" applyFont="1" applyBorder="1" applyAlignment="1">
      <alignment horizontal="center"/>
    </xf>
    <xf numFmtId="0" fontId="28" fillId="0" borderId="0" xfId="4495" applyFont="1" applyAlignment="1">
      <alignment horizontal="left" wrapText="1"/>
    </xf>
    <xf numFmtId="0" fontId="21" fillId="0" borderId="0" xfId="4495" applyFont="1" applyAlignment="1">
      <alignment wrapText="1"/>
    </xf>
    <xf numFmtId="0" fontId="21" fillId="0" borderId="0" xfId="4495" applyFont="1" applyAlignment="1">
      <alignment horizontal="left"/>
    </xf>
    <xf numFmtId="0" fontId="21" fillId="5" borderId="6" xfId="4495" applyFont="1" applyFill="1" applyBorder="1" applyAlignment="1" applyProtection="1">
      <alignment horizontal="center"/>
      <protection locked="0"/>
    </xf>
    <xf numFmtId="164" fontId="21" fillId="0" borderId="50" xfId="4495" applyNumberFormat="1" applyFont="1" applyBorder="1" applyAlignment="1">
      <alignment horizontal="left" vertical="top" wrapText="1"/>
    </xf>
    <xf numFmtId="164" fontId="21" fillId="0" borderId="51" xfId="4495" applyNumberFormat="1" applyFont="1" applyBorder="1" applyAlignment="1">
      <alignment horizontal="left" vertical="top" wrapText="1"/>
    </xf>
    <xf numFmtId="164" fontId="21" fillId="0" borderId="52" xfId="4495" applyNumberFormat="1" applyFont="1" applyBorder="1" applyAlignment="1">
      <alignment horizontal="left" vertical="top" wrapText="1"/>
    </xf>
    <xf numFmtId="164" fontId="21" fillId="0" borderId="53" xfId="4495" applyNumberFormat="1" applyFont="1" applyBorder="1" applyAlignment="1">
      <alignment horizontal="left" vertical="top" wrapText="1"/>
    </xf>
    <xf numFmtId="164" fontId="21" fillId="0" borderId="0" xfId="4495" applyNumberFormat="1" applyFont="1" applyAlignment="1">
      <alignment horizontal="left" vertical="top" wrapText="1"/>
    </xf>
    <xf numFmtId="164" fontId="21" fillId="0" borderId="54" xfId="4495" applyNumberFormat="1" applyFont="1" applyBorder="1" applyAlignment="1">
      <alignment horizontal="left" vertical="top" wrapText="1"/>
    </xf>
    <xf numFmtId="164" fontId="21" fillId="0" borderId="57" xfId="4495" applyNumberFormat="1" applyFont="1" applyBorder="1" applyAlignment="1">
      <alignment horizontal="left" vertical="top" wrapText="1"/>
    </xf>
    <xf numFmtId="164" fontId="21" fillId="0" borderId="58" xfId="4495" applyNumberFormat="1" applyFont="1" applyBorder="1" applyAlignment="1">
      <alignment horizontal="left" vertical="top" wrapText="1"/>
    </xf>
    <xf numFmtId="164" fontId="21" fillId="0" borderId="59" xfId="4495" applyNumberFormat="1" applyFont="1" applyBorder="1" applyAlignment="1">
      <alignment horizontal="left" vertical="top" wrapText="1"/>
    </xf>
    <xf numFmtId="168" fontId="21" fillId="0" borderId="0" xfId="1192" applyNumberFormat="1" applyAlignment="1">
      <alignment horizontal="right"/>
    </xf>
    <xf numFmtId="168" fontId="21" fillId="0" borderId="6" xfId="1192" applyNumberFormat="1" applyBorder="1" applyAlignment="1">
      <alignment horizontal="right"/>
    </xf>
    <xf numFmtId="168" fontId="21" fillId="43" borderId="6" xfId="543" applyNumberFormat="1" applyFill="1" applyBorder="1" applyAlignment="1" applyProtection="1">
      <alignment horizontal="center"/>
      <protection locked="0"/>
    </xf>
    <xf numFmtId="168" fontId="21" fillId="0" borderId="4" xfId="1192" applyNumberFormat="1" applyBorder="1" applyAlignment="1">
      <alignment horizontal="right"/>
    </xf>
    <xf numFmtId="0" fontId="124" fillId="5" borderId="6" xfId="4495" applyFill="1" applyBorder="1" applyAlignment="1" applyProtection="1">
      <alignment horizontal="center"/>
      <protection locked="0"/>
    </xf>
    <xf numFmtId="0" fontId="122" fillId="0" borderId="4" xfId="1192" applyFont="1" applyBorder="1" applyAlignment="1">
      <alignment horizontal="left"/>
    </xf>
    <xf numFmtId="0" fontId="145" fillId="0" borderId="6" xfId="1192" applyFont="1" applyBorder="1" applyAlignment="1">
      <alignment horizontal="center"/>
    </xf>
    <xf numFmtId="0" fontId="124" fillId="5" borderId="50" xfId="4495" applyFill="1" applyBorder="1" applyAlignment="1">
      <alignment horizontal="center"/>
    </xf>
    <xf numFmtId="0" fontId="124" fillId="5" borderId="51" xfId="4495" applyFill="1" applyBorder="1" applyAlignment="1">
      <alignment horizontal="center"/>
    </xf>
    <xf numFmtId="0" fontId="124" fillId="0" borderId="0" xfId="4495" applyAlignment="1">
      <alignment horizontal="center"/>
    </xf>
    <xf numFmtId="0" fontId="124" fillId="5" borderId="62" xfId="4495" applyFill="1" applyBorder="1" applyAlignment="1">
      <alignment horizontal="center"/>
    </xf>
    <xf numFmtId="0" fontId="124" fillId="5" borderId="63" xfId="4495" applyFill="1" applyBorder="1" applyAlignment="1">
      <alignment horizontal="center"/>
    </xf>
    <xf numFmtId="4" fontId="29" fillId="0" borderId="3" xfId="4495" applyNumberFormat="1" applyFont="1" applyBorder="1" applyAlignment="1">
      <alignment horizontal="center"/>
    </xf>
    <xf numFmtId="4" fontId="29" fillId="0" borderId="4" xfId="4495" applyNumberFormat="1" applyFont="1" applyBorder="1" applyAlignment="1">
      <alignment horizontal="center"/>
    </xf>
    <xf numFmtId="4" fontId="29" fillId="0" borderId="5" xfId="4495" applyNumberFormat="1" applyFont="1" applyBorder="1" applyAlignment="1">
      <alignment horizontal="center"/>
    </xf>
    <xf numFmtId="165" fontId="126" fillId="0" borderId="3" xfId="4496" applyNumberFormat="1" applyFont="1" applyBorder="1" applyAlignment="1">
      <alignment horizontal="center" vertical="top" wrapText="1"/>
    </xf>
    <xf numFmtId="165" fontId="126" fillId="0" borderId="4" xfId="4496" applyNumberFormat="1" applyFont="1" applyBorder="1" applyAlignment="1">
      <alignment horizontal="center" vertical="top" wrapText="1"/>
    </xf>
    <xf numFmtId="165" fontId="126" fillId="0" borderId="5" xfId="4496" applyNumberFormat="1" applyFont="1" applyBorder="1" applyAlignment="1">
      <alignment horizontal="center" vertical="top" wrapText="1"/>
    </xf>
    <xf numFmtId="3" fontId="21" fillId="43" borderId="6" xfId="1192" applyNumberFormat="1" applyFill="1" applyBorder="1" applyAlignment="1" applyProtection="1">
      <alignment horizontal="right"/>
      <protection locked="0"/>
    </xf>
    <xf numFmtId="0" fontId="145" fillId="0" borderId="0" xfId="1192" applyFont="1" applyAlignment="1">
      <alignment horizontal="center"/>
    </xf>
    <xf numFmtId="168" fontId="21" fillId="5" borderId="4" xfId="1192" applyNumberFormat="1" applyFill="1" applyBorder="1" applyAlignment="1" applyProtection="1">
      <alignment horizontal="center"/>
      <protection locked="0"/>
    </xf>
    <xf numFmtId="4" fontId="29" fillId="0" borderId="6" xfId="4495" applyNumberFormat="1" applyFont="1" applyBorder="1" applyAlignment="1">
      <alignment horizontal="center"/>
    </xf>
    <xf numFmtId="1" fontId="21" fillId="5" borderId="2" xfId="1192" applyNumberFormat="1" applyFill="1" applyBorder="1" applyAlignment="1" applyProtection="1">
      <alignment horizontal="center"/>
      <protection locked="0"/>
    </xf>
    <xf numFmtId="4" fontId="29" fillId="0" borderId="0" xfId="4495" applyNumberFormat="1" applyFont="1" applyAlignment="1">
      <alignment horizontal="center"/>
    </xf>
    <xf numFmtId="0" fontId="21" fillId="0" borderId="53" xfId="4495" applyFont="1" applyBorder="1" applyAlignment="1">
      <alignment horizontal="left" vertical="top" wrapText="1"/>
    </xf>
    <xf numFmtId="0" fontId="21" fillId="0" borderId="54" xfId="4495" applyFont="1" applyBorder="1" applyAlignment="1">
      <alignment horizontal="left" vertical="top" wrapText="1"/>
    </xf>
    <xf numFmtId="0" fontId="21" fillId="0" borderId="57" xfId="4495" applyFont="1" applyBorder="1" applyAlignment="1">
      <alignment horizontal="left" vertical="top" wrapText="1"/>
    </xf>
    <xf numFmtId="0" fontId="21" fillId="0" borderId="58" xfId="4495" applyFont="1" applyBorder="1" applyAlignment="1">
      <alignment horizontal="left" vertical="top" wrapText="1"/>
    </xf>
    <xf numFmtId="168" fontId="21" fillId="0" borderId="6" xfId="4496" applyNumberFormat="1" applyFont="1" applyBorder="1" applyAlignment="1">
      <alignment horizontal="center"/>
    </xf>
    <xf numFmtId="168" fontId="21" fillId="0" borderId="4" xfId="4496" applyNumberFormat="1" applyFont="1" applyBorder="1" applyAlignment="1">
      <alignment horizontal="center"/>
    </xf>
    <xf numFmtId="9" fontId="21" fillId="0" borderId="4" xfId="4496" applyNumberFormat="1" applyFont="1" applyBorder="1" applyAlignment="1">
      <alignment horizontal="center"/>
    </xf>
    <xf numFmtId="0" fontId="21" fillId="0" borderId="4" xfId="4495" applyFont="1" applyBorder="1" applyAlignment="1">
      <alignment horizontal="center"/>
    </xf>
    <xf numFmtId="0" fontId="29" fillId="0" borderId="51" xfId="4495" applyFont="1" applyBorder="1" applyAlignment="1">
      <alignment horizontal="left" vertical="top" wrapText="1"/>
    </xf>
    <xf numFmtId="0" fontId="29" fillId="0" borderId="0" xfId="4495" applyFont="1" applyAlignment="1">
      <alignment horizontal="left" vertical="top" wrapText="1"/>
    </xf>
    <xf numFmtId="0" fontId="29" fillId="0" borderId="58" xfId="4495" applyFont="1" applyBorder="1" applyAlignment="1">
      <alignment horizontal="left" vertical="top" wrapText="1"/>
    </xf>
    <xf numFmtId="168" fontId="21" fillId="43" borderId="6" xfId="1192" applyNumberFormat="1" applyFill="1" applyBorder="1" applyAlignment="1" applyProtection="1">
      <alignment horizontal="right"/>
      <protection locked="0"/>
    </xf>
    <xf numFmtId="0" fontId="29" fillId="5" borderId="58" xfId="4495" applyFont="1" applyFill="1" applyBorder="1" applyAlignment="1">
      <alignment horizontal="left"/>
    </xf>
    <xf numFmtId="0" fontId="57" fillId="0" borderId="51" xfId="4495" applyFont="1" applyBorder="1" applyAlignment="1">
      <alignment horizontal="left" vertical="top" wrapText="1"/>
    </xf>
    <xf numFmtId="0" fontId="57" fillId="0" borderId="0" xfId="4495" applyFont="1" applyAlignment="1">
      <alignment horizontal="left" vertical="top" wrapText="1"/>
    </xf>
    <xf numFmtId="9" fontId="29" fillId="5" borderId="58" xfId="4495" applyNumberFormat="1" applyFont="1" applyFill="1" applyBorder="1" applyAlignment="1">
      <alignment horizontal="left"/>
    </xf>
    <xf numFmtId="9" fontId="29" fillId="5" borderId="6" xfId="4495" applyNumberFormat="1" applyFont="1" applyFill="1" applyBorder="1" applyAlignment="1">
      <alignment horizontal="left"/>
    </xf>
    <xf numFmtId="0" fontId="29" fillId="5" borderId="6" xfId="4495" applyFont="1" applyFill="1" applyBorder="1" applyAlignment="1">
      <alignment horizontal="left"/>
    </xf>
    <xf numFmtId="0" fontId="28" fillId="0" borderId="0" xfId="4495" applyFont="1" applyAlignment="1">
      <alignment horizontal="right"/>
    </xf>
    <xf numFmtId="0" fontId="57" fillId="0" borderId="51" xfId="4495" applyFont="1" applyBorder="1" applyAlignment="1">
      <alignment horizontal="left" wrapText="1"/>
    </xf>
    <xf numFmtId="0" fontId="57" fillId="0" borderId="0" xfId="4495" applyFont="1" applyAlignment="1">
      <alignment horizontal="left" wrapText="1"/>
    </xf>
    <xf numFmtId="0" fontId="21" fillId="0" borderId="50" xfId="4495" applyFont="1" applyBorder="1" applyAlignment="1">
      <alignment horizontal="left" vertical="center" wrapText="1"/>
    </xf>
    <xf numFmtId="0" fontId="21" fillId="0" borderId="51" xfId="4495" applyFont="1" applyBorder="1" applyAlignment="1">
      <alignment horizontal="left" vertical="center" wrapText="1"/>
    </xf>
    <xf numFmtId="0" fontId="21" fillId="0" borderId="52" xfId="4495" applyFont="1" applyBorder="1" applyAlignment="1">
      <alignment horizontal="left" vertical="center" wrapText="1"/>
    </xf>
    <xf numFmtId="0" fontId="21" fillId="0" borderId="53" xfId="4495" applyFont="1" applyBorder="1" applyAlignment="1">
      <alignment horizontal="left" vertical="center" wrapText="1"/>
    </xf>
    <xf numFmtId="0" fontId="21" fillId="0" borderId="0" xfId="4495" applyFont="1" applyAlignment="1">
      <alignment horizontal="left" vertical="center" wrapText="1"/>
    </xf>
    <xf numFmtId="0" fontId="21" fillId="0" borderId="54" xfId="4495" applyFont="1" applyBorder="1" applyAlignment="1">
      <alignment horizontal="left" vertical="center" wrapText="1"/>
    </xf>
    <xf numFmtId="10" fontId="29" fillId="0" borderId="2" xfId="4495" applyNumberFormat="1" applyFont="1" applyBorder="1" applyAlignment="1">
      <alignment horizontal="center"/>
    </xf>
    <xf numFmtId="0" fontId="29" fillId="0" borderId="0" xfId="4495" applyFont="1" applyAlignment="1">
      <alignment horizontal="center"/>
    </xf>
    <xf numFmtId="0" fontId="133" fillId="0" borderId="0" xfId="4495" applyFont="1" applyAlignment="1">
      <alignment horizontal="left" vertical="top" wrapText="1"/>
    </xf>
    <xf numFmtId="0" fontId="37" fillId="42" borderId="2" xfId="4495" applyFont="1" applyFill="1" applyBorder="1" applyAlignment="1">
      <alignment horizontal="center"/>
    </xf>
    <xf numFmtId="0" fontId="37" fillId="42" borderId="6" xfId="4495" applyFont="1" applyFill="1" applyBorder="1" applyAlignment="1">
      <alignment horizontal="center"/>
    </xf>
    <xf numFmtId="0" fontId="28" fillId="0" borderId="11" xfId="4495" applyFont="1" applyBorder="1" applyAlignment="1">
      <alignment horizontal="center"/>
    </xf>
    <xf numFmtId="0" fontId="124" fillId="5" borderId="55" xfId="4495" applyFill="1" applyBorder="1" applyAlignment="1" applyProtection="1">
      <alignment horizontal="center"/>
      <protection locked="0"/>
    </xf>
    <xf numFmtId="0" fontId="28" fillId="0" borderId="0" xfId="4495" applyFont="1" applyAlignment="1">
      <alignment horizontal="center"/>
    </xf>
    <xf numFmtId="0" fontId="28" fillId="0" borderId="54" xfId="4495" applyFont="1" applyBorder="1" applyAlignment="1">
      <alignment horizontal="center"/>
    </xf>
    <xf numFmtId="0" fontId="28" fillId="0" borderId="51" xfId="4495" applyFont="1" applyBorder="1" applyAlignment="1">
      <alignment horizontal="center" vertical="top"/>
    </xf>
    <xf numFmtId="0" fontId="28" fillId="0" borderId="52" xfId="4495" applyFont="1" applyBorder="1" applyAlignment="1">
      <alignment horizontal="center" vertical="top"/>
    </xf>
    <xf numFmtId="0" fontId="21" fillId="0" borderId="6" xfId="1192" applyBorder="1" applyAlignment="1">
      <alignment horizontal="right"/>
    </xf>
    <xf numFmtId="9" fontId="21" fillId="5" borderId="4" xfId="1192" applyNumberFormat="1" applyFill="1" applyBorder="1" applyAlignment="1" applyProtection="1">
      <alignment horizontal="left"/>
      <protection locked="0"/>
    </xf>
    <xf numFmtId="0" fontId="28" fillId="0" borderId="54" xfId="4495" applyFont="1" applyBorder="1" applyAlignment="1">
      <alignment horizontal="center" vertical="top"/>
    </xf>
    <xf numFmtId="0" fontId="124" fillId="0" borderId="53" xfId="4495" applyBorder="1" applyAlignment="1">
      <alignment horizontal="center"/>
    </xf>
    <xf numFmtId="0" fontId="29" fillId="5" borderId="0" xfId="4495" applyFont="1" applyFill="1" applyAlignment="1">
      <alignment horizontal="left" vertical="top"/>
    </xf>
    <xf numFmtId="0" fontId="124" fillId="5" borderId="53" xfId="4495" applyFill="1" applyBorder="1" applyAlignment="1">
      <alignment horizontal="center"/>
    </xf>
    <xf numFmtId="0" fontId="124" fillId="5" borderId="0" xfId="4495" applyFill="1" applyAlignment="1">
      <alignment horizontal="center"/>
    </xf>
    <xf numFmtId="0" fontId="124" fillId="5" borderId="55" xfId="4495" applyFill="1" applyBorder="1" applyAlignment="1">
      <alignment horizontal="center"/>
    </xf>
    <xf numFmtId="0" fontId="124" fillId="5" borderId="6" xfId="4495" applyFill="1" applyBorder="1" applyAlignment="1">
      <alignment horizontal="center"/>
    </xf>
    <xf numFmtId="0" fontId="29" fillId="5" borderId="0" xfId="4495" applyFont="1" applyFill="1" applyAlignment="1">
      <alignment horizontal="left" vertical="top" wrapText="1"/>
    </xf>
    <xf numFmtId="0" fontId="29" fillId="5" borderId="58" xfId="4495" applyFont="1" applyFill="1" applyBorder="1" applyAlignment="1">
      <alignment horizontal="left" vertical="top" wrapText="1"/>
    </xf>
    <xf numFmtId="0" fontId="28" fillId="0" borderId="4" xfId="4495" applyFont="1" applyBorder="1" applyAlignment="1">
      <alignment horizontal="left"/>
    </xf>
    <xf numFmtId="0" fontId="28" fillId="0" borderId="5" xfId="4495" applyFont="1" applyBorder="1" applyAlignment="1">
      <alignment horizontal="left"/>
    </xf>
    <xf numFmtId="1" fontId="28" fillId="0" borderId="11" xfId="4495" applyNumberFormat="1" applyFont="1" applyBorder="1" applyAlignment="1">
      <alignment horizontal="center"/>
    </xf>
    <xf numFmtId="0" fontId="28" fillId="0" borderId="3" xfId="4495" applyFont="1" applyBorder="1" applyAlignment="1">
      <alignment horizontal="center" wrapText="1"/>
    </xf>
    <xf numFmtId="0" fontId="28" fillId="0" borderId="4" xfId="4495" applyFont="1" applyBorder="1" applyAlignment="1">
      <alignment horizontal="center" wrapText="1"/>
    </xf>
    <xf numFmtId="0" fontId="28" fillId="0" borderId="5" xfId="4495" applyFont="1" applyBorder="1" applyAlignment="1">
      <alignment horizontal="center" wrapText="1"/>
    </xf>
    <xf numFmtId="0" fontId="21" fillId="0" borderId="4" xfId="4495" applyFont="1" applyBorder="1" applyAlignment="1">
      <alignment horizontal="left"/>
    </xf>
    <xf numFmtId="0" fontId="21" fillId="0" borderId="5" xfId="4495" applyFont="1" applyBorder="1" applyAlignment="1">
      <alignment horizontal="left"/>
    </xf>
    <xf numFmtId="1" fontId="21" fillId="0" borderId="11" xfId="4495" applyNumberFormat="1" applyFont="1" applyBorder="1" applyAlignment="1">
      <alignment horizontal="center"/>
    </xf>
    <xf numFmtId="0" fontId="21" fillId="0" borderId="11" xfId="4495" applyFont="1" applyBorder="1" applyAlignment="1">
      <alignment horizontal="center"/>
    </xf>
    <xf numFmtId="1" fontId="21" fillId="46" borderId="11" xfId="4495" applyNumberFormat="1" applyFont="1" applyFill="1" applyBorder="1" applyAlignment="1">
      <alignment horizontal="center"/>
    </xf>
    <xf numFmtId="0" fontId="28" fillId="0" borderId="3" xfId="4495" applyFont="1" applyBorder="1" applyAlignment="1">
      <alignment horizontal="center"/>
    </xf>
    <xf numFmtId="0" fontId="28" fillId="0" borderId="4" xfId="4495" applyFont="1" applyBorder="1" applyAlignment="1">
      <alignment horizontal="center"/>
    </xf>
    <xf numFmtId="0" fontId="28" fillId="0" borderId="5" xfId="4495" applyFont="1" applyBorder="1" applyAlignment="1">
      <alignment horizontal="center"/>
    </xf>
    <xf numFmtId="0" fontId="21" fillId="5" borderId="11" xfId="4495" applyFont="1" applyFill="1" applyBorder="1" applyAlignment="1" applyProtection="1">
      <alignment horizontal="center"/>
      <protection locked="0"/>
    </xf>
    <xf numFmtId="164" fontId="68" fillId="0" borderId="1" xfId="4495" applyNumberFormat="1" applyFont="1" applyBorder="1" applyAlignment="1">
      <alignment horizontal="right" vertical="center"/>
    </xf>
    <xf numFmtId="164" fontId="68" fillId="0" borderId="2" xfId="4495" applyNumberFormat="1" applyFont="1" applyBorder="1" applyAlignment="1">
      <alignment horizontal="right" vertical="center"/>
    </xf>
    <xf numFmtId="164" fontId="68" fillId="0" borderId="7" xfId="4495" applyNumberFormat="1" applyFont="1" applyBorder="1" applyAlignment="1">
      <alignment horizontal="right" vertical="center"/>
    </xf>
    <xf numFmtId="164" fontId="68" fillId="0" borderId="9" xfId="4495" applyNumberFormat="1" applyFont="1" applyBorder="1" applyAlignment="1">
      <alignment horizontal="right" vertical="center"/>
    </xf>
    <xf numFmtId="164" fontId="68" fillId="0" borderId="6" xfId="4495" applyNumberFormat="1" applyFont="1" applyBorder="1" applyAlignment="1">
      <alignment horizontal="right" vertical="center"/>
    </xf>
    <xf numFmtId="164" fontId="68" fillId="0" borderId="10" xfId="4495" applyNumberFormat="1" applyFont="1" applyBorder="1" applyAlignment="1">
      <alignment horizontal="right" vertical="center"/>
    </xf>
    <xf numFmtId="180" fontId="68" fillId="0" borderId="1" xfId="4495" applyNumberFormat="1" applyFont="1" applyBorder="1" applyAlignment="1">
      <alignment horizontal="center" vertical="center"/>
    </xf>
    <xf numFmtId="180" fontId="68" fillId="0" borderId="2" xfId="4495" applyNumberFormat="1" applyFont="1" applyBorder="1" applyAlignment="1">
      <alignment horizontal="center" vertical="center"/>
    </xf>
    <xf numFmtId="180" fontId="68" fillId="0" borderId="7" xfId="4495" applyNumberFormat="1" applyFont="1" applyBorder="1" applyAlignment="1">
      <alignment horizontal="center" vertical="center"/>
    </xf>
    <xf numFmtId="180" fontId="68" fillId="0" borderId="9" xfId="4495" applyNumberFormat="1" applyFont="1" applyBorder="1" applyAlignment="1">
      <alignment horizontal="center" vertical="center"/>
    </xf>
    <xf numFmtId="180" fontId="68" fillId="0" borderId="6" xfId="4495" applyNumberFormat="1" applyFont="1" applyBorder="1" applyAlignment="1">
      <alignment horizontal="center" vertical="center"/>
    </xf>
    <xf numFmtId="180" fontId="68" fillId="0" borderId="10" xfId="4495" applyNumberFormat="1" applyFont="1" applyBorder="1" applyAlignment="1">
      <alignment horizontal="center" vertical="center"/>
    </xf>
    <xf numFmtId="1" fontId="28" fillId="0" borderId="4" xfId="4495" applyNumberFormat="1" applyFont="1" applyBorder="1" applyAlignment="1">
      <alignment horizontal="center" wrapText="1"/>
    </xf>
    <xf numFmtId="0" fontId="21" fillId="0" borderId="50" xfId="4496" applyFont="1" applyBorder="1" applyAlignment="1">
      <alignment horizontal="left" wrapText="1"/>
    </xf>
    <xf numFmtId="0" fontId="21" fillId="0" borderId="51" xfId="4496" applyFont="1" applyBorder="1" applyAlignment="1">
      <alignment horizontal="left" wrapText="1"/>
    </xf>
    <xf numFmtId="0" fontId="21" fillId="0" borderId="52" xfId="4496" applyFont="1" applyBorder="1" applyAlignment="1">
      <alignment horizontal="left" wrapText="1"/>
    </xf>
    <xf numFmtId="0" fontId="21" fillId="0" borderId="53" xfId="4496" applyFont="1" applyBorder="1" applyAlignment="1">
      <alignment horizontal="left" wrapText="1"/>
    </xf>
    <xf numFmtId="0" fontId="21" fillId="0" borderId="0" xfId="4496" applyFont="1" applyAlignment="1">
      <alignment horizontal="left" wrapText="1"/>
    </xf>
    <xf numFmtId="0" fontId="21" fillId="0" borderId="54" xfId="4496" applyFont="1" applyBorder="1" applyAlignment="1">
      <alignment horizontal="left" wrapText="1"/>
    </xf>
    <xf numFmtId="0" fontId="21" fillId="0" borderId="57" xfId="4496" applyFont="1" applyBorder="1" applyAlignment="1">
      <alignment horizontal="left" wrapText="1"/>
    </xf>
    <xf numFmtId="0" fontId="21" fillId="0" borderId="58" xfId="4496" applyFont="1" applyBorder="1" applyAlignment="1">
      <alignment horizontal="left" wrapText="1"/>
    </xf>
    <xf numFmtId="0" fontId="21" fillId="0" borderId="59" xfId="4496" applyFont="1" applyBorder="1" applyAlignment="1">
      <alignment horizontal="left" wrapText="1"/>
    </xf>
    <xf numFmtId="1" fontId="21" fillId="0" borderId="4" xfId="4496" applyNumberFormat="1" applyFont="1" applyBorder="1" applyAlignment="1">
      <alignment horizontal="center"/>
    </xf>
    <xf numFmtId="1" fontId="21" fillId="0" borderId="5" xfId="4496" applyNumberFormat="1" applyFont="1" applyBorder="1" applyAlignment="1">
      <alignment horizontal="center"/>
    </xf>
    <xf numFmtId="49" fontId="27" fillId="3" borderId="2" xfId="4495" applyNumberFormat="1" applyFont="1" applyFill="1" applyBorder="1" applyAlignment="1">
      <alignment horizontal="center" vertical="center" wrapText="1"/>
    </xf>
    <xf numFmtId="49" fontId="27" fillId="3" borderId="2" xfId="4495" applyNumberFormat="1" applyFont="1" applyFill="1" applyBorder="1" applyAlignment="1">
      <alignment horizontal="center" vertical="center"/>
    </xf>
    <xf numFmtId="49" fontId="27" fillId="3" borderId="0" xfId="4495" applyNumberFormat="1" applyFont="1" applyFill="1" applyAlignment="1">
      <alignment horizontal="center" vertical="center"/>
    </xf>
    <xf numFmtId="0" fontId="28" fillId="0" borderId="1" xfId="4495" applyFont="1" applyBorder="1" applyAlignment="1">
      <alignment horizontal="center" wrapText="1"/>
    </xf>
    <xf numFmtId="0" fontId="28" fillId="0" borderId="2" xfId="4495" applyFont="1" applyBorder="1" applyAlignment="1">
      <alignment horizontal="center" wrapText="1"/>
    </xf>
    <xf numFmtId="0" fontId="28" fillId="0" borderId="7" xfId="4495" applyFont="1" applyBorder="1" applyAlignment="1">
      <alignment horizontal="center" wrapText="1"/>
    </xf>
    <xf numFmtId="0" fontId="28" fillId="0" borderId="9" xfId="4495" applyFont="1" applyBorder="1" applyAlignment="1">
      <alignment horizontal="center" wrapText="1"/>
    </xf>
    <xf numFmtId="0" fontId="28" fillId="0" borderId="6" xfId="4495" applyFont="1" applyBorder="1" applyAlignment="1">
      <alignment horizontal="center" wrapText="1"/>
    </xf>
    <xf numFmtId="0" fontId="28" fillId="0" borderId="10" xfId="4495" applyFont="1" applyBorder="1" applyAlignment="1">
      <alignment horizontal="center" wrapText="1"/>
    </xf>
    <xf numFmtId="0" fontId="21" fillId="45" borderId="11" xfId="4495" applyFont="1" applyFill="1" applyBorder="1" applyAlignment="1">
      <alignment horizontal="center"/>
    </xf>
    <xf numFmtId="0" fontId="133" fillId="0" borderId="0" xfId="4495" applyFont="1" applyAlignment="1">
      <alignment horizontal="left" vertical="center" wrapText="1"/>
    </xf>
    <xf numFmtId="0" fontId="28" fillId="0" borderId="0" xfId="4495" applyFont="1" applyAlignment="1">
      <alignment horizontal="left" vertical="top" wrapText="1"/>
    </xf>
    <xf numFmtId="0" fontId="21" fillId="0" borderId="0" xfId="4495" applyFont="1" applyAlignment="1">
      <alignment horizontal="left" vertical="top" wrapText="1" shrinkToFit="1"/>
    </xf>
    <xf numFmtId="44" fontId="21" fillId="0" borderId="0" xfId="707" applyFont="1" applyFill="1" applyBorder="1" applyAlignment="1" applyProtection="1">
      <alignment horizontal="left" vertical="top" wrapText="1"/>
    </xf>
    <xf numFmtId="0" fontId="21" fillId="0" borderId="0" xfId="4495" applyFont="1" applyAlignment="1">
      <alignment horizontal="left" vertical="center" wrapText="1" shrinkToFit="1"/>
    </xf>
    <xf numFmtId="0" fontId="21" fillId="5" borderId="6" xfId="4495" applyFont="1" applyFill="1" applyBorder="1" applyAlignment="1" applyProtection="1">
      <alignment horizontal="left" wrapText="1" shrinkToFit="1"/>
      <protection locked="0"/>
    </xf>
    <xf numFmtId="0" fontId="21" fillId="43" borderId="6" xfId="1192" applyFill="1" applyBorder="1" applyAlignment="1" applyProtection="1">
      <alignment horizontal="left" vertical="top"/>
      <protection locked="0"/>
    </xf>
    <xf numFmtId="0" fontId="160"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21" fillId="43" borderId="53" xfId="4495" applyFont="1" applyFill="1" applyBorder="1" applyAlignment="1" applyProtection="1">
      <alignment vertical="top" wrapText="1"/>
      <protection locked="0"/>
    </xf>
    <xf numFmtId="0" fontId="21" fillId="43" borderId="0" xfId="4495" applyFont="1" applyFill="1" applyAlignment="1" applyProtection="1">
      <alignment vertical="top" wrapText="1"/>
      <protection locked="0"/>
    </xf>
    <xf numFmtId="0" fontId="21" fillId="43" borderId="54" xfId="4495" applyFont="1" applyFill="1" applyBorder="1" applyAlignment="1" applyProtection="1">
      <alignment vertical="top" wrapText="1"/>
      <protection locked="0"/>
    </xf>
    <xf numFmtId="0" fontId="21" fillId="43" borderId="55" xfId="4495" applyFont="1" applyFill="1" applyBorder="1" applyAlignment="1" applyProtection="1">
      <alignment vertical="top" wrapText="1"/>
      <protection locked="0"/>
    </xf>
    <xf numFmtId="0" fontId="21" fillId="43" borderId="6" xfId="4495" applyFont="1" applyFill="1" applyBorder="1" applyAlignment="1" applyProtection="1">
      <alignment vertical="top" wrapText="1"/>
      <protection locked="0"/>
    </xf>
    <xf numFmtId="0" fontId="21" fillId="43" borderId="56" xfId="4495" applyFont="1" applyFill="1" applyBorder="1" applyAlignment="1" applyProtection="1">
      <alignment vertical="top" wrapText="1"/>
      <protection locked="0"/>
    </xf>
    <xf numFmtId="0" fontId="21" fillId="43" borderId="0" xfId="4495" applyFont="1" applyFill="1" applyAlignment="1" applyProtection="1">
      <alignment horizontal="left" vertical="center" wrapText="1"/>
      <protection locked="0"/>
    </xf>
    <xf numFmtId="0" fontId="21" fillId="43" borderId="54" xfId="4495" applyFont="1" applyFill="1" applyBorder="1" applyAlignment="1" applyProtection="1">
      <alignment horizontal="left" vertical="center" wrapText="1"/>
      <protection locked="0"/>
    </xf>
    <xf numFmtId="0" fontId="21" fillId="43" borderId="6" xfId="4495" applyFont="1" applyFill="1" applyBorder="1" applyAlignment="1" applyProtection="1">
      <alignment horizontal="left" vertical="center" wrapText="1"/>
      <protection locked="0"/>
    </xf>
    <xf numFmtId="0" fontId="21" fillId="43" borderId="56" xfId="4495" applyFont="1" applyFill="1" applyBorder="1" applyAlignment="1" applyProtection="1">
      <alignment horizontal="left" vertical="center" wrapText="1"/>
      <protection locked="0"/>
    </xf>
    <xf numFmtId="0" fontId="124" fillId="5" borderId="62" xfId="4495" applyFill="1" applyBorder="1" applyAlignment="1" applyProtection="1">
      <alignment horizontal="center"/>
      <protection locked="0"/>
    </xf>
    <xf numFmtId="0" fontId="124" fillId="5" borderId="63" xfId="4495" applyFill="1" applyBorder="1" applyAlignment="1" applyProtection="1">
      <alignment horizontal="center"/>
      <protection locked="0"/>
    </xf>
    <xf numFmtId="0" fontId="126" fillId="0" borderId="50" xfId="4496" applyFont="1" applyBorder="1" applyAlignment="1">
      <alignment horizontal="left" wrapText="1"/>
    </xf>
    <xf numFmtId="0" fontId="126" fillId="0" borderId="51" xfId="4496" applyFont="1" applyBorder="1" applyAlignment="1">
      <alignment horizontal="left" wrapText="1"/>
    </xf>
    <xf numFmtId="0" fontId="126" fillId="0" borderId="52" xfId="4496" applyFont="1" applyBorder="1" applyAlignment="1">
      <alignment horizontal="left" wrapText="1"/>
    </xf>
    <xf numFmtId="0" fontId="126" fillId="0" borderId="57" xfId="4496" applyFont="1" applyBorder="1" applyAlignment="1">
      <alignment horizontal="left" wrapText="1"/>
    </xf>
    <xf numFmtId="0" fontId="126" fillId="0" borderId="58" xfId="4496" applyFont="1" applyBorder="1" applyAlignment="1">
      <alignment horizontal="left" wrapText="1"/>
    </xf>
    <xf numFmtId="0" fontId="126" fillId="0" borderId="59" xfId="4496" applyFont="1" applyBorder="1" applyAlignment="1">
      <alignment horizontal="left" wrapText="1"/>
    </xf>
    <xf numFmtId="0" fontId="21" fillId="5" borderId="6" xfId="1192" applyFill="1" applyBorder="1" applyAlignment="1" applyProtection="1">
      <alignment horizontal="left"/>
      <protection locked="0"/>
    </xf>
    <xf numFmtId="165" fontId="21" fillId="0" borderId="0" xfId="1192" applyNumberFormat="1" applyAlignment="1">
      <alignment horizontal="right"/>
    </xf>
    <xf numFmtId="0" fontId="21" fillId="0" borderId="59" xfId="4495" applyFont="1" applyBorder="1" applyAlignment="1">
      <alignment horizontal="left" vertical="top" wrapText="1"/>
    </xf>
    <xf numFmtId="0" fontId="21" fillId="0" borderId="4" xfId="4496" applyFont="1" applyBorder="1" applyAlignment="1">
      <alignment horizontal="center"/>
    </xf>
    <xf numFmtId="0" fontId="21" fillId="0" borderId="5" xfId="4496" applyFont="1" applyBorder="1" applyAlignment="1">
      <alignment horizontal="center"/>
    </xf>
    <xf numFmtId="0" fontId="21" fillId="0" borderId="50" xfId="4495" applyFont="1" applyBorder="1" applyAlignment="1">
      <alignment horizontal="left" vertical="top" wrapText="1"/>
    </xf>
    <xf numFmtId="0" fontId="21" fillId="0" borderId="51" xfId="4495" applyFont="1" applyBorder="1" applyAlignment="1">
      <alignment horizontal="left" vertical="top" wrapText="1"/>
    </xf>
    <xf numFmtId="0" fontId="21" fillId="0" borderId="52" xfId="4495" applyFont="1" applyBorder="1" applyAlignment="1">
      <alignment horizontal="left" vertical="top" wrapText="1"/>
    </xf>
    <xf numFmtId="0" fontId="28" fillId="0" borderId="0" xfId="4495" applyFont="1"/>
    <xf numFmtId="0" fontId="21" fillId="0" borderId="6" xfId="1192" applyBorder="1" applyAlignment="1">
      <alignment horizontal="left"/>
    </xf>
    <xf numFmtId="2" fontId="21" fillId="0" borderId="0" xfId="1192" applyNumberFormat="1" applyAlignment="1">
      <alignment horizontal="right"/>
    </xf>
    <xf numFmtId="0" fontId="28" fillId="0" borderId="0" xfId="4495" applyFont="1" applyAlignment="1">
      <alignment horizontal="left" vertical="top"/>
    </xf>
    <xf numFmtId="0" fontId="124" fillId="0" borderId="0" xfId="4495" applyAlignment="1" applyProtection="1">
      <alignment horizontal="center"/>
      <protection locked="0"/>
    </xf>
    <xf numFmtId="9" fontId="21" fillId="0" borderId="4" xfId="543" applyNumberFormat="1" applyBorder="1" applyAlignment="1">
      <alignment horizontal="center"/>
    </xf>
    <xf numFmtId="168" fontId="21" fillId="0" borderId="6" xfId="4495" applyNumberFormat="1" applyFont="1" applyBorder="1" applyAlignment="1">
      <alignment horizontal="right"/>
    </xf>
    <xf numFmtId="168" fontId="122" fillId="0" borderId="6" xfId="4495" applyNumberFormat="1" applyFont="1" applyBorder="1" applyAlignment="1">
      <alignment horizontal="right"/>
    </xf>
    <xf numFmtId="168" fontId="21" fillId="43" borderId="6" xfId="4495" applyNumberFormat="1" applyFont="1" applyFill="1" applyBorder="1" applyAlignment="1" applyProtection="1">
      <alignment horizontal="right"/>
      <protection locked="0"/>
    </xf>
    <xf numFmtId="6" fontId="21" fillId="0" borderId="3" xfId="1192" applyNumberFormat="1" applyBorder="1" applyAlignment="1">
      <alignment horizontal="right"/>
    </xf>
    <xf numFmtId="6" fontId="21" fillId="0" borderId="4" xfId="1192" applyNumberFormat="1" applyBorder="1" applyAlignment="1">
      <alignment horizontal="right"/>
    </xf>
    <xf numFmtId="6" fontId="21" fillId="0" borderId="5" xfId="1192" applyNumberFormat="1" applyBorder="1" applyAlignment="1">
      <alignment horizontal="right"/>
    </xf>
    <xf numFmtId="168" fontId="21" fillId="0" borderId="4" xfId="4495" applyNumberFormat="1" applyFont="1" applyBorder="1" applyAlignment="1">
      <alignment horizontal="right"/>
    </xf>
    <xf numFmtId="165" fontId="21" fillId="43" borderId="3" xfId="4495" applyNumberFormat="1" applyFont="1" applyFill="1" applyBorder="1" applyAlignment="1" applyProtection="1">
      <alignment horizontal="center"/>
      <protection locked="0"/>
    </xf>
    <xf numFmtId="165" fontId="21" fillId="43" borderId="4" xfId="4495" applyNumberFormat="1" applyFont="1" applyFill="1" applyBorder="1" applyAlignment="1" applyProtection="1">
      <alignment horizontal="center"/>
      <protection locked="0"/>
    </xf>
    <xf numFmtId="165" fontId="21" fillId="43" borderId="5" xfId="4495" applyNumberFormat="1" applyFont="1" applyFill="1" applyBorder="1" applyAlignment="1" applyProtection="1">
      <alignment horizontal="center"/>
      <protection locked="0"/>
    </xf>
    <xf numFmtId="165" fontId="21" fillId="0" borderId="6" xfId="1192" applyNumberFormat="1" applyBorder="1" applyAlignment="1">
      <alignment horizontal="right"/>
    </xf>
    <xf numFmtId="168" fontId="21" fillId="0" borderId="2" xfId="1192" applyNumberFormat="1" applyBorder="1" applyAlignment="1">
      <alignment horizontal="right"/>
    </xf>
    <xf numFmtId="1" fontId="21" fillId="0" borderId="3" xfId="4495" applyNumberFormat="1" applyFont="1" applyBorder="1" applyAlignment="1">
      <alignment horizontal="center"/>
    </xf>
    <xf numFmtId="1" fontId="21" fillId="0" borderId="4" xfId="4495" applyNumberFormat="1" applyFont="1" applyBorder="1" applyAlignment="1">
      <alignment horizontal="center"/>
    </xf>
    <xf numFmtId="1" fontId="21" fillId="0" borderId="5" xfId="4495" applyNumberFormat="1" applyFont="1" applyBorder="1" applyAlignment="1">
      <alignment horizontal="center"/>
    </xf>
    <xf numFmtId="0" fontId="29" fillId="5" borderId="6" xfId="4495" applyFont="1" applyFill="1" applyBorder="1" applyAlignment="1" applyProtection="1">
      <alignment horizontal="left"/>
      <protection locked="0"/>
    </xf>
    <xf numFmtId="0" fontId="21" fillId="5" borderId="6" xfId="4495" applyFont="1" applyFill="1" applyBorder="1" applyAlignment="1" applyProtection="1">
      <alignment horizontal="left"/>
      <protection locked="0"/>
    </xf>
    <xf numFmtId="0" fontId="57" fillId="5" borderId="6" xfId="4495" applyFont="1" applyFill="1" applyBorder="1" applyAlignment="1" applyProtection="1">
      <alignment horizontal="left"/>
      <protection locked="0"/>
    </xf>
    <xf numFmtId="0" fontId="21" fillId="44" borderId="6" xfId="4495" applyFont="1" applyFill="1" applyBorder="1" applyAlignment="1">
      <alignment horizontal="left"/>
    </xf>
    <xf numFmtId="0" fontId="21" fillId="0" borderId="0" xfId="1192" applyAlignment="1">
      <alignment horizontal="right"/>
    </xf>
    <xf numFmtId="0" fontId="126" fillId="5" borderId="6" xfId="4496" applyFont="1" applyFill="1" applyBorder="1" applyAlignment="1" applyProtection="1">
      <alignment horizontal="center"/>
      <protection locked="0"/>
    </xf>
    <xf numFmtId="0" fontId="126" fillId="0" borderId="50" xfId="4496" applyFont="1" applyBorder="1" applyAlignment="1">
      <alignment horizontal="left" vertical="top" wrapText="1"/>
    </xf>
    <xf numFmtId="0" fontId="126" fillId="0" borderId="51" xfId="4496" applyFont="1" applyBorder="1" applyAlignment="1">
      <alignment horizontal="left" vertical="top" wrapText="1"/>
    </xf>
    <xf numFmtId="0" fontId="126" fillId="0" borderId="52" xfId="4496" applyFont="1" applyBorder="1" applyAlignment="1">
      <alignment horizontal="left" vertical="top" wrapText="1"/>
    </xf>
    <xf numFmtId="0" fontId="126" fillId="0" borderId="53" xfId="4496" applyFont="1" applyBorder="1" applyAlignment="1">
      <alignment horizontal="left" vertical="top" wrapText="1"/>
    </xf>
    <xf numFmtId="0" fontId="126" fillId="0" borderId="0" xfId="4496" applyFont="1" applyAlignment="1">
      <alignment horizontal="left" vertical="top" wrapText="1"/>
    </xf>
    <xf numFmtId="0" fontId="126" fillId="0" borderId="54" xfId="4496" applyFont="1" applyBorder="1" applyAlignment="1">
      <alignment horizontal="left" vertical="top" wrapText="1"/>
    </xf>
    <xf numFmtId="9" fontId="21" fillId="0" borderId="6" xfId="1192" applyNumberFormat="1" applyBorder="1" applyAlignment="1">
      <alignment horizontal="center"/>
    </xf>
    <xf numFmtId="9" fontId="21" fillId="0" borderId="6" xfId="1192" quotePrefix="1" applyNumberFormat="1" applyBorder="1" applyAlignment="1">
      <alignment horizontal="center"/>
    </xf>
    <xf numFmtId="9" fontId="21" fillId="0" borderId="0" xfId="1192" quotePrefix="1" applyNumberFormat="1" applyAlignment="1">
      <alignment horizontal="center"/>
    </xf>
    <xf numFmtId="1" fontId="21" fillId="5" borderId="4" xfId="1192" applyNumberFormat="1" applyFill="1" applyBorder="1" applyAlignment="1" applyProtection="1">
      <alignment horizontal="center"/>
      <protection locked="0"/>
    </xf>
    <xf numFmtId="1" fontId="126" fillId="0" borderId="55" xfId="4496" applyNumberFormat="1" applyFont="1" applyBorder="1" applyAlignment="1">
      <alignment horizontal="center" vertical="top" wrapText="1"/>
    </xf>
    <xf numFmtId="1" fontId="126" fillId="0" borderId="6" xfId="4496" applyNumberFormat="1" applyFont="1" applyBorder="1" applyAlignment="1">
      <alignment horizontal="center" vertical="top" wrapText="1"/>
    </xf>
    <xf numFmtId="165" fontId="126" fillId="0" borderId="55" xfId="4496" applyNumberFormat="1" applyFont="1" applyBorder="1" applyAlignment="1">
      <alignment horizontal="center" vertical="top" wrapText="1"/>
    </xf>
    <xf numFmtId="165" fontId="126" fillId="0" borderId="6" xfId="4496" applyNumberFormat="1" applyFont="1" applyBorder="1" applyAlignment="1">
      <alignment horizontal="center" vertical="top" wrapText="1"/>
    </xf>
    <xf numFmtId="168" fontId="126" fillId="43" borderId="55" xfId="4496" applyNumberFormat="1" applyFont="1" applyFill="1" applyBorder="1" applyAlignment="1" applyProtection="1">
      <alignment horizontal="center" vertical="top" wrapText="1"/>
      <protection locked="0"/>
    </xf>
    <xf numFmtId="168" fontId="126" fillId="43" borderId="6" xfId="4496" applyNumberFormat="1" applyFont="1" applyFill="1" applyBorder="1" applyAlignment="1" applyProtection="1">
      <alignment horizontal="center" vertical="top" wrapText="1"/>
      <protection locked="0"/>
    </xf>
    <xf numFmtId="0" fontId="21" fillId="0" borderId="57" xfId="4495" applyFont="1" applyBorder="1" applyAlignment="1">
      <alignment horizontal="left" vertical="center" wrapText="1"/>
    </xf>
    <xf numFmtId="0" fontId="21" fillId="0" borderId="58" xfId="4495" applyFont="1" applyBorder="1" applyAlignment="1">
      <alignment horizontal="left" vertical="center" wrapText="1"/>
    </xf>
    <xf numFmtId="0" fontId="21" fillId="0" borderId="59" xfId="4495" applyFont="1" applyBorder="1" applyAlignment="1">
      <alignment horizontal="left" vertical="center" wrapText="1"/>
    </xf>
    <xf numFmtId="10" fontId="126" fillId="0" borderId="3" xfId="4496" applyNumberFormat="1" applyFont="1" applyBorder="1" applyAlignment="1">
      <alignment horizontal="center" vertical="top" wrapText="1"/>
    </xf>
    <xf numFmtId="10" fontId="126" fillId="0" borderId="4" xfId="4496" applyNumberFormat="1" applyFont="1" applyBorder="1" applyAlignment="1">
      <alignment horizontal="center" vertical="top" wrapText="1"/>
    </xf>
    <xf numFmtId="10" fontId="126" fillId="0" borderId="5" xfId="4496" applyNumberFormat="1" applyFont="1" applyBorder="1" applyAlignment="1">
      <alignment horizontal="center" vertical="top" wrapText="1"/>
    </xf>
    <xf numFmtId="168" fontId="126" fillId="0" borderId="6" xfId="4496" applyNumberFormat="1" applyFont="1" applyBorder="1" applyAlignment="1">
      <alignment horizontal="center" vertical="top"/>
    </xf>
    <xf numFmtId="0" fontId="126" fillId="0" borderId="55" xfId="4496" applyFont="1" applyBorder="1" applyAlignment="1">
      <alignment horizontal="center" vertical="top" wrapText="1"/>
    </xf>
    <xf numFmtId="0" fontId="126" fillId="0" borderId="6" xfId="4496" applyFont="1" applyBorder="1" applyAlignment="1">
      <alignment horizontal="center" vertical="top" wrapText="1"/>
    </xf>
    <xf numFmtId="0" fontId="21" fillId="0" borderId="47" xfId="4495" applyFont="1" applyBorder="1" applyAlignment="1">
      <alignment horizontal="left" vertical="center" wrapText="1"/>
    </xf>
    <xf numFmtId="0" fontId="21" fillId="0" borderId="48" xfId="4495" applyFont="1" applyBorder="1" applyAlignment="1">
      <alignment horizontal="left" vertical="center" wrapText="1"/>
    </xf>
    <xf numFmtId="0" fontId="21" fillId="0" borderId="49" xfId="4495" applyFont="1" applyBorder="1" applyAlignment="1">
      <alignment horizontal="left" vertical="center" wrapText="1"/>
    </xf>
    <xf numFmtId="0" fontId="27" fillId="3" borderId="2" xfId="4495" applyFont="1" applyFill="1" applyBorder="1" applyAlignment="1">
      <alignment horizontal="center" vertical="center"/>
    </xf>
    <xf numFmtId="0" fontId="27" fillId="3" borderId="16" xfId="4495" applyFont="1" applyFill="1" applyBorder="1" applyAlignment="1">
      <alignment horizontal="center" vertical="center"/>
    </xf>
    <xf numFmtId="0" fontId="28" fillId="0" borderId="48" xfId="4495" applyFont="1" applyBorder="1" applyAlignment="1">
      <alignment horizontal="left" vertical="top"/>
    </xf>
    <xf numFmtId="0" fontId="28" fillId="0" borderId="49" xfId="4495" applyFont="1" applyBorder="1" applyAlignment="1">
      <alignment horizontal="left" vertical="top"/>
    </xf>
    <xf numFmtId="0" fontId="21" fillId="0" borderId="50" xfId="4495" applyFont="1" applyBorder="1" applyAlignment="1">
      <alignment vertical="center" wrapText="1"/>
    </xf>
    <xf numFmtId="0" fontId="21" fillId="0" borderId="51" xfId="4495" applyFont="1" applyBorder="1" applyAlignment="1">
      <alignment vertical="center" wrapText="1"/>
    </xf>
    <xf numFmtId="0" fontId="21" fillId="0" borderId="52" xfId="4495" applyFont="1" applyBorder="1" applyAlignment="1">
      <alignment vertical="center" wrapText="1"/>
    </xf>
    <xf numFmtId="0" fontId="21" fillId="0" borderId="53" xfId="4495" applyFont="1" applyBorder="1" applyAlignment="1">
      <alignment vertical="center" wrapText="1"/>
    </xf>
    <xf numFmtId="0" fontId="21" fillId="0" borderId="0" xfId="4495" applyFont="1" applyAlignment="1">
      <alignment vertical="center" wrapText="1"/>
    </xf>
    <xf numFmtId="0" fontId="21" fillId="0" borderId="54" xfId="4495" applyFont="1" applyBorder="1" applyAlignment="1">
      <alignment vertical="center" wrapText="1"/>
    </xf>
    <xf numFmtId="0" fontId="21" fillId="0" borderId="57" xfId="4495" applyFont="1" applyBorder="1" applyAlignment="1">
      <alignment vertical="center" wrapText="1"/>
    </xf>
    <xf numFmtId="0" fontId="21" fillId="0" borderId="58" xfId="4495" applyFont="1" applyBorder="1" applyAlignment="1">
      <alignment vertical="center" wrapText="1"/>
    </xf>
    <xf numFmtId="0" fontId="21" fillId="0" borderId="59" xfId="4495" applyFont="1" applyBorder="1" applyAlignment="1">
      <alignment vertical="center" wrapText="1"/>
    </xf>
    <xf numFmtId="0" fontId="126" fillId="0" borderId="57" xfId="4496" applyFont="1" applyBorder="1" applyAlignment="1">
      <alignment horizontal="left" vertical="top" wrapText="1"/>
    </xf>
    <xf numFmtId="0" fontId="126" fillId="0" borderId="58" xfId="4496" applyFont="1" applyBorder="1" applyAlignment="1">
      <alignment horizontal="left" vertical="top" wrapText="1"/>
    </xf>
    <xf numFmtId="0" fontId="126" fillId="0" borderId="59" xfId="4496" applyFont="1" applyBorder="1" applyAlignment="1">
      <alignment horizontal="left" vertical="top" wrapText="1"/>
    </xf>
    <xf numFmtId="165" fontId="126" fillId="0" borderId="60" xfId="4496" applyNumberFormat="1" applyFont="1" applyBorder="1" applyAlignment="1">
      <alignment horizontal="center" vertical="top" wrapText="1"/>
    </xf>
    <xf numFmtId="0" fontId="126" fillId="5" borderId="60" xfId="4496" applyFont="1" applyFill="1" applyBorder="1" applyAlignment="1" applyProtection="1">
      <alignment horizontal="center"/>
      <protection locked="0"/>
    </xf>
    <xf numFmtId="0" fontId="126" fillId="5" borderId="4" xfId="4496" applyFont="1" applyFill="1" applyBorder="1" applyAlignment="1" applyProtection="1">
      <alignment horizontal="center"/>
      <protection locked="0"/>
    </xf>
    <xf numFmtId="0" fontId="126" fillId="5" borderId="55" xfId="4496" applyFont="1" applyFill="1" applyBorder="1" applyAlignment="1" applyProtection="1">
      <alignment horizontal="center"/>
      <protection locked="0"/>
    </xf>
    <xf numFmtId="168" fontId="126" fillId="0" borderId="55" xfId="4496" applyNumberFormat="1" applyFont="1" applyBorder="1" applyAlignment="1">
      <alignment horizontal="center" vertical="top"/>
    </xf>
    <xf numFmtId="0" fontId="102" fillId="0" borderId="3" xfId="4496" applyFont="1" applyBorder="1" applyAlignment="1">
      <alignment horizontal="left" indent="2"/>
    </xf>
    <xf numFmtId="0" fontId="102" fillId="0" borderId="4" xfId="4496" applyFont="1" applyBorder="1" applyAlignment="1">
      <alignment horizontal="left" indent="2"/>
    </xf>
    <xf numFmtId="0" fontId="102" fillId="0" borderId="5" xfId="4496" applyFont="1" applyBorder="1" applyAlignment="1">
      <alignment horizontal="left" indent="2"/>
    </xf>
    <xf numFmtId="9" fontId="140" fillId="45" borderId="3" xfId="4499" applyFont="1" applyFill="1" applyBorder="1" applyAlignment="1" applyProtection="1">
      <alignment horizontal="center" vertical="center"/>
    </xf>
    <xf numFmtId="9" fontId="140" fillId="45" borderId="4" xfId="4499" applyFont="1" applyFill="1" applyBorder="1" applyAlignment="1" applyProtection="1">
      <alignment horizontal="center" vertical="center"/>
    </xf>
    <xf numFmtId="9" fontId="140" fillId="45" borderId="5" xfId="4499" applyFont="1" applyFill="1" applyBorder="1" applyAlignment="1" applyProtection="1">
      <alignment horizontal="center" vertical="center"/>
    </xf>
    <xf numFmtId="0" fontId="102" fillId="0" borderId="0" xfId="4496" applyFont="1" applyAlignment="1">
      <alignment wrapText="1"/>
    </xf>
    <xf numFmtId="49" fontId="102" fillId="45" borderId="15" xfId="4496" applyNumberFormat="1" applyFont="1" applyFill="1" applyBorder="1" applyAlignment="1">
      <alignment horizontal="center" vertical="center" wrapText="1"/>
    </xf>
    <xf numFmtId="49" fontId="102" fillId="45" borderId="13" xfId="4496" applyNumberFormat="1" applyFont="1" applyFill="1" applyBorder="1" applyAlignment="1">
      <alignment horizontal="center" vertical="center" wrapText="1"/>
    </xf>
    <xf numFmtId="0" fontId="140" fillId="0" borderId="75" xfId="4496" applyFont="1" applyBorder="1" applyAlignment="1">
      <alignment horizontal="center" vertical="top" wrapText="1"/>
    </xf>
    <xf numFmtId="0" fontId="140" fillId="0" borderId="74" xfId="4496" applyFont="1" applyBorder="1" applyAlignment="1">
      <alignment horizontal="center" vertical="top" wrapText="1"/>
    </xf>
    <xf numFmtId="0" fontId="102" fillId="0" borderId="0" xfId="4496" applyFont="1" applyAlignment="1">
      <alignment horizontal="left" wrapText="1"/>
    </xf>
    <xf numFmtId="0" fontId="102" fillId="0" borderId="0" xfId="4496" applyFont="1" applyAlignment="1">
      <alignment horizontal="center" vertical="center" wrapText="1"/>
    </xf>
    <xf numFmtId="0" fontId="102" fillId="43" borderId="0" xfId="4496" applyFont="1" applyFill="1" applyAlignment="1" applyProtection="1">
      <alignment horizontal="left" vertical="top" wrapText="1"/>
      <protection locked="0"/>
    </xf>
    <xf numFmtId="0" fontId="102" fillId="43" borderId="6" xfId="4496" applyFont="1" applyFill="1" applyBorder="1" applyAlignment="1" applyProtection="1">
      <alignment horizontal="left" vertical="top" wrapText="1"/>
      <protection locked="0"/>
    </xf>
    <xf numFmtId="0" fontId="102" fillId="0" borderId="0" xfId="4496" applyFont="1" applyAlignment="1">
      <alignment horizontal="left" wrapText="1" indent="1"/>
    </xf>
    <xf numFmtId="168" fontId="102" fillId="0" borderId="11" xfId="4499" applyNumberFormat="1" applyFont="1" applyFill="1" applyBorder="1" applyAlignment="1" applyProtection="1">
      <alignment horizontal="left" vertical="center" indent="1"/>
    </xf>
    <xf numFmtId="0" fontId="140" fillId="0" borderId="68" xfId="4496" applyFont="1" applyBorder="1" applyAlignment="1">
      <alignment horizontal="left" indent="1"/>
    </xf>
    <xf numFmtId="168" fontId="102" fillId="0" borderId="70" xfId="4499" applyNumberFormat="1" applyFont="1" applyFill="1" applyBorder="1" applyAlignment="1" applyProtection="1">
      <alignment horizontal="left" vertical="center" indent="1"/>
    </xf>
    <xf numFmtId="49" fontId="139" fillId="3" borderId="0" xfId="1192" applyNumberFormat="1" applyFont="1" applyFill="1" applyAlignment="1">
      <alignment horizontal="center" vertical="center"/>
    </xf>
    <xf numFmtId="0" fontId="102" fillId="0" borderId="11" xfId="4496" applyFont="1" applyBorder="1" applyAlignment="1">
      <alignment horizontal="left" indent="1"/>
    </xf>
    <xf numFmtId="0" fontId="102" fillId="0" borderId="11" xfId="4496" applyFont="1" applyBorder="1" applyAlignment="1">
      <alignment horizontal="left" indent="2"/>
    </xf>
    <xf numFmtId="0" fontId="140" fillId="45" borderId="3" xfId="4496" applyFont="1" applyFill="1" applyBorder="1" applyAlignment="1">
      <alignment horizontal="center" vertical="center"/>
    </xf>
    <xf numFmtId="0" fontId="140" fillId="45" borderId="4" xfId="4496" applyFont="1" applyFill="1" applyBorder="1" applyAlignment="1">
      <alignment horizontal="center" vertical="center"/>
    </xf>
    <xf numFmtId="0" fontId="140" fillId="45" borderId="5" xfId="4496" applyFont="1" applyFill="1" applyBorder="1" applyAlignment="1">
      <alignment horizontal="center" vertical="center"/>
    </xf>
    <xf numFmtId="168" fontId="102" fillId="0" borderId="13" xfId="4499" applyNumberFormat="1" applyFont="1" applyFill="1" applyBorder="1" applyAlignment="1" applyProtection="1">
      <alignment horizontal="left" vertical="center" indent="1"/>
    </xf>
    <xf numFmtId="0" fontId="102" fillId="0" borderId="3" xfId="4496" applyFont="1" applyBorder="1" applyAlignment="1">
      <alignment horizontal="left" indent="1"/>
    </xf>
    <xf numFmtId="0" fontId="102" fillId="0" borderId="4" xfId="4496" applyFont="1" applyBorder="1" applyAlignment="1">
      <alignment horizontal="left" indent="1"/>
    </xf>
    <xf numFmtId="0" fontId="102" fillId="0" borderId="5" xfId="4496" applyFont="1" applyBorder="1" applyAlignment="1">
      <alignment horizontal="left" indent="1"/>
    </xf>
    <xf numFmtId="0" fontId="102" fillId="0" borderId="3" xfId="4496" applyFont="1" applyBorder="1"/>
    <xf numFmtId="0" fontId="102" fillId="0" borderId="81" xfId="4496" applyFont="1" applyBorder="1"/>
    <xf numFmtId="0" fontId="102" fillId="0" borderId="94" xfId="4496" applyFont="1" applyBorder="1"/>
    <xf numFmtId="0" fontId="102" fillId="0" borderId="85" xfId="4496" applyFont="1" applyBorder="1"/>
    <xf numFmtId="0" fontId="102" fillId="0" borderId="93" xfId="4496" applyFont="1" applyBorder="1" applyAlignment="1">
      <alignment horizontal="right"/>
    </xf>
    <xf numFmtId="0" fontId="102" fillId="0" borderId="74" xfId="4496" applyFont="1" applyBorder="1" applyAlignment="1">
      <alignment horizontal="right"/>
    </xf>
    <xf numFmtId="0" fontId="102" fillId="0" borderId="75" xfId="4496" applyFont="1" applyBorder="1"/>
    <xf numFmtId="0" fontId="102" fillId="0" borderId="91" xfId="4496" applyFont="1" applyBorder="1"/>
    <xf numFmtId="0" fontId="102" fillId="0" borderId="90" xfId="4496" applyFont="1" applyBorder="1" applyAlignment="1">
      <alignment horizontal="right"/>
    </xf>
    <xf numFmtId="0" fontId="102" fillId="0" borderId="5" xfId="4496" applyFont="1" applyBorder="1" applyAlignment="1">
      <alignment horizontal="right"/>
    </xf>
    <xf numFmtId="0" fontId="102" fillId="0" borderId="69" xfId="4496" applyFont="1" applyBorder="1" applyAlignment="1">
      <alignment horizontal="right"/>
    </xf>
    <xf numFmtId="0" fontId="102" fillId="0" borderId="70" xfId="4496" applyFont="1" applyBorder="1" applyAlignment="1">
      <alignment horizontal="right"/>
    </xf>
    <xf numFmtId="0" fontId="26" fillId="0" borderId="6" xfId="271" applyFont="1" applyBorder="1" applyAlignment="1">
      <alignment horizontal="center"/>
    </xf>
    <xf numFmtId="0" fontId="26" fillId="0" borderId="0" xfId="0" applyFont="1" applyAlignment="1" applyProtection="1">
      <alignment wrapText="1"/>
      <protection locked="0"/>
    </xf>
    <xf numFmtId="3" fontId="21" fillId="0" borderId="0" xfId="0" applyNumberFormat="1" applyFont="1" applyAlignment="1">
      <alignment horizontal="left" vertical="top" wrapText="1"/>
    </xf>
    <xf numFmtId="3" fontId="30" fillId="0" borderId="0" xfId="0" applyNumberFormat="1" applyFont="1" applyAlignment="1">
      <alignment horizontal="left" vertical="top" wrapText="1"/>
    </xf>
    <xf numFmtId="0" fontId="21" fillId="43" borderId="0" xfId="0" applyFont="1" applyFill="1" applyAlignment="1">
      <alignment horizontal="left"/>
    </xf>
  </cellXfs>
  <cellStyles count="34954">
    <cellStyle name="20% - Accent1" xfId="1" builtinId="30" customBuiltin="1"/>
    <cellStyle name="20% - Accent1 10" xfId="4504" xr:uid="{00000000-0005-0000-0000-000001000000}"/>
    <cellStyle name="20% - Accent1 10 2" xfId="13830" xr:uid="{58191311-E62F-482A-8DE4-699A197D5AC6}"/>
    <cellStyle name="20% - Accent1 10 3" xfId="22277" xr:uid="{38017FAB-C1BF-4777-9CA5-3A30E1112D26}"/>
    <cellStyle name="20% - Accent1 10 4" xfId="30724" xr:uid="{4BA7B19E-A44F-4FA8-9132-7E8A0888046C}"/>
    <cellStyle name="20% - Accent1 11" xfId="8758" xr:uid="{2F735C8D-70CB-4E84-A95A-4445894745BC}"/>
    <cellStyle name="20% - Accent1 12" xfId="9613" xr:uid="{A92187D4-64C3-472A-A3CF-811ACEAEFDFD}"/>
    <cellStyle name="20% - Accent1 13" xfId="18060" xr:uid="{37829E73-42F5-45B7-93F7-BF8E767F5FCB}"/>
    <cellStyle name="20% - Accent1 14" xfId="26507" xr:uid="{FD2CFF93-7C4E-45AB-AA80-BF60969E6A63}"/>
    <cellStyle name="20% - Accent1 2" xfId="2" xr:uid="{00000000-0005-0000-0000-000002000000}"/>
    <cellStyle name="20% - Accent1 2 10" xfId="8797" xr:uid="{7F4BEAE6-CC35-4B07-89BD-8FC5D6B3D35B}"/>
    <cellStyle name="20% - Accent1 2 11" xfId="9614" xr:uid="{A1A45F9F-AAD8-44BE-967F-DBED9463B3DB}"/>
    <cellStyle name="20% - Accent1 2 12" xfId="18061" xr:uid="{7A5956BE-F27B-417D-A575-C37B07F57F18}"/>
    <cellStyle name="20% - Accent1 2 13" xfId="26508" xr:uid="{CE3CA937-6FE5-411E-A3E1-1436464A74EE}"/>
    <cellStyle name="20% - Accent1 2 2" xfId="3" xr:uid="{00000000-0005-0000-0000-000003000000}"/>
    <cellStyle name="20% - Accent1 2 2 10" xfId="9615" xr:uid="{41036038-21A8-4B14-BCDC-913249038097}"/>
    <cellStyle name="20% - Accent1 2 2 11" xfId="18062" xr:uid="{2213982F-765E-464A-A87F-0D42A8156731}"/>
    <cellStyle name="20% - Accent1 2 2 12" xfId="26509" xr:uid="{DF93F675-F091-4FFD-A5A3-65E6EA7F4CC5}"/>
    <cellStyle name="20% - Accent1 2 2 2" xfId="4" xr:uid="{00000000-0005-0000-0000-000004000000}"/>
    <cellStyle name="20% - Accent1 2 2 2 10" xfId="18063" xr:uid="{D40B3528-42B2-461A-8585-344D1234FE46}"/>
    <cellStyle name="20% - Accent1 2 2 2 11" xfId="26510" xr:uid="{F2391238-11D2-4A8D-A743-74E76573238B}"/>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16392" xr:uid="{09397C8B-CCC3-48FD-AACF-F53214C9FB67}"/>
    <cellStyle name="20% - Accent1 2 2 2 2 2 2 3" xfId="24839" xr:uid="{48641E47-FF43-4A61-87A5-934190DACA36}"/>
    <cellStyle name="20% - Accent1 2 2 2 2 2 2 4" xfId="33286" xr:uid="{C50965C1-2B42-4D3E-B1FE-BA89B249B7F9}"/>
    <cellStyle name="20% - Accent1 2 2 2 2 2 3" xfId="12175" xr:uid="{39CB079A-4D40-4F48-8C2E-0C7185DEC81E}"/>
    <cellStyle name="20% - Accent1 2 2 2 2 2 4" xfId="20622" xr:uid="{456601C4-A820-4E08-8235-C90838D6BEBE}"/>
    <cellStyle name="20% - Accent1 2 2 2 2 2 5" xfId="29069" xr:uid="{A3032586-C8E9-4D28-BE09-CAF0CC365D81}"/>
    <cellStyle name="20% - Accent1 2 2 2 2 3" xfId="4921" xr:uid="{00000000-0005-0000-0000-000008000000}"/>
    <cellStyle name="20% - Accent1 2 2 2 2 3 2" xfId="14247" xr:uid="{DFCB52D0-5AF2-4B9C-95F5-E11A3E92EA2C}"/>
    <cellStyle name="20% - Accent1 2 2 2 2 3 3" xfId="22694" xr:uid="{63C3E679-FC1A-4ECE-935F-EA267554E19D}"/>
    <cellStyle name="20% - Accent1 2 2 2 2 3 4" xfId="31141" xr:uid="{0B6F5960-CEE9-4ADC-924B-7E39AFAC58A3}"/>
    <cellStyle name="20% - Accent1 2 2 2 2 4" xfId="9532" xr:uid="{D5FAB462-C5A9-4306-AA37-C118C84F9393}"/>
    <cellStyle name="20% - Accent1 2 2 2 2 5" xfId="10030" xr:uid="{2F5724D6-03DE-412E-8BB1-3F020BCDF2C8}"/>
    <cellStyle name="20% - Accent1 2 2 2 2 6" xfId="18477" xr:uid="{E0EF3F63-1D88-4B07-99F2-7A9A8D84E062}"/>
    <cellStyle name="20% - Accent1 2 2 2 2 7" xfId="26924" xr:uid="{1A85B3DF-0824-4C27-93D3-EA78D62A9B7E}"/>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16805" xr:uid="{033F48E9-AC96-4B4C-A1F9-9AC277E27185}"/>
    <cellStyle name="20% - Accent1 2 2 2 3 2 2 3" xfId="25252" xr:uid="{E5F305C9-BB9F-492F-BFD9-9DE4A3843C9F}"/>
    <cellStyle name="20% - Accent1 2 2 2 3 2 2 4" xfId="33699" xr:uid="{F6209098-CEE5-478D-8D9C-6729C85A06A9}"/>
    <cellStyle name="20% - Accent1 2 2 2 3 2 3" xfId="12588" xr:uid="{DB504C7F-C06C-45B7-896D-EB18D9BF8CF4}"/>
    <cellStyle name="20% - Accent1 2 2 2 3 2 4" xfId="21035" xr:uid="{7FB4A21F-D8B2-478B-8C8E-CC1BF61EADDC}"/>
    <cellStyle name="20% - Accent1 2 2 2 3 2 5" xfId="29482" xr:uid="{E052E88F-B0DF-47B7-86DB-7641F8C4FA9C}"/>
    <cellStyle name="20% - Accent1 2 2 2 3 3" xfId="5334" xr:uid="{00000000-0005-0000-0000-00000C000000}"/>
    <cellStyle name="20% - Accent1 2 2 2 3 3 2" xfId="14660" xr:uid="{2F7D88A7-C706-4670-8215-EE128C9B4E41}"/>
    <cellStyle name="20% - Accent1 2 2 2 3 3 3" xfId="23107" xr:uid="{676A83C2-92AC-479B-BE22-EFDD646B03BD}"/>
    <cellStyle name="20% - Accent1 2 2 2 3 3 4" xfId="31554" xr:uid="{160B01DF-BE36-4431-91E0-6ED965ED109D}"/>
    <cellStyle name="20% - Accent1 2 2 2 3 4" xfId="10443" xr:uid="{34BBB254-5402-4B59-B3BD-35215E921D06}"/>
    <cellStyle name="20% - Accent1 2 2 2 3 5" xfId="18890" xr:uid="{0C03BD91-1118-4CD7-915C-3ABFC100DE17}"/>
    <cellStyle name="20% - Accent1 2 2 2 3 6" xfId="27337" xr:uid="{A005AAD4-1A97-4C74-AC56-F4B71691CDDF}"/>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17218" xr:uid="{D29E4BE3-35B4-48C7-975B-C3C91F8CDDAF}"/>
    <cellStyle name="20% - Accent1 2 2 2 4 2 2 3" xfId="25665" xr:uid="{3D68A817-3F9C-4AF0-9413-382D1477855B}"/>
    <cellStyle name="20% - Accent1 2 2 2 4 2 2 4" xfId="34112" xr:uid="{1346C73A-C472-4568-90CC-ED70929CCA05}"/>
    <cellStyle name="20% - Accent1 2 2 2 4 2 3" xfId="13001" xr:uid="{00F9970E-14D5-447D-8B7D-96E80C2829D8}"/>
    <cellStyle name="20% - Accent1 2 2 2 4 2 4" xfId="21448" xr:uid="{4934177E-5A79-4725-A000-212B5E0C7135}"/>
    <cellStyle name="20% - Accent1 2 2 2 4 2 5" xfId="29895" xr:uid="{AA28D46D-5506-4161-9987-67BC038A5683}"/>
    <cellStyle name="20% - Accent1 2 2 2 4 3" xfId="5747" xr:uid="{00000000-0005-0000-0000-000010000000}"/>
    <cellStyle name="20% - Accent1 2 2 2 4 3 2" xfId="15073" xr:uid="{83C25952-F3E7-421B-8301-2FFBCBA584E5}"/>
    <cellStyle name="20% - Accent1 2 2 2 4 3 3" xfId="23520" xr:uid="{884F906A-3165-4BD0-9616-16CE2B943CBD}"/>
    <cellStyle name="20% - Accent1 2 2 2 4 3 4" xfId="31967" xr:uid="{BD607DD9-8E9E-46E6-8E54-469FDFCEABF4}"/>
    <cellStyle name="20% - Accent1 2 2 2 4 4" xfId="10856" xr:uid="{96E8E319-989D-4CB6-AFB0-458FD429E12B}"/>
    <cellStyle name="20% - Accent1 2 2 2 4 5" xfId="19303" xr:uid="{6DFC4C6C-3E18-4578-BED7-CD3395F8386C}"/>
    <cellStyle name="20% - Accent1 2 2 2 4 6" xfId="27750" xr:uid="{9468937B-8FFD-4A60-B885-0271F3FA0F43}"/>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17631" xr:uid="{A350DA11-B93A-41CF-8354-FD1BB1D3A4E6}"/>
    <cellStyle name="20% - Accent1 2 2 2 5 2 2 3" xfId="26078" xr:uid="{3CD71E4A-DEF6-4B14-9696-C1454E9A32D1}"/>
    <cellStyle name="20% - Accent1 2 2 2 5 2 2 4" xfId="34525" xr:uid="{80AE5A3C-BE39-4E1E-B1E1-DEC40EA749C5}"/>
    <cellStyle name="20% - Accent1 2 2 2 5 2 3" xfId="13414" xr:uid="{6367D087-C234-4E7A-8A02-BF738488459A}"/>
    <cellStyle name="20% - Accent1 2 2 2 5 2 4" xfId="21861" xr:uid="{FC470777-21F3-4A61-B589-233189847CA8}"/>
    <cellStyle name="20% - Accent1 2 2 2 5 2 5" xfId="30308" xr:uid="{20B5BA76-3AB6-45E0-B0D7-FD0C69A44EAC}"/>
    <cellStyle name="20% - Accent1 2 2 2 5 3" xfId="6160" xr:uid="{00000000-0005-0000-0000-000014000000}"/>
    <cellStyle name="20% - Accent1 2 2 2 5 3 2" xfId="15486" xr:uid="{C02FB541-E1D5-4399-98F8-3ABCA2EA9243}"/>
    <cellStyle name="20% - Accent1 2 2 2 5 3 3" xfId="23933" xr:uid="{39D39532-3D38-44AC-95EF-07A9A851700F}"/>
    <cellStyle name="20% - Accent1 2 2 2 5 3 4" xfId="32380" xr:uid="{34471CF4-F144-4172-B2BC-D0459480018D}"/>
    <cellStyle name="20% - Accent1 2 2 2 5 4" xfId="11269" xr:uid="{212335EE-6C61-4EAC-8144-DB6BBF5053B8}"/>
    <cellStyle name="20% - Accent1 2 2 2 5 5" xfId="19716" xr:uid="{9BD6B3A3-0506-4040-A20C-8E9C3AAFA2D3}"/>
    <cellStyle name="20% - Accent1 2 2 2 5 6" xfId="28163" xr:uid="{B1922E0E-63ED-4E59-A9DD-778E4CDD65FE}"/>
    <cellStyle name="20% - Accent1 2 2 2 6" xfId="2267" xr:uid="{00000000-0005-0000-0000-000015000000}"/>
    <cellStyle name="20% - Accent1 2 2 2 6 2" xfId="6573" xr:uid="{00000000-0005-0000-0000-000016000000}"/>
    <cellStyle name="20% - Accent1 2 2 2 6 2 2" xfId="15899" xr:uid="{5FA99476-BEC0-49AE-BD30-B73E29700130}"/>
    <cellStyle name="20% - Accent1 2 2 2 6 2 3" xfId="24346" xr:uid="{09B3D154-24ED-4060-A28F-8FE1C8DB45B9}"/>
    <cellStyle name="20% - Accent1 2 2 2 6 2 4" xfId="32793" xr:uid="{87ED0E2C-2458-407F-9356-8186D360410C}"/>
    <cellStyle name="20% - Accent1 2 2 2 6 3" xfId="11682" xr:uid="{08955C1A-347A-4763-9182-9AD229605450}"/>
    <cellStyle name="20% - Accent1 2 2 2 6 4" xfId="20129" xr:uid="{F5844183-9241-4745-BA10-2D4718C4527C}"/>
    <cellStyle name="20% - Accent1 2 2 2 6 5" xfId="28576" xr:uid="{25CA50AE-91B5-44E4-994E-5BAFDDC197DD}"/>
    <cellStyle name="20% - Accent1 2 2 2 7" xfId="4507" xr:uid="{00000000-0005-0000-0000-000017000000}"/>
    <cellStyle name="20% - Accent1 2 2 2 7 2" xfId="13833" xr:uid="{E0A51A09-1104-4FB7-8C7F-BE5835992264}"/>
    <cellStyle name="20% - Accent1 2 2 2 7 3" xfId="22280" xr:uid="{6A3E807A-96A7-4BF6-BEB6-0A4C90901419}"/>
    <cellStyle name="20% - Accent1 2 2 2 7 4" xfId="30727" xr:uid="{FF741127-0EE5-470C-A57B-0911079E3A5C}"/>
    <cellStyle name="20% - Accent1 2 2 2 8" xfId="9107" xr:uid="{4168D01E-823F-4E8F-9A1D-70697AC1F241}"/>
    <cellStyle name="20% - Accent1 2 2 2 9" xfId="9616" xr:uid="{E90867E2-971D-4DEF-ADAC-17966A953860}"/>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16391" xr:uid="{C4AF2F7C-FCBF-44A1-B17E-E0AF56725401}"/>
    <cellStyle name="20% - Accent1 2 2 3 2 2 3" xfId="24838" xr:uid="{A26AF8DC-3CD1-4850-97AC-F4128279CAAD}"/>
    <cellStyle name="20% - Accent1 2 2 3 2 2 4" xfId="33285" xr:uid="{93ADBDBA-F85B-49C3-BF8A-DABB2F8D42FE}"/>
    <cellStyle name="20% - Accent1 2 2 3 2 3" xfId="12174" xr:uid="{25D1D076-571B-48F4-91C4-67C701619C97}"/>
    <cellStyle name="20% - Accent1 2 2 3 2 4" xfId="20621" xr:uid="{1D13AF55-63A6-4F10-A7DE-5DDE3C44C3A7}"/>
    <cellStyle name="20% - Accent1 2 2 3 2 5" xfId="29068" xr:uid="{6E80BDD9-06C4-48D7-9F1F-0CB9BADAD9C4}"/>
    <cellStyle name="20% - Accent1 2 2 3 3" xfId="4920" xr:uid="{00000000-0005-0000-0000-00001B000000}"/>
    <cellStyle name="20% - Accent1 2 2 3 3 2" xfId="14246" xr:uid="{07311637-BFD2-4189-8707-AEFFE92D5CE4}"/>
    <cellStyle name="20% - Accent1 2 2 3 3 3" xfId="22693" xr:uid="{AC0FCFAE-565A-4548-BE76-A32FAB235B91}"/>
    <cellStyle name="20% - Accent1 2 2 3 3 4" xfId="31140" xr:uid="{FDE78FE0-BCDF-44EF-B8D0-72CC1B12FDD8}"/>
    <cellStyle name="20% - Accent1 2 2 3 4" xfId="9325" xr:uid="{DE19910B-698B-4F31-B25F-3533B35DDA95}"/>
    <cellStyle name="20% - Accent1 2 2 3 5" xfId="10029" xr:uid="{0DB52BB4-EDB9-4C9C-931E-EFDF2B68A95D}"/>
    <cellStyle name="20% - Accent1 2 2 3 6" xfId="18476" xr:uid="{39D6CAAE-D9B0-42C3-A26D-173238E1BD38}"/>
    <cellStyle name="20% - Accent1 2 2 3 7" xfId="26923" xr:uid="{17CC1B82-D423-4037-8BD4-7311A9EEA938}"/>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16804" xr:uid="{E3B52609-8CA0-496F-9346-C2932AE9FFD0}"/>
    <cellStyle name="20% - Accent1 2 2 4 2 2 3" xfId="25251" xr:uid="{1013A5BF-C055-48CB-9A4F-D6143AB8FAF4}"/>
    <cellStyle name="20% - Accent1 2 2 4 2 2 4" xfId="33698" xr:uid="{952A2FD9-7C57-42F1-BC2F-63BA16660F60}"/>
    <cellStyle name="20% - Accent1 2 2 4 2 3" xfId="12587" xr:uid="{CF744E6D-52A5-4ECB-8AE1-F883528BABAA}"/>
    <cellStyle name="20% - Accent1 2 2 4 2 4" xfId="21034" xr:uid="{266EE4A5-0182-48C4-A4A4-CE3CE0B33DF5}"/>
    <cellStyle name="20% - Accent1 2 2 4 2 5" xfId="29481" xr:uid="{8887A98D-1503-417A-8F84-9562B04CBE8D}"/>
    <cellStyle name="20% - Accent1 2 2 4 3" xfId="5333" xr:uid="{00000000-0005-0000-0000-00001F000000}"/>
    <cellStyle name="20% - Accent1 2 2 4 3 2" xfId="14659" xr:uid="{B70964C4-B41B-4CBE-A9A2-8FBA75B03F5D}"/>
    <cellStyle name="20% - Accent1 2 2 4 3 3" xfId="23106" xr:uid="{47D4E319-1A52-4EC8-80F4-151E9E2C9D5E}"/>
    <cellStyle name="20% - Accent1 2 2 4 3 4" xfId="31553" xr:uid="{38A7EDE4-3B14-492E-843E-011873B02BD6}"/>
    <cellStyle name="20% - Accent1 2 2 4 4" xfId="10442" xr:uid="{F2E4C47E-EC55-4E89-AED6-ADE0C46004B0}"/>
    <cellStyle name="20% - Accent1 2 2 4 5" xfId="18889" xr:uid="{7E9D5AE8-5667-4030-A1BE-4D8FAD1786A4}"/>
    <cellStyle name="20% - Accent1 2 2 4 6" xfId="27336" xr:uid="{F5FF8712-B659-4B3B-8AFE-A03031C7F646}"/>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17217" xr:uid="{10F2CDFE-45A0-4446-936A-9018CA468D0B}"/>
    <cellStyle name="20% - Accent1 2 2 5 2 2 3" xfId="25664" xr:uid="{171884E2-A3B7-4DC0-98B4-7F754928CE77}"/>
    <cellStyle name="20% - Accent1 2 2 5 2 2 4" xfId="34111" xr:uid="{A979084E-1612-4E57-8E08-F1872BACD8D6}"/>
    <cellStyle name="20% - Accent1 2 2 5 2 3" xfId="13000" xr:uid="{E2AA8A97-613A-432A-A0C9-06AD2E514595}"/>
    <cellStyle name="20% - Accent1 2 2 5 2 4" xfId="21447" xr:uid="{C107BCBE-D009-43BB-BA05-0224F525E964}"/>
    <cellStyle name="20% - Accent1 2 2 5 2 5" xfId="29894" xr:uid="{3444BA57-C70D-4173-8D5A-97AF208ACF4E}"/>
    <cellStyle name="20% - Accent1 2 2 5 3" xfId="5746" xr:uid="{00000000-0005-0000-0000-000023000000}"/>
    <cellStyle name="20% - Accent1 2 2 5 3 2" xfId="15072" xr:uid="{068F4C21-4684-43AD-A21C-EEC3F579634D}"/>
    <cellStyle name="20% - Accent1 2 2 5 3 3" xfId="23519" xr:uid="{AEDEC9C4-8728-44C4-A6DC-61CC17F8019F}"/>
    <cellStyle name="20% - Accent1 2 2 5 3 4" xfId="31966" xr:uid="{9CE308C0-69D1-4F91-8F37-6B2CF92161C2}"/>
    <cellStyle name="20% - Accent1 2 2 5 4" xfId="10855" xr:uid="{5F667A1D-A4FE-4099-B230-6C5A4F28AB6B}"/>
    <cellStyle name="20% - Accent1 2 2 5 5" xfId="19302" xr:uid="{DA9E9687-A12A-48E4-95BE-F62956FD11A5}"/>
    <cellStyle name="20% - Accent1 2 2 5 6" xfId="27749" xr:uid="{F0F6A405-081B-4159-95A5-20FF732CD4E8}"/>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17630" xr:uid="{15206BF2-B0CE-4EDA-BF91-5108F2BC8931}"/>
    <cellStyle name="20% - Accent1 2 2 6 2 2 3" xfId="26077" xr:uid="{D6F2B7D9-F5C6-44B9-9F10-C62D51882A2E}"/>
    <cellStyle name="20% - Accent1 2 2 6 2 2 4" xfId="34524" xr:uid="{BF9B31A8-E084-4462-9CE2-C51F0B86B742}"/>
    <cellStyle name="20% - Accent1 2 2 6 2 3" xfId="13413" xr:uid="{29580F1E-FE93-41BC-AA63-6A9B71708016}"/>
    <cellStyle name="20% - Accent1 2 2 6 2 4" xfId="21860" xr:uid="{E3A4837D-94DB-4A49-8759-F3A8CEB40D9A}"/>
    <cellStyle name="20% - Accent1 2 2 6 2 5" xfId="30307" xr:uid="{D6AF77B4-B3D9-4D9A-87C1-9ACDFBC44708}"/>
    <cellStyle name="20% - Accent1 2 2 6 3" xfId="6159" xr:uid="{00000000-0005-0000-0000-000027000000}"/>
    <cellStyle name="20% - Accent1 2 2 6 3 2" xfId="15485" xr:uid="{2202019A-1B93-462F-8D85-3E2C22F4A747}"/>
    <cellStyle name="20% - Accent1 2 2 6 3 3" xfId="23932" xr:uid="{E01DB26F-632C-47D6-83F0-EF0589CC59F8}"/>
    <cellStyle name="20% - Accent1 2 2 6 3 4" xfId="32379" xr:uid="{43F0A2F3-95CF-4DCB-9294-F3592665CD17}"/>
    <cellStyle name="20% - Accent1 2 2 6 4" xfId="11268" xr:uid="{AF2F7118-5A3A-4FAB-AA58-3049ADF6DBF7}"/>
    <cellStyle name="20% - Accent1 2 2 6 5" xfId="19715" xr:uid="{F0A4CF96-9D7E-4DDC-9005-F207DA37D1AD}"/>
    <cellStyle name="20% - Accent1 2 2 6 6" xfId="28162" xr:uid="{0D420791-0E5A-4749-9BBE-B73A799CE67D}"/>
    <cellStyle name="20% - Accent1 2 2 7" xfId="2266" xr:uid="{00000000-0005-0000-0000-000028000000}"/>
    <cellStyle name="20% - Accent1 2 2 7 2" xfId="6572" xr:uid="{00000000-0005-0000-0000-000029000000}"/>
    <cellStyle name="20% - Accent1 2 2 7 2 2" xfId="15898" xr:uid="{71541891-B65F-4FA1-B1EF-AB924043EA4A}"/>
    <cellStyle name="20% - Accent1 2 2 7 2 3" xfId="24345" xr:uid="{ED449A52-0A61-4A96-BE7E-4D4A833575BF}"/>
    <cellStyle name="20% - Accent1 2 2 7 2 4" xfId="32792" xr:uid="{4063ED85-44B4-4A1D-88A6-4A7757F46DD4}"/>
    <cellStyle name="20% - Accent1 2 2 7 3" xfId="11681" xr:uid="{17CE3B21-C2A3-4F1B-BA0E-60FC57298F1F}"/>
    <cellStyle name="20% - Accent1 2 2 7 4" xfId="20128" xr:uid="{B366ABEC-571D-4024-9BF1-C97869F1B534}"/>
    <cellStyle name="20% - Accent1 2 2 7 5" xfId="28575" xr:uid="{1F076A6A-02C1-4988-8777-F3616D4744AA}"/>
    <cellStyle name="20% - Accent1 2 2 8" xfId="4506" xr:uid="{00000000-0005-0000-0000-00002A000000}"/>
    <cellStyle name="20% - Accent1 2 2 8 2" xfId="13832" xr:uid="{1B0D7416-564F-499E-9539-1EB13F1039A2}"/>
    <cellStyle name="20% - Accent1 2 2 8 3" xfId="22279" xr:uid="{36392860-95E6-4040-9953-EFA85CB2F364}"/>
    <cellStyle name="20% - Accent1 2 2 8 4" xfId="30726" xr:uid="{DF55C396-E119-4143-A80E-A4C20CC19414}"/>
    <cellStyle name="20% - Accent1 2 2 9" xfId="8900" xr:uid="{7D7E3EAF-DF6A-403F-8C20-66BB9757790F}"/>
    <cellStyle name="20% - Accent1 2 3" xfId="5" xr:uid="{00000000-0005-0000-0000-00002B000000}"/>
    <cellStyle name="20% - Accent1 2 3 10" xfId="18064" xr:uid="{5EA311C9-1466-4F7F-934A-A121A53A2E40}"/>
    <cellStyle name="20% - Accent1 2 3 11" xfId="26511" xr:uid="{8B4BC21B-4220-4C9E-A3BE-B3869BD09A4E}"/>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16393" xr:uid="{F15F3146-130B-4D61-8B46-D548FE61118E}"/>
    <cellStyle name="20% - Accent1 2 3 2 2 2 3" xfId="24840" xr:uid="{0D08D166-2113-4284-B6D3-9918144F8AED}"/>
    <cellStyle name="20% - Accent1 2 3 2 2 2 4" xfId="33287" xr:uid="{4DA7484B-8F60-4FA7-8612-AF9BCEF699B2}"/>
    <cellStyle name="20% - Accent1 2 3 2 2 3" xfId="12176" xr:uid="{2F989291-C928-473B-A187-7BFB7F69ED53}"/>
    <cellStyle name="20% - Accent1 2 3 2 2 4" xfId="20623" xr:uid="{B0E7E6A0-32A1-4B31-B7A5-B84C32F807CC}"/>
    <cellStyle name="20% - Accent1 2 3 2 2 5" xfId="29070" xr:uid="{3D5B4C3F-9FA5-46F9-8983-FE35D24859DF}"/>
    <cellStyle name="20% - Accent1 2 3 2 3" xfId="4922" xr:uid="{00000000-0005-0000-0000-00002F000000}"/>
    <cellStyle name="20% - Accent1 2 3 2 3 2" xfId="14248" xr:uid="{231C55DE-D3D0-4899-BD10-0C80943ABB35}"/>
    <cellStyle name="20% - Accent1 2 3 2 3 3" xfId="22695" xr:uid="{8B79D15A-88FE-4458-83D8-FB6DE0181D3A}"/>
    <cellStyle name="20% - Accent1 2 3 2 3 4" xfId="31142" xr:uid="{076369DB-DFA2-46EB-A60B-8A4C2AB83321}"/>
    <cellStyle name="20% - Accent1 2 3 2 4" xfId="9429" xr:uid="{CCD4BD61-3143-497B-A316-8024A8762A6C}"/>
    <cellStyle name="20% - Accent1 2 3 2 5" xfId="10031" xr:uid="{9E9744CD-58D8-4151-83D7-2F5182A9D18E}"/>
    <cellStyle name="20% - Accent1 2 3 2 6" xfId="18478" xr:uid="{19F6D0D5-958F-4A9D-85B5-4C34289D1EFB}"/>
    <cellStyle name="20% - Accent1 2 3 2 7" xfId="26925" xr:uid="{7E2A39FE-89CF-4623-80BB-2CCD76490D60}"/>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16806" xr:uid="{CC991E96-C084-4B7A-99B1-6306E2222488}"/>
    <cellStyle name="20% - Accent1 2 3 3 2 2 3" xfId="25253" xr:uid="{C3C4518E-2517-45B0-AD25-67D3F3AB7BD1}"/>
    <cellStyle name="20% - Accent1 2 3 3 2 2 4" xfId="33700" xr:uid="{270237F2-AAAC-450D-AEA9-E451D298367B}"/>
    <cellStyle name="20% - Accent1 2 3 3 2 3" xfId="12589" xr:uid="{9BADE66C-F35F-4A6B-9CB9-7CDA6CE8C2E7}"/>
    <cellStyle name="20% - Accent1 2 3 3 2 4" xfId="21036" xr:uid="{82ABF565-C402-4631-A863-23A043757152}"/>
    <cellStyle name="20% - Accent1 2 3 3 2 5" xfId="29483" xr:uid="{8AB9C009-1105-466C-BB7E-4FE6EC1679EB}"/>
    <cellStyle name="20% - Accent1 2 3 3 3" xfId="5335" xr:uid="{00000000-0005-0000-0000-000033000000}"/>
    <cellStyle name="20% - Accent1 2 3 3 3 2" xfId="14661" xr:uid="{AA94ACE3-67AC-4D17-982D-68F8CF986ED5}"/>
    <cellStyle name="20% - Accent1 2 3 3 3 3" xfId="23108" xr:uid="{61DAF339-A918-4040-8983-A91E14D78ED4}"/>
    <cellStyle name="20% - Accent1 2 3 3 3 4" xfId="31555" xr:uid="{7DA74555-7F92-470A-B4C9-6B635903DD7D}"/>
    <cellStyle name="20% - Accent1 2 3 3 4" xfId="10444" xr:uid="{FCB8A052-8959-45CE-8976-31331F12942F}"/>
    <cellStyle name="20% - Accent1 2 3 3 5" xfId="18891" xr:uid="{AA82B22D-67FB-4DDB-8901-5DEC11E24FC7}"/>
    <cellStyle name="20% - Accent1 2 3 3 6" xfId="27338" xr:uid="{2DCA07D5-4779-47B3-84A8-502D576916A4}"/>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17219" xr:uid="{DE7B6543-49DD-4B68-9D46-D6B7867FBC12}"/>
    <cellStyle name="20% - Accent1 2 3 4 2 2 3" xfId="25666" xr:uid="{152817B8-D240-4621-A5C8-75EF01C3D985}"/>
    <cellStyle name="20% - Accent1 2 3 4 2 2 4" xfId="34113" xr:uid="{5EE6F0AB-0C7B-4BCE-9017-388CA6A46659}"/>
    <cellStyle name="20% - Accent1 2 3 4 2 3" xfId="13002" xr:uid="{B61E86A6-44C4-4940-90E7-E931FEC8135E}"/>
    <cellStyle name="20% - Accent1 2 3 4 2 4" xfId="21449" xr:uid="{283F1F1F-D11E-4091-A269-8B8B77DC191E}"/>
    <cellStyle name="20% - Accent1 2 3 4 2 5" xfId="29896" xr:uid="{ED698C91-6447-4EB3-B38F-3E0BCF840C62}"/>
    <cellStyle name="20% - Accent1 2 3 4 3" xfId="5748" xr:uid="{00000000-0005-0000-0000-000037000000}"/>
    <cellStyle name="20% - Accent1 2 3 4 3 2" xfId="15074" xr:uid="{C798A552-58D8-4F8A-A6A9-3340B5DAF305}"/>
    <cellStyle name="20% - Accent1 2 3 4 3 3" xfId="23521" xr:uid="{B8768817-1F3A-4CAD-B344-F68E6612FCC8}"/>
    <cellStyle name="20% - Accent1 2 3 4 3 4" xfId="31968" xr:uid="{8AE9D3B5-B98D-4EE7-884B-826D43493042}"/>
    <cellStyle name="20% - Accent1 2 3 4 4" xfId="10857" xr:uid="{86371274-9DBF-4791-94CA-C24AF28C48DB}"/>
    <cellStyle name="20% - Accent1 2 3 4 5" xfId="19304" xr:uid="{CB4A18AF-BDC1-47ED-8F84-B4B19BA85B83}"/>
    <cellStyle name="20% - Accent1 2 3 4 6" xfId="27751" xr:uid="{7FFF85FF-36A7-4A3E-A843-2C3D457A132F}"/>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17632" xr:uid="{F18EDF6B-6782-4D83-8558-5443C3C73F13}"/>
    <cellStyle name="20% - Accent1 2 3 5 2 2 3" xfId="26079" xr:uid="{168E744B-D16C-49F9-89AC-C68303515146}"/>
    <cellStyle name="20% - Accent1 2 3 5 2 2 4" xfId="34526" xr:uid="{CBF0B6A5-8A83-4C4A-975C-BEFE7B79299E}"/>
    <cellStyle name="20% - Accent1 2 3 5 2 3" xfId="13415" xr:uid="{699308A7-27BC-4B19-A3DD-0001FF1FB277}"/>
    <cellStyle name="20% - Accent1 2 3 5 2 4" xfId="21862" xr:uid="{61A73D44-FE24-4F6A-9520-F62F426B3CD2}"/>
    <cellStyle name="20% - Accent1 2 3 5 2 5" xfId="30309" xr:uid="{8ECA3EA0-1048-4E56-B52A-AA1744CCEF46}"/>
    <cellStyle name="20% - Accent1 2 3 5 3" xfId="6161" xr:uid="{00000000-0005-0000-0000-00003B000000}"/>
    <cellStyle name="20% - Accent1 2 3 5 3 2" xfId="15487" xr:uid="{94D2911A-430A-4543-9C39-94776088657E}"/>
    <cellStyle name="20% - Accent1 2 3 5 3 3" xfId="23934" xr:uid="{91DAABB2-9FAC-4A8D-9381-7135B00AEFCC}"/>
    <cellStyle name="20% - Accent1 2 3 5 3 4" xfId="32381" xr:uid="{93AF966C-6920-4AC7-8368-A662699CE2BB}"/>
    <cellStyle name="20% - Accent1 2 3 5 4" xfId="11270" xr:uid="{E06B7F8F-DB7F-4E00-A004-450C8450DE32}"/>
    <cellStyle name="20% - Accent1 2 3 5 5" xfId="19717" xr:uid="{5FD0CE1D-E6C6-4619-91D3-F262C440E90E}"/>
    <cellStyle name="20% - Accent1 2 3 5 6" xfId="28164" xr:uid="{366900EC-1E89-4097-9478-D00020FE1094}"/>
    <cellStyle name="20% - Accent1 2 3 6" xfId="2268" xr:uid="{00000000-0005-0000-0000-00003C000000}"/>
    <cellStyle name="20% - Accent1 2 3 6 2" xfId="6574" xr:uid="{00000000-0005-0000-0000-00003D000000}"/>
    <cellStyle name="20% - Accent1 2 3 6 2 2" xfId="15900" xr:uid="{15B9C7DF-052C-4332-8F9C-74F16831CA29}"/>
    <cellStyle name="20% - Accent1 2 3 6 2 3" xfId="24347" xr:uid="{C9E336B2-5BB7-47EA-92F7-7A2C7933BB53}"/>
    <cellStyle name="20% - Accent1 2 3 6 2 4" xfId="32794" xr:uid="{6F7BF2D8-C093-4ABB-9A49-C70D790D0962}"/>
    <cellStyle name="20% - Accent1 2 3 6 3" xfId="11683" xr:uid="{A07541EA-E34B-4448-A963-8BAA6A28B6E0}"/>
    <cellStyle name="20% - Accent1 2 3 6 4" xfId="20130" xr:uid="{38E90189-1380-4734-9A2F-6DE679E5D30D}"/>
    <cellStyle name="20% - Accent1 2 3 6 5" xfId="28577" xr:uid="{4C4B9262-BFCA-4BD8-BC6D-776BC189712C}"/>
    <cellStyle name="20% - Accent1 2 3 7" xfId="4508" xr:uid="{00000000-0005-0000-0000-00003E000000}"/>
    <cellStyle name="20% - Accent1 2 3 7 2" xfId="13834" xr:uid="{3167462F-1D4A-4AF7-8365-1118650CA12C}"/>
    <cellStyle name="20% - Accent1 2 3 7 3" xfId="22281" xr:uid="{2D0CB89F-0117-4063-B562-87823F8E4301}"/>
    <cellStyle name="20% - Accent1 2 3 7 4" xfId="30728" xr:uid="{34C9250A-E184-46F6-A328-E9DDB0DE0E4F}"/>
    <cellStyle name="20% - Accent1 2 3 8" xfId="9004" xr:uid="{14A9C135-BB7B-44DD-97E1-B6B10773DEE2}"/>
    <cellStyle name="20% - Accent1 2 3 9" xfId="9617" xr:uid="{812F31ED-0951-45C4-A9EA-0C398DB45B9B}"/>
    <cellStyle name="20% - Accent1 2 4" xfId="571" xr:uid="{00000000-0005-0000-0000-00003F000000}"/>
    <cellStyle name="20% - Accent1 2 4 2" xfId="2842" xr:uid="{00000000-0005-0000-0000-000040000000}"/>
    <cellStyle name="20% - Accent1 2 4 2 2" xfId="7064" xr:uid="{00000000-0005-0000-0000-000041000000}"/>
    <cellStyle name="20% - Accent1 2 4 2 2 2" xfId="16390" xr:uid="{52FD82D1-F29E-4C91-A8B4-80DBC9606D8B}"/>
    <cellStyle name="20% - Accent1 2 4 2 2 3" xfId="24837" xr:uid="{C36D9FC2-3591-482F-BD21-FA44A12DF01E}"/>
    <cellStyle name="20% - Accent1 2 4 2 2 4" xfId="33284" xr:uid="{CF7F01DE-6A06-45BD-AE60-9D9A9B3D9AA4}"/>
    <cellStyle name="20% - Accent1 2 4 2 3" xfId="12173" xr:uid="{FBC8F9B4-E054-4053-9DEF-01A9018B0FA6}"/>
    <cellStyle name="20% - Accent1 2 4 2 4" xfId="20620" xr:uid="{506F3976-D4B8-4BA8-823D-0AD3B8E2277C}"/>
    <cellStyle name="20% - Accent1 2 4 2 5" xfId="29067" xr:uid="{5D3C0530-17E7-4F19-BE85-C1CB114957B2}"/>
    <cellStyle name="20% - Accent1 2 4 3" xfId="4919" xr:uid="{00000000-0005-0000-0000-000042000000}"/>
    <cellStyle name="20% - Accent1 2 4 3 2" xfId="14245" xr:uid="{07DE802E-CAED-4957-8965-E7033D864142}"/>
    <cellStyle name="20% - Accent1 2 4 3 3" xfId="22692" xr:uid="{586C9F5A-77C9-43D5-8690-EECC4CDD7FB7}"/>
    <cellStyle name="20% - Accent1 2 4 3 4" xfId="31139" xr:uid="{FE956B26-F944-48A2-BB38-5ED20825E4D6}"/>
    <cellStyle name="20% - Accent1 2 4 4" xfId="9221" xr:uid="{11532E3F-E59C-4FF7-9F45-291A17A69435}"/>
    <cellStyle name="20% - Accent1 2 4 5" xfId="10028" xr:uid="{FBBE84A6-DFE8-4C8A-896C-11BB732B994A}"/>
    <cellStyle name="20% - Accent1 2 4 6" xfId="18475" xr:uid="{2BEF4D5B-D896-4BC2-AD0B-1E58DEFD2A0E}"/>
    <cellStyle name="20% - Accent1 2 4 7" xfId="26922" xr:uid="{5680D647-CE31-4CF3-B897-7CB7B7DCFAFF}"/>
    <cellStyle name="20% - Accent1 2 5" xfId="1024" xr:uid="{00000000-0005-0000-0000-000043000000}"/>
    <cellStyle name="20% - Accent1 2 5 2" xfId="3255" xr:uid="{00000000-0005-0000-0000-000044000000}"/>
    <cellStyle name="20% - Accent1 2 5 2 2" xfId="7477" xr:uid="{00000000-0005-0000-0000-000045000000}"/>
    <cellStyle name="20% - Accent1 2 5 2 2 2" xfId="16803" xr:uid="{83BB0494-53C8-48AC-AA32-F235682BF3CF}"/>
    <cellStyle name="20% - Accent1 2 5 2 2 3" xfId="25250" xr:uid="{9BB13F7B-69DC-42BB-9709-5F182FABFEFB}"/>
    <cellStyle name="20% - Accent1 2 5 2 2 4" xfId="33697" xr:uid="{2D8A0775-12F3-4842-9032-92DB617AA16A}"/>
    <cellStyle name="20% - Accent1 2 5 2 3" xfId="12586" xr:uid="{2C07F67E-6C66-46B9-B3BB-674FE447EAD1}"/>
    <cellStyle name="20% - Accent1 2 5 2 4" xfId="21033" xr:uid="{9629295B-7FBD-4D65-BD57-0CC320404C75}"/>
    <cellStyle name="20% - Accent1 2 5 2 5" xfId="29480" xr:uid="{B27A4F95-64CC-4D02-B6A3-B78C74D9D5CB}"/>
    <cellStyle name="20% - Accent1 2 5 3" xfId="5332" xr:uid="{00000000-0005-0000-0000-000046000000}"/>
    <cellStyle name="20% - Accent1 2 5 3 2" xfId="14658" xr:uid="{C5449C9C-1101-43DA-9C0C-ED6560B4AAB1}"/>
    <cellStyle name="20% - Accent1 2 5 3 3" xfId="23105" xr:uid="{DC8E1202-8642-4320-B2B1-A749E81DA67F}"/>
    <cellStyle name="20% - Accent1 2 5 3 4" xfId="31552" xr:uid="{78895A35-8278-49F6-957D-6580437860D4}"/>
    <cellStyle name="20% - Accent1 2 5 4" xfId="10441" xr:uid="{37390086-F6DE-461E-B251-59E9B58D5D29}"/>
    <cellStyle name="20% - Accent1 2 5 5" xfId="18888" xr:uid="{2CB0DC2B-066F-419C-8EA6-02C1300A91DD}"/>
    <cellStyle name="20% - Accent1 2 5 6" xfId="27335" xr:uid="{52C2CCC6-3234-4B29-BB0F-0AB00AA5645E}"/>
    <cellStyle name="20% - Accent1 2 6" xfId="1438" xr:uid="{00000000-0005-0000-0000-000047000000}"/>
    <cellStyle name="20% - Accent1 2 6 2" xfId="3668" xr:uid="{00000000-0005-0000-0000-000048000000}"/>
    <cellStyle name="20% - Accent1 2 6 2 2" xfId="7890" xr:uid="{00000000-0005-0000-0000-000049000000}"/>
    <cellStyle name="20% - Accent1 2 6 2 2 2" xfId="17216" xr:uid="{67A70CD8-DB72-4E2C-946F-9AB24CDFE2C8}"/>
    <cellStyle name="20% - Accent1 2 6 2 2 3" xfId="25663" xr:uid="{F7CA3BCB-D852-4BB5-B39C-9AC08A7E8514}"/>
    <cellStyle name="20% - Accent1 2 6 2 2 4" xfId="34110" xr:uid="{335CBB64-1B18-4FA1-9674-ECA1802A7CFC}"/>
    <cellStyle name="20% - Accent1 2 6 2 3" xfId="12999" xr:uid="{07DBBD30-5180-4406-97E8-D9465DB94F44}"/>
    <cellStyle name="20% - Accent1 2 6 2 4" xfId="21446" xr:uid="{26305727-2DBE-481D-8A86-2CAB1968AD8E}"/>
    <cellStyle name="20% - Accent1 2 6 2 5" xfId="29893" xr:uid="{0ABAB8F5-B464-49E1-928E-6F4DBBD09978}"/>
    <cellStyle name="20% - Accent1 2 6 3" xfId="5745" xr:uid="{00000000-0005-0000-0000-00004A000000}"/>
    <cellStyle name="20% - Accent1 2 6 3 2" xfId="15071" xr:uid="{6C3BF8DE-9624-4D5D-99FE-12898C25E483}"/>
    <cellStyle name="20% - Accent1 2 6 3 3" xfId="23518" xr:uid="{F0ACAE9B-84E5-4155-8975-730B9FCE6525}"/>
    <cellStyle name="20% - Accent1 2 6 3 4" xfId="31965" xr:uid="{286F7828-8AC3-44CB-A892-00E5121E5996}"/>
    <cellStyle name="20% - Accent1 2 6 4" xfId="10854" xr:uid="{780FF7DF-7173-4B8A-81E5-2440DD02F4FC}"/>
    <cellStyle name="20% - Accent1 2 6 5" xfId="19301" xr:uid="{6D6872CA-FED4-49EF-83BB-F9FC5D3CC997}"/>
    <cellStyle name="20% - Accent1 2 6 6" xfId="27748" xr:uid="{534DF7C9-2C3F-4BFE-BCD3-1E156BF07048}"/>
    <cellStyle name="20% - Accent1 2 7" xfId="1852" xr:uid="{00000000-0005-0000-0000-00004B000000}"/>
    <cellStyle name="20% - Accent1 2 7 2" xfId="4081" xr:uid="{00000000-0005-0000-0000-00004C000000}"/>
    <cellStyle name="20% - Accent1 2 7 2 2" xfId="8303" xr:uid="{00000000-0005-0000-0000-00004D000000}"/>
    <cellStyle name="20% - Accent1 2 7 2 2 2" xfId="17629" xr:uid="{1188D939-73DE-4E9C-830F-1F26DE302762}"/>
    <cellStyle name="20% - Accent1 2 7 2 2 3" xfId="26076" xr:uid="{ABD474E8-B644-4046-920D-736BE1930031}"/>
    <cellStyle name="20% - Accent1 2 7 2 2 4" xfId="34523" xr:uid="{A6791651-8891-4B17-ABA4-62EB9A204221}"/>
    <cellStyle name="20% - Accent1 2 7 2 3" xfId="13412" xr:uid="{EE0CD315-4E7D-4029-AFE8-AA47EC304A88}"/>
    <cellStyle name="20% - Accent1 2 7 2 4" xfId="21859" xr:uid="{AAC29033-788A-4600-B6F4-867049C0F072}"/>
    <cellStyle name="20% - Accent1 2 7 2 5" xfId="30306" xr:uid="{0AEE203E-A3A9-4C04-8E6A-A08BB22425BF}"/>
    <cellStyle name="20% - Accent1 2 7 3" xfId="6158" xr:uid="{00000000-0005-0000-0000-00004E000000}"/>
    <cellStyle name="20% - Accent1 2 7 3 2" xfId="15484" xr:uid="{FCB82129-CB63-44DC-9DA6-FE3AF54161C6}"/>
    <cellStyle name="20% - Accent1 2 7 3 3" xfId="23931" xr:uid="{E633CFAD-D84A-4AA6-8162-7B901A3B69B4}"/>
    <cellStyle name="20% - Accent1 2 7 3 4" xfId="32378" xr:uid="{2FC63460-4E5B-4D84-85DA-C3CC6663CBC0}"/>
    <cellStyle name="20% - Accent1 2 7 4" xfId="11267" xr:uid="{FAD4F455-FBD4-46AD-BAA1-FE2F37F124D1}"/>
    <cellStyle name="20% - Accent1 2 7 5" xfId="19714" xr:uid="{066354F6-131D-4744-8D29-E2E90491B7D0}"/>
    <cellStyle name="20% - Accent1 2 7 6" xfId="28161" xr:uid="{5C5B1DCD-295F-4A2C-A68B-09954218C1B3}"/>
    <cellStyle name="20% - Accent1 2 8" xfId="2265" xr:uid="{00000000-0005-0000-0000-00004F000000}"/>
    <cellStyle name="20% - Accent1 2 8 2" xfId="6571" xr:uid="{00000000-0005-0000-0000-000050000000}"/>
    <cellStyle name="20% - Accent1 2 8 2 2" xfId="15897" xr:uid="{1E6B4C00-4972-4862-A8FF-3874ED92FA92}"/>
    <cellStyle name="20% - Accent1 2 8 2 3" xfId="24344" xr:uid="{22C11C4A-571F-45EA-959B-00A9EF36E635}"/>
    <cellStyle name="20% - Accent1 2 8 2 4" xfId="32791" xr:uid="{31FE3718-0B7E-4741-A06E-2DB80B5288F0}"/>
    <cellStyle name="20% - Accent1 2 8 3" xfId="11680" xr:uid="{50DB66D1-FFE6-429A-8543-3AE1167F1329}"/>
    <cellStyle name="20% - Accent1 2 8 4" xfId="20127" xr:uid="{F5574806-5B73-4FEF-B087-FA194343EDE3}"/>
    <cellStyle name="20% - Accent1 2 8 5" xfId="28574" xr:uid="{FC148980-7660-4D58-AE1B-417AE8BDBBA9}"/>
    <cellStyle name="20% - Accent1 2 9" xfId="4505" xr:uid="{00000000-0005-0000-0000-000051000000}"/>
    <cellStyle name="20% - Accent1 2 9 2" xfId="13831" xr:uid="{DAE42BDC-B347-46FC-BEB2-EC560287787E}"/>
    <cellStyle name="20% - Accent1 2 9 3" xfId="22278" xr:uid="{C9908471-B288-427F-BA35-A51550C4DB3B}"/>
    <cellStyle name="20% - Accent1 2 9 4" xfId="30725" xr:uid="{33681A64-8C92-485B-8AAC-BAAEFDEB5BF8}"/>
    <cellStyle name="20% - Accent1 3" xfId="6" xr:uid="{00000000-0005-0000-0000-000052000000}"/>
    <cellStyle name="20% - Accent1 3 10" xfId="9618" xr:uid="{BF8DCC16-5497-46FE-89E1-AB29C8661450}"/>
    <cellStyle name="20% - Accent1 3 11" xfId="18065" xr:uid="{D7ED561E-1FAE-489B-BA24-1006B7F67CF3}"/>
    <cellStyle name="20% - Accent1 3 12" xfId="26512" xr:uid="{DEB0FC79-723D-4A52-BF2A-2D3FFDF60BE0}"/>
    <cellStyle name="20% - Accent1 3 2" xfId="7" xr:uid="{00000000-0005-0000-0000-000053000000}"/>
    <cellStyle name="20% - Accent1 3 2 10" xfId="18066" xr:uid="{BB7BC2CC-C6CB-429B-B8ED-82ECFC822A68}"/>
    <cellStyle name="20% - Accent1 3 2 11" xfId="26513" xr:uid="{B4AD9E11-AE6D-4AF1-9801-7BFA7CA80E95}"/>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16395" xr:uid="{4F8F9176-03D4-4BB1-9388-D7F3DC2C684A}"/>
    <cellStyle name="20% - Accent1 3 2 2 2 2 3" xfId="24842" xr:uid="{B13BA97F-8D56-4910-85B8-1DDA131AA500}"/>
    <cellStyle name="20% - Accent1 3 2 2 2 2 4" xfId="33289" xr:uid="{2C1D346E-E6E6-49D9-8CA7-586A6AF8C096}"/>
    <cellStyle name="20% - Accent1 3 2 2 2 3" xfId="12178" xr:uid="{6339F2D3-FBFF-421D-866E-6FFA8B4CB514}"/>
    <cellStyle name="20% - Accent1 3 2 2 2 4" xfId="20625" xr:uid="{6B4B6A5A-DFEC-4ABD-9B56-A399F49CB6A9}"/>
    <cellStyle name="20% - Accent1 3 2 2 2 5" xfId="29072" xr:uid="{57363606-5226-4A48-BBCC-11AB646F0B49}"/>
    <cellStyle name="20% - Accent1 3 2 2 3" xfId="4924" xr:uid="{00000000-0005-0000-0000-000057000000}"/>
    <cellStyle name="20% - Accent1 3 2 2 3 2" xfId="14250" xr:uid="{EFF3CFED-37CF-48A0-9748-BCCD7991982C}"/>
    <cellStyle name="20% - Accent1 3 2 2 3 3" xfId="22697" xr:uid="{AE2CC93A-A419-4B40-A90C-ACD11CB6E0A8}"/>
    <cellStyle name="20% - Accent1 3 2 2 3 4" xfId="31144" xr:uid="{D04E3A75-834A-4E55-A2D3-6A7A5F349A0A}"/>
    <cellStyle name="20% - Accent1 3 2 2 4" xfId="9493" xr:uid="{FCEFE71D-2A04-4899-B62A-B225DBF7F0BF}"/>
    <cellStyle name="20% - Accent1 3 2 2 5" xfId="10033" xr:uid="{5127121A-A77A-468C-AA13-C6D197025FE2}"/>
    <cellStyle name="20% - Accent1 3 2 2 6" xfId="18480" xr:uid="{5FD54545-BB35-4D21-A83B-F8EFD91019A7}"/>
    <cellStyle name="20% - Accent1 3 2 2 7" xfId="26927" xr:uid="{22E8298F-6680-48A9-A99E-0595E4356ECD}"/>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16808" xr:uid="{59099149-834E-4281-949C-4492CD59C815}"/>
    <cellStyle name="20% - Accent1 3 2 3 2 2 3" xfId="25255" xr:uid="{D3F738D5-AAB7-456C-ACC9-CD03A5AAF78F}"/>
    <cellStyle name="20% - Accent1 3 2 3 2 2 4" xfId="33702" xr:uid="{2741B9CB-B7E3-4389-9F84-9AF3A6A43AF2}"/>
    <cellStyle name="20% - Accent1 3 2 3 2 3" xfId="12591" xr:uid="{1F86E33C-181C-45CA-8BBC-538985C397D9}"/>
    <cellStyle name="20% - Accent1 3 2 3 2 4" xfId="21038" xr:uid="{BF7027F3-FEA3-41A2-9EAA-DCB8CD5A15F5}"/>
    <cellStyle name="20% - Accent1 3 2 3 2 5" xfId="29485" xr:uid="{D4DE8018-83CC-4A3B-ABD9-5AE16BB90AFE}"/>
    <cellStyle name="20% - Accent1 3 2 3 3" xfId="5337" xr:uid="{00000000-0005-0000-0000-00005B000000}"/>
    <cellStyle name="20% - Accent1 3 2 3 3 2" xfId="14663" xr:uid="{C86BD44C-84DB-4332-AC9A-A7CAD8F031F2}"/>
    <cellStyle name="20% - Accent1 3 2 3 3 3" xfId="23110" xr:uid="{969B873E-FA51-4742-A553-FD3F664591D0}"/>
    <cellStyle name="20% - Accent1 3 2 3 3 4" xfId="31557" xr:uid="{81354FDB-5C10-4250-BA87-1B21540DD164}"/>
    <cellStyle name="20% - Accent1 3 2 3 4" xfId="10446" xr:uid="{7C2C057A-DBCB-4301-88BF-878F8936E45D}"/>
    <cellStyle name="20% - Accent1 3 2 3 5" xfId="18893" xr:uid="{F5B52044-DEB3-482F-91BE-08B60467B603}"/>
    <cellStyle name="20% - Accent1 3 2 3 6" xfId="27340" xr:uid="{2209442C-3F24-45AB-961E-B740A8215D78}"/>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17221" xr:uid="{A196BD92-F5C0-4B10-956E-20DBBF77679A}"/>
    <cellStyle name="20% - Accent1 3 2 4 2 2 3" xfId="25668" xr:uid="{C1D8C090-1C54-4C7B-B388-81EA77923D0D}"/>
    <cellStyle name="20% - Accent1 3 2 4 2 2 4" xfId="34115" xr:uid="{97F7D904-23AE-4B05-810C-72ED3DE24D02}"/>
    <cellStyle name="20% - Accent1 3 2 4 2 3" xfId="13004" xr:uid="{8056AC5C-9256-4070-9C4F-4832641B0DE0}"/>
    <cellStyle name="20% - Accent1 3 2 4 2 4" xfId="21451" xr:uid="{2BC46FA2-6907-4F4F-A11E-6C9943375735}"/>
    <cellStyle name="20% - Accent1 3 2 4 2 5" xfId="29898" xr:uid="{B3701309-7D91-4AE9-A1D3-F323DDC054EA}"/>
    <cellStyle name="20% - Accent1 3 2 4 3" xfId="5750" xr:uid="{00000000-0005-0000-0000-00005F000000}"/>
    <cellStyle name="20% - Accent1 3 2 4 3 2" xfId="15076" xr:uid="{2C2B0F32-DFF0-4B1B-B9A3-9BF6E27D6023}"/>
    <cellStyle name="20% - Accent1 3 2 4 3 3" xfId="23523" xr:uid="{386C1B7F-69A3-485C-B59D-DDBAB72BFEDB}"/>
    <cellStyle name="20% - Accent1 3 2 4 3 4" xfId="31970" xr:uid="{82F7EE37-382B-407F-9A65-6956CE79E685}"/>
    <cellStyle name="20% - Accent1 3 2 4 4" xfId="10859" xr:uid="{F036383C-C4FE-428F-AF69-5E50225BBBF8}"/>
    <cellStyle name="20% - Accent1 3 2 4 5" xfId="19306" xr:uid="{005B3BDE-7D50-4ECA-BFBD-5995E090A936}"/>
    <cellStyle name="20% - Accent1 3 2 4 6" xfId="27753" xr:uid="{9E9018AF-7C9F-41F7-92B6-20B021A8DA38}"/>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17634" xr:uid="{C3D6C291-B640-44CB-9EE3-C377A3F99E10}"/>
    <cellStyle name="20% - Accent1 3 2 5 2 2 3" xfId="26081" xr:uid="{F28C280D-6D8D-4268-AFFA-2AC5FCC1D73A}"/>
    <cellStyle name="20% - Accent1 3 2 5 2 2 4" xfId="34528" xr:uid="{BA3A61A6-944F-4DF7-92C0-60C6A77AEF09}"/>
    <cellStyle name="20% - Accent1 3 2 5 2 3" xfId="13417" xr:uid="{D3CC1208-CC48-4557-B422-D3FBB47FB32A}"/>
    <cellStyle name="20% - Accent1 3 2 5 2 4" xfId="21864" xr:uid="{461D40DF-33C8-4780-8BD5-7EC6A675D1F1}"/>
    <cellStyle name="20% - Accent1 3 2 5 2 5" xfId="30311" xr:uid="{D7EAFC3C-755E-4068-A95C-6EA1634E6094}"/>
    <cellStyle name="20% - Accent1 3 2 5 3" xfId="6163" xr:uid="{00000000-0005-0000-0000-000063000000}"/>
    <cellStyle name="20% - Accent1 3 2 5 3 2" xfId="15489" xr:uid="{D9AD1C59-85E6-4954-A254-527AE82726BC}"/>
    <cellStyle name="20% - Accent1 3 2 5 3 3" xfId="23936" xr:uid="{164B18A7-E752-415E-89A6-4EA7265B81D1}"/>
    <cellStyle name="20% - Accent1 3 2 5 3 4" xfId="32383" xr:uid="{B48AC8B8-05DF-47F5-9E3C-E075ED1126BF}"/>
    <cellStyle name="20% - Accent1 3 2 5 4" xfId="11272" xr:uid="{B37B4F25-9177-44F7-8C64-85355914C3E8}"/>
    <cellStyle name="20% - Accent1 3 2 5 5" xfId="19719" xr:uid="{465F1172-D97D-42BC-8C80-917AE4A0C75A}"/>
    <cellStyle name="20% - Accent1 3 2 5 6" xfId="28166" xr:uid="{023AE9E0-016E-47F6-B774-77C6EBA59F08}"/>
    <cellStyle name="20% - Accent1 3 2 6" xfId="2270" xr:uid="{00000000-0005-0000-0000-000064000000}"/>
    <cellStyle name="20% - Accent1 3 2 6 2" xfId="6576" xr:uid="{00000000-0005-0000-0000-000065000000}"/>
    <cellStyle name="20% - Accent1 3 2 6 2 2" xfId="15902" xr:uid="{F9D7D4FD-97E1-450C-B06E-9FE0377F05F4}"/>
    <cellStyle name="20% - Accent1 3 2 6 2 3" xfId="24349" xr:uid="{864D9262-0F03-4932-A8CB-6B1D9B7254BE}"/>
    <cellStyle name="20% - Accent1 3 2 6 2 4" xfId="32796" xr:uid="{660FA781-099C-4EB6-AD6B-4967A439319D}"/>
    <cellStyle name="20% - Accent1 3 2 6 3" xfId="11685" xr:uid="{6E2E02BD-4456-48FC-9C21-554FB5D487E3}"/>
    <cellStyle name="20% - Accent1 3 2 6 4" xfId="20132" xr:uid="{7D87F4DD-D90C-4B4A-A752-D00995A48905}"/>
    <cellStyle name="20% - Accent1 3 2 6 5" xfId="28579" xr:uid="{6A13D288-28B7-4A0F-9109-970A95DD46DB}"/>
    <cellStyle name="20% - Accent1 3 2 7" xfId="4510" xr:uid="{00000000-0005-0000-0000-000066000000}"/>
    <cellStyle name="20% - Accent1 3 2 7 2" xfId="13836" xr:uid="{27064FBE-FF27-4120-8702-B047285EB5E0}"/>
    <cellStyle name="20% - Accent1 3 2 7 3" xfId="22283" xr:uid="{B4A04686-CD1D-4F22-9D63-5D52FD574836}"/>
    <cellStyle name="20% - Accent1 3 2 7 4" xfId="30730" xr:uid="{C2479B78-5B77-4672-B9D7-6E96F7E56021}"/>
    <cellStyle name="20% - Accent1 3 2 8" xfId="9068" xr:uid="{354460C9-AD38-4FCD-882B-4DFB81DE5890}"/>
    <cellStyle name="20% - Accent1 3 2 9" xfId="9619" xr:uid="{327C151E-5D3D-470F-A511-B2190535DC42}"/>
    <cellStyle name="20% - Accent1 3 3" xfId="575" xr:uid="{00000000-0005-0000-0000-000067000000}"/>
    <cellStyle name="20% - Accent1 3 3 2" xfId="2846" xr:uid="{00000000-0005-0000-0000-000068000000}"/>
    <cellStyle name="20% - Accent1 3 3 2 2" xfId="7068" xr:uid="{00000000-0005-0000-0000-000069000000}"/>
    <cellStyle name="20% - Accent1 3 3 2 2 2" xfId="16394" xr:uid="{E0164201-128F-4C78-B8F8-73616863966D}"/>
    <cellStyle name="20% - Accent1 3 3 2 2 3" xfId="24841" xr:uid="{4A5C421B-9858-41C3-A387-8180FE312362}"/>
    <cellStyle name="20% - Accent1 3 3 2 2 4" xfId="33288" xr:uid="{14F88FDF-5121-46FA-9268-CDB2B8D63422}"/>
    <cellStyle name="20% - Accent1 3 3 2 3" xfId="12177" xr:uid="{9EC45F69-E830-4C27-93FD-236B5BE920B8}"/>
    <cellStyle name="20% - Accent1 3 3 2 4" xfId="20624" xr:uid="{668F1D22-5341-42B1-A324-DEE60FEC5583}"/>
    <cellStyle name="20% - Accent1 3 3 2 5" xfId="29071" xr:uid="{6FA7EC59-31E9-4648-8690-2C67697FD0E4}"/>
    <cellStyle name="20% - Accent1 3 3 3" xfId="4923" xr:uid="{00000000-0005-0000-0000-00006A000000}"/>
    <cellStyle name="20% - Accent1 3 3 3 2" xfId="14249" xr:uid="{2ADB019B-3238-4306-A632-A21CCA6499C8}"/>
    <cellStyle name="20% - Accent1 3 3 3 3" xfId="22696" xr:uid="{51835FA0-2C14-4EB6-BBF5-2C3EDD2EEFE4}"/>
    <cellStyle name="20% - Accent1 3 3 3 4" xfId="31143" xr:uid="{EFDBD869-253D-49DE-A660-129BD59FEC14}"/>
    <cellStyle name="20% - Accent1 3 3 4" xfId="9286" xr:uid="{B5220C4B-EBE7-4AD0-9A24-7F16FA378184}"/>
    <cellStyle name="20% - Accent1 3 3 5" xfId="10032" xr:uid="{8BED2D4A-78AC-432C-819D-9C37784F85B4}"/>
    <cellStyle name="20% - Accent1 3 3 6" xfId="18479" xr:uid="{882EBC15-8ED9-4B4F-8203-2042966966CF}"/>
    <cellStyle name="20% - Accent1 3 3 7" xfId="26926" xr:uid="{A8F7D130-3177-4298-B755-FC4C71F9FAC3}"/>
    <cellStyle name="20% - Accent1 3 4" xfId="1028" xr:uid="{00000000-0005-0000-0000-00006B000000}"/>
    <cellStyle name="20% - Accent1 3 4 2" xfId="3259" xr:uid="{00000000-0005-0000-0000-00006C000000}"/>
    <cellStyle name="20% - Accent1 3 4 2 2" xfId="7481" xr:uid="{00000000-0005-0000-0000-00006D000000}"/>
    <cellStyle name="20% - Accent1 3 4 2 2 2" xfId="16807" xr:uid="{29347207-1EBF-4993-8BEB-C5975E4639BE}"/>
    <cellStyle name="20% - Accent1 3 4 2 2 3" xfId="25254" xr:uid="{A1641DA7-17A2-410D-A5C0-7AF0876A5EFF}"/>
    <cellStyle name="20% - Accent1 3 4 2 2 4" xfId="33701" xr:uid="{02CF15E8-6713-4401-B10B-18C7590CF69D}"/>
    <cellStyle name="20% - Accent1 3 4 2 3" xfId="12590" xr:uid="{6EEC13A2-A948-42BC-812E-A08E9C79F31B}"/>
    <cellStyle name="20% - Accent1 3 4 2 4" xfId="21037" xr:uid="{13719A58-C1F0-4522-8185-9466022892B7}"/>
    <cellStyle name="20% - Accent1 3 4 2 5" xfId="29484" xr:uid="{EF65E873-ABE5-4E65-9B5B-976CC6C74F99}"/>
    <cellStyle name="20% - Accent1 3 4 3" xfId="5336" xr:uid="{00000000-0005-0000-0000-00006E000000}"/>
    <cellStyle name="20% - Accent1 3 4 3 2" xfId="14662" xr:uid="{80204021-83EA-4CFD-98E3-D2B4EC2FA43D}"/>
    <cellStyle name="20% - Accent1 3 4 3 3" xfId="23109" xr:uid="{131016EA-D34F-441C-A736-EB6A6D44DF47}"/>
    <cellStyle name="20% - Accent1 3 4 3 4" xfId="31556" xr:uid="{6475284A-F7DF-49C9-8A01-21E83E62E152}"/>
    <cellStyle name="20% - Accent1 3 4 4" xfId="10445" xr:uid="{D15DF20F-7F04-4146-8D9D-5E5C89B21B82}"/>
    <cellStyle name="20% - Accent1 3 4 5" xfId="18892" xr:uid="{E7E1C11A-BAF2-4A37-A823-009C1B0E04D1}"/>
    <cellStyle name="20% - Accent1 3 4 6" xfId="27339" xr:uid="{27AE4934-9D4F-4BC7-BD23-4114A1B89E56}"/>
    <cellStyle name="20% - Accent1 3 5" xfId="1442" xr:uid="{00000000-0005-0000-0000-00006F000000}"/>
    <cellStyle name="20% - Accent1 3 5 2" xfId="3672" xr:uid="{00000000-0005-0000-0000-000070000000}"/>
    <cellStyle name="20% - Accent1 3 5 2 2" xfId="7894" xr:uid="{00000000-0005-0000-0000-000071000000}"/>
    <cellStyle name="20% - Accent1 3 5 2 2 2" xfId="17220" xr:uid="{EFB17825-1525-4C20-B01E-A66C7C68945E}"/>
    <cellStyle name="20% - Accent1 3 5 2 2 3" xfId="25667" xr:uid="{7B250448-EC96-46C8-955A-7BD387FD8967}"/>
    <cellStyle name="20% - Accent1 3 5 2 2 4" xfId="34114" xr:uid="{88C11890-6FAD-49B0-B693-FD50F28A2A4F}"/>
    <cellStyle name="20% - Accent1 3 5 2 3" xfId="13003" xr:uid="{7DBCCF14-7B0F-426E-AA2A-E1EC4706CF17}"/>
    <cellStyle name="20% - Accent1 3 5 2 4" xfId="21450" xr:uid="{DB1582FD-D0AE-402C-959E-1CCEBB931D09}"/>
    <cellStyle name="20% - Accent1 3 5 2 5" xfId="29897" xr:uid="{690CC2A6-00AC-4C76-ACE1-CF34C5D90D4E}"/>
    <cellStyle name="20% - Accent1 3 5 3" xfId="5749" xr:uid="{00000000-0005-0000-0000-000072000000}"/>
    <cellStyle name="20% - Accent1 3 5 3 2" xfId="15075" xr:uid="{83FA599E-2686-4256-8802-A972DE340C43}"/>
    <cellStyle name="20% - Accent1 3 5 3 3" xfId="23522" xr:uid="{8F5E4B3F-B72D-4651-9CC7-933491EA2D31}"/>
    <cellStyle name="20% - Accent1 3 5 3 4" xfId="31969" xr:uid="{2AF9A59C-93FF-49BD-997E-CB43F6CFFE14}"/>
    <cellStyle name="20% - Accent1 3 5 4" xfId="10858" xr:uid="{1BEF89C0-DCE6-48D4-B682-CF55006DA6C0}"/>
    <cellStyle name="20% - Accent1 3 5 5" xfId="19305" xr:uid="{1045D9C7-636D-4E68-9556-138CEEE990DC}"/>
    <cellStyle name="20% - Accent1 3 5 6" xfId="27752" xr:uid="{23F7F843-1F40-4F0E-B239-C84E459A2AEE}"/>
    <cellStyle name="20% - Accent1 3 6" xfId="1856" xr:uid="{00000000-0005-0000-0000-000073000000}"/>
    <cellStyle name="20% - Accent1 3 6 2" xfId="4085" xr:uid="{00000000-0005-0000-0000-000074000000}"/>
    <cellStyle name="20% - Accent1 3 6 2 2" xfId="8307" xr:uid="{00000000-0005-0000-0000-000075000000}"/>
    <cellStyle name="20% - Accent1 3 6 2 2 2" xfId="17633" xr:uid="{BCC8FDB2-C718-4B1A-A0A2-E7CEE29319C6}"/>
    <cellStyle name="20% - Accent1 3 6 2 2 3" xfId="26080" xr:uid="{4A3FE943-7634-4D44-A450-401AA0F3AB71}"/>
    <cellStyle name="20% - Accent1 3 6 2 2 4" xfId="34527" xr:uid="{6AB28503-9F71-46A4-8763-A77E9C4EA960}"/>
    <cellStyle name="20% - Accent1 3 6 2 3" xfId="13416" xr:uid="{33DDFB67-2A18-44CF-8113-4A8D73C4B163}"/>
    <cellStyle name="20% - Accent1 3 6 2 4" xfId="21863" xr:uid="{131D4F5F-08C3-4C88-AC58-2562AC069961}"/>
    <cellStyle name="20% - Accent1 3 6 2 5" xfId="30310" xr:uid="{72051A64-DA40-41B8-9C5A-8913E35259CD}"/>
    <cellStyle name="20% - Accent1 3 6 3" xfId="6162" xr:uid="{00000000-0005-0000-0000-000076000000}"/>
    <cellStyle name="20% - Accent1 3 6 3 2" xfId="15488" xr:uid="{13E1D467-B6F6-4E86-8CC3-F634274032BA}"/>
    <cellStyle name="20% - Accent1 3 6 3 3" xfId="23935" xr:uid="{4AF226C2-ED4A-4B8E-969F-B3DBA8E3E6B3}"/>
    <cellStyle name="20% - Accent1 3 6 3 4" xfId="32382" xr:uid="{682BEA42-0870-4A3F-9971-D6930BAF1816}"/>
    <cellStyle name="20% - Accent1 3 6 4" xfId="11271" xr:uid="{8639B9DB-37F9-469E-8E26-082DC7C94AFF}"/>
    <cellStyle name="20% - Accent1 3 6 5" xfId="19718" xr:uid="{8449C5AF-3BD0-4EC2-A9BD-6387F736FAB0}"/>
    <cellStyle name="20% - Accent1 3 6 6" xfId="28165" xr:uid="{1D87837D-C1F1-422F-833C-C6F03B38453E}"/>
    <cellStyle name="20% - Accent1 3 7" xfId="2269" xr:uid="{00000000-0005-0000-0000-000077000000}"/>
    <cellStyle name="20% - Accent1 3 7 2" xfId="6575" xr:uid="{00000000-0005-0000-0000-000078000000}"/>
    <cellStyle name="20% - Accent1 3 7 2 2" xfId="15901" xr:uid="{56657328-B7E9-4723-9727-3591AC9932BE}"/>
    <cellStyle name="20% - Accent1 3 7 2 3" xfId="24348" xr:uid="{7DF4524B-6CE1-4007-8916-6F89CEA74886}"/>
    <cellStyle name="20% - Accent1 3 7 2 4" xfId="32795" xr:uid="{6D6FFF43-BFC4-49C1-BDF1-1F2096FA1411}"/>
    <cellStyle name="20% - Accent1 3 7 3" xfId="11684" xr:uid="{AACEC8F2-3E38-4DC9-BFA2-1275E4C8FD2C}"/>
    <cellStyle name="20% - Accent1 3 7 4" xfId="20131" xr:uid="{CD0A2906-FD41-455D-9530-544CC4EE8ACB}"/>
    <cellStyle name="20% - Accent1 3 7 5" xfId="28578" xr:uid="{82F70BFD-40FB-491C-9482-BFB3029E432E}"/>
    <cellStyle name="20% - Accent1 3 8" xfId="4509" xr:uid="{00000000-0005-0000-0000-000079000000}"/>
    <cellStyle name="20% - Accent1 3 8 2" xfId="13835" xr:uid="{F6219992-7968-459E-B167-223D7F7031CA}"/>
    <cellStyle name="20% - Accent1 3 8 3" xfId="22282" xr:uid="{04D3BDF8-5CB2-420B-A226-06F40074ED22}"/>
    <cellStyle name="20% - Accent1 3 8 4" xfId="30729" xr:uid="{A4377658-3516-4000-94BD-234FD1599364}"/>
    <cellStyle name="20% - Accent1 3 9" xfId="8861" xr:uid="{C1B75176-75E3-4E31-86A7-851E7FD67A9E}"/>
    <cellStyle name="20% - Accent1 4" xfId="8" xr:uid="{00000000-0005-0000-0000-00007A000000}"/>
    <cellStyle name="20% - Accent1 4 10" xfId="18067" xr:uid="{DC9856AE-45B5-436D-9D50-4CCD2B8D8D53}"/>
    <cellStyle name="20% - Accent1 4 11" xfId="26514" xr:uid="{123C000C-C526-4A26-A7CD-CB5EBF6E5688}"/>
    <cellStyle name="20% - Accent1 4 2" xfId="577" xr:uid="{00000000-0005-0000-0000-00007B000000}"/>
    <cellStyle name="20% - Accent1 4 2 2" xfId="2848" xr:uid="{00000000-0005-0000-0000-00007C000000}"/>
    <cellStyle name="20% - Accent1 4 2 2 2" xfId="7070" xr:uid="{00000000-0005-0000-0000-00007D000000}"/>
    <cellStyle name="20% - Accent1 4 2 2 2 2" xfId="16396" xr:uid="{9223CE5E-5DFB-4F29-BA43-60539A371BF4}"/>
    <cellStyle name="20% - Accent1 4 2 2 2 3" xfId="24843" xr:uid="{B73CDF26-948A-4ED1-907E-96855739A219}"/>
    <cellStyle name="20% - Accent1 4 2 2 2 4" xfId="33290" xr:uid="{1F3897FF-5588-44DD-A182-AFC574CBDBB9}"/>
    <cellStyle name="20% - Accent1 4 2 2 3" xfId="12179" xr:uid="{FA98B2E3-EBBB-4A04-966A-359DC75709D7}"/>
    <cellStyle name="20% - Accent1 4 2 2 4" xfId="20626" xr:uid="{8DD059F7-D7BF-4694-9EE7-D656C1665B8E}"/>
    <cellStyle name="20% - Accent1 4 2 2 5" xfId="29073" xr:uid="{09B315BC-EC9B-45FA-9787-B91CADDA69FA}"/>
    <cellStyle name="20% - Accent1 4 2 3" xfId="4925" xr:uid="{00000000-0005-0000-0000-00007E000000}"/>
    <cellStyle name="20% - Accent1 4 2 3 2" xfId="14251" xr:uid="{4EEC64B6-B506-4AE0-BF4C-1D1ADA5DEEEA}"/>
    <cellStyle name="20% - Accent1 4 2 3 3" xfId="22698" xr:uid="{5208B10A-D6E3-4E23-B138-DE31BF442CFF}"/>
    <cellStyle name="20% - Accent1 4 2 3 4" xfId="31145" xr:uid="{65A81708-23F1-4F14-82A3-C371231DF17C}"/>
    <cellStyle name="20% - Accent1 4 2 4" xfId="9372" xr:uid="{E6B08341-6F7D-4580-9BCF-4BFC252FAE31}"/>
    <cellStyle name="20% - Accent1 4 2 5" xfId="10034" xr:uid="{9A685C81-AA01-4BFC-9639-D5B048447CFA}"/>
    <cellStyle name="20% - Accent1 4 2 6" xfId="18481" xr:uid="{F654F2E1-09BF-458C-943B-5B68823E7F51}"/>
    <cellStyle name="20% - Accent1 4 2 7" xfId="26928" xr:uid="{DDEFDD00-E564-4242-8503-56E9558D48ED}"/>
    <cellStyle name="20% - Accent1 4 3" xfId="1030" xr:uid="{00000000-0005-0000-0000-00007F000000}"/>
    <cellStyle name="20% - Accent1 4 3 2" xfId="3261" xr:uid="{00000000-0005-0000-0000-000080000000}"/>
    <cellStyle name="20% - Accent1 4 3 2 2" xfId="7483" xr:uid="{00000000-0005-0000-0000-000081000000}"/>
    <cellStyle name="20% - Accent1 4 3 2 2 2" xfId="16809" xr:uid="{BAEF85BD-2973-4CA9-B13C-A8384C58C752}"/>
    <cellStyle name="20% - Accent1 4 3 2 2 3" xfId="25256" xr:uid="{98376BEF-D8DA-433D-8972-A88823D78CBA}"/>
    <cellStyle name="20% - Accent1 4 3 2 2 4" xfId="33703" xr:uid="{210F1F16-58A9-4AD5-BF3C-3B3B332B741A}"/>
    <cellStyle name="20% - Accent1 4 3 2 3" xfId="12592" xr:uid="{A860E65D-6705-49C4-8C6E-E5BE69C9D748}"/>
    <cellStyle name="20% - Accent1 4 3 2 4" xfId="21039" xr:uid="{64F5F588-E0E6-4DF9-B816-36C6D6E2EE51}"/>
    <cellStyle name="20% - Accent1 4 3 2 5" xfId="29486" xr:uid="{285FC9DB-68AB-4FBA-95AF-F1A2F52441E4}"/>
    <cellStyle name="20% - Accent1 4 3 3" xfId="5338" xr:uid="{00000000-0005-0000-0000-000082000000}"/>
    <cellStyle name="20% - Accent1 4 3 3 2" xfId="14664" xr:uid="{DF6B1BA3-D175-4B0D-9248-5AE07C9FF212}"/>
    <cellStyle name="20% - Accent1 4 3 3 3" xfId="23111" xr:uid="{D3D96D5F-ED4D-414C-A1CD-3E596F3369FA}"/>
    <cellStyle name="20% - Accent1 4 3 3 4" xfId="31558" xr:uid="{3702D3A2-8806-4056-8A06-8D22C9498310}"/>
    <cellStyle name="20% - Accent1 4 3 4" xfId="10447" xr:uid="{C123E41D-BDF9-4AAC-8220-9DE576951C85}"/>
    <cellStyle name="20% - Accent1 4 3 5" xfId="18894" xr:uid="{14DDB140-73DF-43DF-AB20-20065767EB09}"/>
    <cellStyle name="20% - Accent1 4 3 6" xfId="27341" xr:uid="{CDDF22E0-4303-40DC-AABA-EF52BEE552CD}"/>
    <cellStyle name="20% - Accent1 4 4" xfId="1444" xr:uid="{00000000-0005-0000-0000-000083000000}"/>
    <cellStyle name="20% - Accent1 4 4 2" xfId="3674" xr:uid="{00000000-0005-0000-0000-000084000000}"/>
    <cellStyle name="20% - Accent1 4 4 2 2" xfId="7896" xr:uid="{00000000-0005-0000-0000-000085000000}"/>
    <cellStyle name="20% - Accent1 4 4 2 2 2" xfId="17222" xr:uid="{CD647201-D711-4918-96AB-BCABEBF270DE}"/>
    <cellStyle name="20% - Accent1 4 4 2 2 3" xfId="25669" xr:uid="{3B7708DE-06E1-444C-BE39-6149E95BDA21}"/>
    <cellStyle name="20% - Accent1 4 4 2 2 4" xfId="34116" xr:uid="{DCA2CD7A-E378-43EE-9250-954AA56B953B}"/>
    <cellStyle name="20% - Accent1 4 4 2 3" xfId="13005" xr:uid="{FBB9D153-91B8-4907-9A64-FF4E036AE92E}"/>
    <cellStyle name="20% - Accent1 4 4 2 4" xfId="21452" xr:uid="{793C6279-BA0B-4915-8C66-43F940FFC1DE}"/>
    <cellStyle name="20% - Accent1 4 4 2 5" xfId="29899" xr:uid="{F0FB63C1-00BB-4461-8AFB-E8E533ABC3CD}"/>
    <cellStyle name="20% - Accent1 4 4 3" xfId="5751" xr:uid="{00000000-0005-0000-0000-000086000000}"/>
    <cellStyle name="20% - Accent1 4 4 3 2" xfId="15077" xr:uid="{2F343CAB-B09E-4696-9B26-A9F8ADBF2E4C}"/>
    <cellStyle name="20% - Accent1 4 4 3 3" xfId="23524" xr:uid="{F8581F5C-71E4-4C29-891F-12FE6CCD8A4F}"/>
    <cellStyle name="20% - Accent1 4 4 3 4" xfId="31971" xr:uid="{A353B14F-1AA1-4C15-8C70-6DF071CFF866}"/>
    <cellStyle name="20% - Accent1 4 4 4" xfId="10860" xr:uid="{522F3C73-E597-47C5-B629-6E78A143AF39}"/>
    <cellStyle name="20% - Accent1 4 4 5" xfId="19307" xr:uid="{C32D5215-5651-41CA-9B4D-8433C058FC53}"/>
    <cellStyle name="20% - Accent1 4 4 6" xfId="27754" xr:uid="{E6286779-2FFC-4885-8900-FAB673B3652A}"/>
    <cellStyle name="20% - Accent1 4 5" xfId="1858" xr:uid="{00000000-0005-0000-0000-000087000000}"/>
    <cellStyle name="20% - Accent1 4 5 2" xfId="4087" xr:uid="{00000000-0005-0000-0000-000088000000}"/>
    <cellStyle name="20% - Accent1 4 5 2 2" xfId="8309" xr:uid="{00000000-0005-0000-0000-000089000000}"/>
    <cellStyle name="20% - Accent1 4 5 2 2 2" xfId="17635" xr:uid="{8CB64BE3-6430-4745-AFF2-4B7330AB289A}"/>
    <cellStyle name="20% - Accent1 4 5 2 2 3" xfId="26082" xr:uid="{847B5097-850B-4031-8CFC-E325E9008F69}"/>
    <cellStyle name="20% - Accent1 4 5 2 2 4" xfId="34529" xr:uid="{73ACE3B0-D57F-47F7-97A9-52D725430535}"/>
    <cellStyle name="20% - Accent1 4 5 2 3" xfId="13418" xr:uid="{B3C9F458-684C-4267-B304-AB25349F1F9D}"/>
    <cellStyle name="20% - Accent1 4 5 2 4" xfId="21865" xr:uid="{752F5654-7154-4A58-81B9-3D07919F3A6E}"/>
    <cellStyle name="20% - Accent1 4 5 2 5" xfId="30312" xr:uid="{5EA469D0-7E74-4C7B-AAE7-0897F375A8B9}"/>
    <cellStyle name="20% - Accent1 4 5 3" xfId="6164" xr:uid="{00000000-0005-0000-0000-00008A000000}"/>
    <cellStyle name="20% - Accent1 4 5 3 2" xfId="15490" xr:uid="{075EB671-FA92-4A80-9549-4886ACA45729}"/>
    <cellStyle name="20% - Accent1 4 5 3 3" xfId="23937" xr:uid="{7AA27591-75D7-4267-8F16-4A0E4B592489}"/>
    <cellStyle name="20% - Accent1 4 5 3 4" xfId="32384" xr:uid="{840431A4-82FA-4263-BED2-6F5AD4991CF2}"/>
    <cellStyle name="20% - Accent1 4 5 4" xfId="11273" xr:uid="{A36FB519-3C85-4BEC-AEB8-277FB55751A6}"/>
    <cellStyle name="20% - Accent1 4 5 5" xfId="19720" xr:uid="{23D09288-14F5-4F83-957C-153DA7A71406}"/>
    <cellStyle name="20% - Accent1 4 5 6" xfId="28167" xr:uid="{52140BC1-52E8-4D5F-9F98-CAC50651A9D9}"/>
    <cellStyle name="20% - Accent1 4 6" xfId="2271" xr:uid="{00000000-0005-0000-0000-00008B000000}"/>
    <cellStyle name="20% - Accent1 4 6 2" xfId="6577" xr:uid="{00000000-0005-0000-0000-00008C000000}"/>
    <cellStyle name="20% - Accent1 4 6 2 2" xfId="15903" xr:uid="{0B18AAFB-CF37-4CED-A948-7E2AC8D97F67}"/>
    <cellStyle name="20% - Accent1 4 6 2 3" xfId="24350" xr:uid="{597B8AAD-B222-4A68-AF2F-A280B4281FA9}"/>
    <cellStyle name="20% - Accent1 4 6 2 4" xfId="32797" xr:uid="{43F5AC34-867A-42F8-9B8D-449055241211}"/>
    <cellStyle name="20% - Accent1 4 6 3" xfId="11686" xr:uid="{36246184-EA6E-4CEC-B555-ADFA599A584B}"/>
    <cellStyle name="20% - Accent1 4 6 4" xfId="20133" xr:uid="{2E95D83B-8401-4049-8F47-BDF954ECB2AB}"/>
    <cellStyle name="20% - Accent1 4 6 5" xfId="28580" xr:uid="{9955CB95-C138-468D-B6CB-FA92C0FBD82E}"/>
    <cellStyle name="20% - Accent1 4 7" xfId="4511" xr:uid="{00000000-0005-0000-0000-00008D000000}"/>
    <cellStyle name="20% - Accent1 4 7 2" xfId="13837" xr:uid="{C30534E4-6E6E-490F-8C5E-65FCD5AF7937}"/>
    <cellStyle name="20% - Accent1 4 7 3" xfId="22284" xr:uid="{B708F8B3-C67C-4FFF-8AD4-55198D1CDBE4}"/>
    <cellStyle name="20% - Accent1 4 7 4" xfId="30731" xr:uid="{04AE8894-4C1A-4E0A-B99B-372F522BC114}"/>
    <cellStyle name="20% - Accent1 4 8" xfId="8947" xr:uid="{1FCDBFE2-CC86-42DD-AD9B-D3EAF476002E}"/>
    <cellStyle name="20% - Accent1 4 9" xfId="9620" xr:uid="{DC5D6365-D4C3-4FC3-9DF4-9D253079D526}"/>
    <cellStyle name="20% - Accent1 5" xfId="570" xr:uid="{00000000-0005-0000-0000-00008E000000}"/>
    <cellStyle name="20% - Accent1 5 2" xfId="2841" xr:uid="{00000000-0005-0000-0000-00008F000000}"/>
    <cellStyle name="20% - Accent1 5 2 2" xfId="7063" xr:uid="{00000000-0005-0000-0000-000090000000}"/>
    <cellStyle name="20% - Accent1 5 2 2 2" xfId="16389" xr:uid="{C8E5ACDB-5F7E-49F1-954E-1BDC67B01026}"/>
    <cellStyle name="20% - Accent1 5 2 2 3" xfId="24836" xr:uid="{BEB6B5A2-748B-4733-8E4D-98C0E275E0D4}"/>
    <cellStyle name="20% - Accent1 5 2 2 4" xfId="33283" xr:uid="{72055DE5-DD29-4595-9675-8423EAD37480}"/>
    <cellStyle name="20% - Accent1 5 2 3" xfId="12172" xr:uid="{3BB577D0-55A8-4ED3-9DA0-1C884944D2F4}"/>
    <cellStyle name="20% - Accent1 5 2 4" xfId="20619" xr:uid="{05A1F562-DDCB-4026-88A0-F4E4CAC93A3B}"/>
    <cellStyle name="20% - Accent1 5 2 5" xfId="29066" xr:uid="{76AF0527-D529-4217-8B65-6833DB271137}"/>
    <cellStyle name="20% - Accent1 5 3" xfId="4918" xr:uid="{00000000-0005-0000-0000-000091000000}"/>
    <cellStyle name="20% - Accent1 5 3 2" xfId="14244" xr:uid="{0E5D19D0-8E94-4FA6-903F-44C24277C2B5}"/>
    <cellStyle name="20% - Accent1 5 3 3" xfId="22691" xr:uid="{73EF4FC9-7913-4F44-B1D1-D5364D7D4830}"/>
    <cellStyle name="20% - Accent1 5 3 4" xfId="31138" xr:uid="{29111D8B-84D2-482A-BE64-AA98F863B11F}"/>
    <cellStyle name="20% - Accent1 5 4" xfId="9180" xr:uid="{D0AEF57E-25E3-47C5-B910-DC1A0019F498}"/>
    <cellStyle name="20% - Accent1 5 5" xfId="10027" xr:uid="{A2E3CFAE-8D8E-404E-91B5-ABF7F0B89FBF}"/>
    <cellStyle name="20% - Accent1 5 6" xfId="18474" xr:uid="{F4B7850F-2309-4F7A-B61D-1E05BCD12F33}"/>
    <cellStyle name="20% - Accent1 5 7" xfId="26921" xr:uid="{3BAA492B-0257-4707-8529-A85C2BB2C375}"/>
    <cellStyle name="20% - Accent1 6" xfId="1023" xr:uid="{00000000-0005-0000-0000-000092000000}"/>
    <cellStyle name="20% - Accent1 6 2" xfId="3254" xr:uid="{00000000-0005-0000-0000-000093000000}"/>
    <cellStyle name="20% - Accent1 6 2 2" xfId="7476" xr:uid="{00000000-0005-0000-0000-000094000000}"/>
    <cellStyle name="20% - Accent1 6 2 2 2" xfId="16802" xr:uid="{4D63C33B-DE3C-4847-A519-0991BC7B0B34}"/>
    <cellStyle name="20% - Accent1 6 2 2 3" xfId="25249" xr:uid="{64BC750C-E1E9-4E2E-B2F3-CA1B0CE919FD}"/>
    <cellStyle name="20% - Accent1 6 2 2 4" xfId="33696" xr:uid="{13F76DEB-D9E1-4A93-84D6-6F1A46A18034}"/>
    <cellStyle name="20% - Accent1 6 2 3" xfId="12585" xr:uid="{44613A01-4097-445F-9A68-68339A626C8E}"/>
    <cellStyle name="20% - Accent1 6 2 4" xfId="21032" xr:uid="{BF6BCDDC-A0D5-4E42-B704-DF8B7544F4EE}"/>
    <cellStyle name="20% - Accent1 6 2 5" xfId="29479" xr:uid="{A04B803D-FE3C-4754-AE10-FBCF0C562471}"/>
    <cellStyle name="20% - Accent1 6 3" xfId="5331" xr:uid="{00000000-0005-0000-0000-000095000000}"/>
    <cellStyle name="20% - Accent1 6 3 2" xfId="14657" xr:uid="{371767F3-8235-47CC-9DB7-BAF4A7AB950E}"/>
    <cellStyle name="20% - Accent1 6 3 3" xfId="23104" xr:uid="{3B62FBA5-1CCD-4BA1-89D8-D677B87D281D}"/>
    <cellStyle name="20% - Accent1 6 3 4" xfId="31551" xr:uid="{278F2F31-E909-49A9-9902-63A549799C02}"/>
    <cellStyle name="20% - Accent1 6 4" xfId="10440" xr:uid="{67C90312-1956-42D6-9070-0855D276958C}"/>
    <cellStyle name="20% - Accent1 6 5" xfId="18887" xr:uid="{25AA6BCA-014C-46E1-9370-77C230BBF0F3}"/>
    <cellStyle name="20% - Accent1 6 6" xfId="27334" xr:uid="{21B6CE4D-C5A6-4D99-93A5-C429B7240A2B}"/>
    <cellStyle name="20% - Accent1 7" xfId="1437" xr:uid="{00000000-0005-0000-0000-000096000000}"/>
    <cellStyle name="20% - Accent1 7 2" xfId="3667" xr:uid="{00000000-0005-0000-0000-000097000000}"/>
    <cellStyle name="20% - Accent1 7 2 2" xfId="7889" xr:uid="{00000000-0005-0000-0000-000098000000}"/>
    <cellStyle name="20% - Accent1 7 2 2 2" xfId="17215" xr:uid="{071C0081-8E0B-422B-A616-D75594E06770}"/>
    <cellStyle name="20% - Accent1 7 2 2 3" xfId="25662" xr:uid="{6E431613-2A7F-4411-AC46-52ABD308037A}"/>
    <cellStyle name="20% - Accent1 7 2 2 4" xfId="34109" xr:uid="{B122A0AC-99FC-470E-8364-91E628527224}"/>
    <cellStyle name="20% - Accent1 7 2 3" xfId="12998" xr:uid="{20C60C67-AA09-4D46-98CB-72C18499C401}"/>
    <cellStyle name="20% - Accent1 7 2 4" xfId="21445" xr:uid="{670D63E4-638E-4A0F-ACE3-BA319138D139}"/>
    <cellStyle name="20% - Accent1 7 2 5" xfId="29892" xr:uid="{FC2A27D9-DB00-4291-8FD4-0CD26391F8FD}"/>
    <cellStyle name="20% - Accent1 7 3" xfId="5744" xr:uid="{00000000-0005-0000-0000-000099000000}"/>
    <cellStyle name="20% - Accent1 7 3 2" xfId="15070" xr:uid="{8D55A4E3-75EE-457B-A8B0-D4C1DAB851A2}"/>
    <cellStyle name="20% - Accent1 7 3 3" xfId="23517" xr:uid="{349EA47F-8D12-420A-ABE8-1F4AD0D84C10}"/>
    <cellStyle name="20% - Accent1 7 3 4" xfId="31964" xr:uid="{BEF83B69-07A0-47C6-97E4-4755A30B6199}"/>
    <cellStyle name="20% - Accent1 7 4" xfId="10853" xr:uid="{9082B250-0C44-4A77-A43B-BCA59D2A0F2B}"/>
    <cellStyle name="20% - Accent1 7 5" xfId="19300" xr:uid="{78150F46-9438-4F20-A2CD-3647DE7D2FC9}"/>
    <cellStyle name="20% - Accent1 7 6" xfId="27747" xr:uid="{8F8F180B-2EB7-484E-82A5-C56BF38524A2}"/>
    <cellStyle name="20% - Accent1 8" xfId="1851" xr:uid="{00000000-0005-0000-0000-00009A000000}"/>
    <cellStyle name="20% - Accent1 8 2" xfId="4080" xr:uid="{00000000-0005-0000-0000-00009B000000}"/>
    <cellStyle name="20% - Accent1 8 2 2" xfId="8302" xr:uid="{00000000-0005-0000-0000-00009C000000}"/>
    <cellStyle name="20% - Accent1 8 2 2 2" xfId="17628" xr:uid="{24B02B65-B62F-47B9-B10B-71EFFDE64A01}"/>
    <cellStyle name="20% - Accent1 8 2 2 3" xfId="26075" xr:uid="{EA90AD36-E5B0-4F3C-93C6-47FC1427630E}"/>
    <cellStyle name="20% - Accent1 8 2 2 4" xfId="34522" xr:uid="{4CDAC2B3-C047-49FC-945A-DF58AEB844F2}"/>
    <cellStyle name="20% - Accent1 8 2 3" xfId="13411" xr:uid="{05957899-6F9A-4478-98E3-E1500DF59478}"/>
    <cellStyle name="20% - Accent1 8 2 4" xfId="21858" xr:uid="{83B56234-8095-463E-8459-74DFAE466894}"/>
    <cellStyle name="20% - Accent1 8 2 5" xfId="30305" xr:uid="{19A5B28D-698F-42CC-A124-10F798C27DDF}"/>
    <cellStyle name="20% - Accent1 8 3" xfId="6157" xr:uid="{00000000-0005-0000-0000-00009D000000}"/>
    <cellStyle name="20% - Accent1 8 3 2" xfId="15483" xr:uid="{4DBC6F58-7321-4DDB-B302-77917EAA4225}"/>
    <cellStyle name="20% - Accent1 8 3 3" xfId="23930" xr:uid="{047AF8BF-E64C-41F4-A332-F6C45F1969C6}"/>
    <cellStyle name="20% - Accent1 8 3 4" xfId="32377" xr:uid="{4BB63DE9-94F2-49A8-9093-BABBA2E5285E}"/>
    <cellStyle name="20% - Accent1 8 4" xfId="11266" xr:uid="{DCF8AF29-E216-4E78-9E75-C6201B5FC549}"/>
    <cellStyle name="20% - Accent1 8 5" xfId="19713" xr:uid="{E2E41C61-18A7-4E24-BE90-854579766497}"/>
    <cellStyle name="20% - Accent1 8 6" xfId="28160" xr:uid="{EBEBDA61-9F56-471E-8512-6B8A2CAFFD8B}"/>
    <cellStyle name="20% - Accent1 9" xfId="2264" xr:uid="{00000000-0005-0000-0000-00009E000000}"/>
    <cellStyle name="20% - Accent1 9 2" xfId="6570" xr:uid="{00000000-0005-0000-0000-00009F000000}"/>
    <cellStyle name="20% - Accent1 9 2 2" xfId="15896" xr:uid="{3817370C-709F-49FC-827B-57BF25CCCB28}"/>
    <cellStyle name="20% - Accent1 9 2 3" xfId="24343" xr:uid="{2C1FE82F-6F00-4DAF-A4CC-03F8BBE9D51F}"/>
    <cellStyle name="20% - Accent1 9 2 4" xfId="32790" xr:uid="{F9E05E30-763A-4800-BC34-F8531C379BDB}"/>
    <cellStyle name="20% - Accent1 9 3" xfId="11679" xr:uid="{22128B05-F34F-4D14-B49A-4EB5A5E8444F}"/>
    <cellStyle name="20% - Accent1 9 4" xfId="20126" xr:uid="{EB2C4503-04FB-4968-B8A4-697C5F0E3A60}"/>
    <cellStyle name="20% - Accent1 9 5" xfId="28573" xr:uid="{B3F27F10-BD71-4BB2-9487-B64BC544A754}"/>
    <cellStyle name="20% - Accent2" xfId="9" builtinId="34" customBuiltin="1"/>
    <cellStyle name="20% - Accent2 10" xfId="4512" xr:uid="{00000000-0005-0000-0000-0000A1000000}"/>
    <cellStyle name="20% - Accent2 10 2" xfId="13838" xr:uid="{7AD116DE-BB73-4F11-936C-7E889BB6DBB9}"/>
    <cellStyle name="20% - Accent2 10 3" xfId="22285" xr:uid="{1E5ED4EF-2C10-4879-BB4D-6506F74721BA}"/>
    <cellStyle name="20% - Accent2 10 4" xfId="30732" xr:uid="{50A98358-5A28-47A7-AAE4-152AD259B8E4}"/>
    <cellStyle name="20% - Accent2 11" xfId="8760" xr:uid="{2F9D8AF1-C115-467C-ADFB-3BF13039D076}"/>
    <cellStyle name="20% - Accent2 12" xfId="9621" xr:uid="{AC9A554A-3A0C-4015-B2CC-2DE9D202628D}"/>
    <cellStyle name="20% - Accent2 13" xfId="18068" xr:uid="{F6C9578B-8B15-4E06-810C-82F725369F8D}"/>
    <cellStyle name="20% - Accent2 14" xfId="26515" xr:uid="{F9AE9608-926C-4ADD-8B0D-91C14CC8A784}"/>
    <cellStyle name="20% - Accent2 2" xfId="10" xr:uid="{00000000-0005-0000-0000-0000A2000000}"/>
    <cellStyle name="20% - Accent2 2 10" xfId="8793" xr:uid="{AA7C3473-3A75-4F75-9E25-D7658C57F3A0}"/>
    <cellStyle name="20% - Accent2 2 11" xfId="9622" xr:uid="{94F90453-99F4-4C52-844A-0F4ADF33FB16}"/>
    <cellStyle name="20% - Accent2 2 12" xfId="18069" xr:uid="{7E11BEBB-556C-4235-B119-D754B745C231}"/>
    <cellStyle name="20% - Accent2 2 13" xfId="26516" xr:uid="{028A556A-85B4-4639-B645-CDD6FF5AE8BF}"/>
    <cellStyle name="20% - Accent2 2 2" xfId="11" xr:uid="{00000000-0005-0000-0000-0000A3000000}"/>
    <cellStyle name="20% - Accent2 2 2 10" xfId="9623" xr:uid="{15876996-883F-449C-BC75-29E339A34EF1}"/>
    <cellStyle name="20% - Accent2 2 2 11" xfId="18070" xr:uid="{714E4233-97B8-403D-BC03-2BFB1492E75C}"/>
    <cellStyle name="20% - Accent2 2 2 12" xfId="26517" xr:uid="{9EA72145-9453-4594-9B00-8C512F0C112C}"/>
    <cellStyle name="20% - Accent2 2 2 2" xfId="12" xr:uid="{00000000-0005-0000-0000-0000A4000000}"/>
    <cellStyle name="20% - Accent2 2 2 2 10" xfId="18071" xr:uid="{694B0D60-E6CB-401B-9B75-3A2714D39555}"/>
    <cellStyle name="20% - Accent2 2 2 2 11" xfId="26518" xr:uid="{F77FBB73-78AC-4B93-AFF6-927D5699958F}"/>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16400" xr:uid="{B557A507-4707-4EEF-9C81-B405AB985BB9}"/>
    <cellStyle name="20% - Accent2 2 2 2 2 2 2 3" xfId="24847" xr:uid="{F55F5678-7446-4FAE-A9E9-7C42FE35B7CD}"/>
    <cellStyle name="20% - Accent2 2 2 2 2 2 2 4" xfId="33294" xr:uid="{B2B17656-BA1A-4F8C-A193-F318CBFB7B4D}"/>
    <cellStyle name="20% - Accent2 2 2 2 2 2 3" xfId="12183" xr:uid="{1168C57C-03D0-41EA-A910-6869D92C0350}"/>
    <cellStyle name="20% - Accent2 2 2 2 2 2 4" xfId="20630" xr:uid="{2767F648-3824-47D1-98DB-D3FCA2587A73}"/>
    <cellStyle name="20% - Accent2 2 2 2 2 2 5" xfId="29077" xr:uid="{6C203B11-301D-4FEF-8369-71B5514202F9}"/>
    <cellStyle name="20% - Accent2 2 2 2 2 3" xfId="4929" xr:uid="{00000000-0005-0000-0000-0000A8000000}"/>
    <cellStyle name="20% - Accent2 2 2 2 2 3 2" xfId="14255" xr:uid="{D706503F-9E94-435D-89C2-2CFBA4820EC2}"/>
    <cellStyle name="20% - Accent2 2 2 2 2 3 3" xfId="22702" xr:uid="{D28A746E-F885-45D6-AAF7-0F5DD567B3CD}"/>
    <cellStyle name="20% - Accent2 2 2 2 2 3 4" xfId="31149" xr:uid="{62B1852B-C2B1-417A-836E-5D5002C79886}"/>
    <cellStyle name="20% - Accent2 2 2 2 2 4" xfId="9528" xr:uid="{C8BEA541-FD8B-4449-95AA-43E1904F35BB}"/>
    <cellStyle name="20% - Accent2 2 2 2 2 5" xfId="10038" xr:uid="{034F2BF1-1463-44EC-8C1E-DBAC9126D8A7}"/>
    <cellStyle name="20% - Accent2 2 2 2 2 6" xfId="18485" xr:uid="{99E4A508-7691-417A-AA45-DE670F660C32}"/>
    <cellStyle name="20% - Accent2 2 2 2 2 7" xfId="26932" xr:uid="{D054F517-AB06-44F6-BC0A-580654C6455F}"/>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16813" xr:uid="{2D4AB164-0317-4A93-B1FD-6F420EE5C1C9}"/>
    <cellStyle name="20% - Accent2 2 2 2 3 2 2 3" xfId="25260" xr:uid="{DDE9FF25-77FD-4619-8F50-15C16731627B}"/>
    <cellStyle name="20% - Accent2 2 2 2 3 2 2 4" xfId="33707" xr:uid="{EE670D32-67F5-47EB-8D79-48CDA2DF3BF5}"/>
    <cellStyle name="20% - Accent2 2 2 2 3 2 3" xfId="12596" xr:uid="{4B047F50-E40E-4643-A57B-561567F1EDC7}"/>
    <cellStyle name="20% - Accent2 2 2 2 3 2 4" xfId="21043" xr:uid="{F6BF626C-77EE-40C5-A475-59F085B22396}"/>
    <cellStyle name="20% - Accent2 2 2 2 3 2 5" xfId="29490" xr:uid="{2EFC72DE-28DE-422E-B3E9-AE8A39A6F84A}"/>
    <cellStyle name="20% - Accent2 2 2 2 3 3" xfId="5342" xr:uid="{00000000-0005-0000-0000-0000AC000000}"/>
    <cellStyle name="20% - Accent2 2 2 2 3 3 2" xfId="14668" xr:uid="{DB55B371-DCA8-4B40-86A2-69A8EE70729D}"/>
    <cellStyle name="20% - Accent2 2 2 2 3 3 3" xfId="23115" xr:uid="{72BF4713-D230-4757-A577-985925A275CF}"/>
    <cellStyle name="20% - Accent2 2 2 2 3 3 4" xfId="31562" xr:uid="{6AAC6AA0-BE43-4A03-AD57-CF4C0B813578}"/>
    <cellStyle name="20% - Accent2 2 2 2 3 4" xfId="10451" xr:uid="{A4026650-860A-4D2E-995C-72C5C309B197}"/>
    <cellStyle name="20% - Accent2 2 2 2 3 5" xfId="18898" xr:uid="{E11484A1-C0D1-4C9D-956F-F23729B2B540}"/>
    <cellStyle name="20% - Accent2 2 2 2 3 6" xfId="27345" xr:uid="{1D1C9CFF-DEE8-4EAB-BB2E-9DC1E107CA3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17226" xr:uid="{806E2760-43A9-4B84-8970-9A1DAC2AE4C8}"/>
    <cellStyle name="20% - Accent2 2 2 2 4 2 2 3" xfId="25673" xr:uid="{BBFAC310-E428-4430-9EF1-2DC49A545466}"/>
    <cellStyle name="20% - Accent2 2 2 2 4 2 2 4" xfId="34120" xr:uid="{E5A06769-0F78-4262-B1F1-F4CA5E2166A3}"/>
    <cellStyle name="20% - Accent2 2 2 2 4 2 3" xfId="13009" xr:uid="{5531A636-9E56-45E8-AA8D-DABED2A04888}"/>
    <cellStyle name="20% - Accent2 2 2 2 4 2 4" xfId="21456" xr:uid="{F5B63831-8F09-4A00-8BE0-F8652ECCA435}"/>
    <cellStyle name="20% - Accent2 2 2 2 4 2 5" xfId="29903" xr:uid="{D7D20A33-9E51-4D3D-AD4E-4C787129D896}"/>
    <cellStyle name="20% - Accent2 2 2 2 4 3" xfId="5755" xr:uid="{00000000-0005-0000-0000-0000B0000000}"/>
    <cellStyle name="20% - Accent2 2 2 2 4 3 2" xfId="15081" xr:uid="{DD7B769F-7D99-4CED-B0C5-E4E407A1B370}"/>
    <cellStyle name="20% - Accent2 2 2 2 4 3 3" xfId="23528" xr:uid="{C597C532-7ACB-41A0-93A5-D334BF3C9ECE}"/>
    <cellStyle name="20% - Accent2 2 2 2 4 3 4" xfId="31975" xr:uid="{035FF68A-A505-4E13-BC93-FDC35FA0D482}"/>
    <cellStyle name="20% - Accent2 2 2 2 4 4" xfId="10864" xr:uid="{1099E078-8345-441D-AD2C-64764329892F}"/>
    <cellStyle name="20% - Accent2 2 2 2 4 5" xfId="19311" xr:uid="{B13A58F4-144E-4C68-87E9-2637225DF272}"/>
    <cellStyle name="20% - Accent2 2 2 2 4 6" xfId="27758" xr:uid="{82463677-E716-4DA7-AE18-96FB0F28C8B9}"/>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17639" xr:uid="{665699F3-3090-4384-9F26-75994029B336}"/>
    <cellStyle name="20% - Accent2 2 2 2 5 2 2 3" xfId="26086" xr:uid="{4D1A9D70-023E-47CF-BB02-AB1FFB349FB4}"/>
    <cellStyle name="20% - Accent2 2 2 2 5 2 2 4" xfId="34533" xr:uid="{7BB2DDA1-79D0-4658-9863-4F66D11F1DF8}"/>
    <cellStyle name="20% - Accent2 2 2 2 5 2 3" xfId="13422" xr:uid="{B9292281-6B93-42F7-A5E1-F8B5C5C9DD8D}"/>
    <cellStyle name="20% - Accent2 2 2 2 5 2 4" xfId="21869" xr:uid="{F7E81AA5-611B-44AA-AB3B-22C3CC3B6CE9}"/>
    <cellStyle name="20% - Accent2 2 2 2 5 2 5" xfId="30316" xr:uid="{859138FE-F9E4-476F-89E3-36D4548ECF63}"/>
    <cellStyle name="20% - Accent2 2 2 2 5 3" xfId="6168" xr:uid="{00000000-0005-0000-0000-0000B4000000}"/>
    <cellStyle name="20% - Accent2 2 2 2 5 3 2" xfId="15494" xr:uid="{5B3F11D1-73CE-49B7-A3E7-395CB2B244EE}"/>
    <cellStyle name="20% - Accent2 2 2 2 5 3 3" xfId="23941" xr:uid="{8B0B3810-6D64-4D7C-895C-704262FC8800}"/>
    <cellStyle name="20% - Accent2 2 2 2 5 3 4" xfId="32388" xr:uid="{7E352479-A9A1-4405-AE8B-C15BA9EB3B4B}"/>
    <cellStyle name="20% - Accent2 2 2 2 5 4" xfId="11277" xr:uid="{823DDD11-1FCC-444A-9733-B5E33B7994A7}"/>
    <cellStyle name="20% - Accent2 2 2 2 5 5" xfId="19724" xr:uid="{5C7EE6C1-A2B7-4C0C-86DF-BEFBCCAD7F45}"/>
    <cellStyle name="20% - Accent2 2 2 2 5 6" xfId="28171" xr:uid="{CF4E81D3-1751-4D80-A187-07AC9E562E3A}"/>
    <cellStyle name="20% - Accent2 2 2 2 6" xfId="2275" xr:uid="{00000000-0005-0000-0000-0000B5000000}"/>
    <cellStyle name="20% - Accent2 2 2 2 6 2" xfId="6581" xr:uid="{00000000-0005-0000-0000-0000B6000000}"/>
    <cellStyle name="20% - Accent2 2 2 2 6 2 2" xfId="15907" xr:uid="{A38C88C3-C78D-49BA-B844-BB7BEB8C748D}"/>
    <cellStyle name="20% - Accent2 2 2 2 6 2 3" xfId="24354" xr:uid="{1ACC59DC-C42C-444C-84F1-631D98BBF4B3}"/>
    <cellStyle name="20% - Accent2 2 2 2 6 2 4" xfId="32801" xr:uid="{68560D4D-9DF3-43AA-92AA-3BFD6283D1D7}"/>
    <cellStyle name="20% - Accent2 2 2 2 6 3" xfId="11690" xr:uid="{2F1DCB9F-0438-4CDA-87F3-911BF291ABEF}"/>
    <cellStyle name="20% - Accent2 2 2 2 6 4" xfId="20137" xr:uid="{36A96550-2C72-4835-B634-736684CC949F}"/>
    <cellStyle name="20% - Accent2 2 2 2 6 5" xfId="28584" xr:uid="{F4E7AE58-4DE7-443F-9BA4-919D2384ACD7}"/>
    <cellStyle name="20% - Accent2 2 2 2 7" xfId="4515" xr:uid="{00000000-0005-0000-0000-0000B7000000}"/>
    <cellStyle name="20% - Accent2 2 2 2 7 2" xfId="13841" xr:uid="{7C5615FF-EF35-43EE-9617-B4E4730B9172}"/>
    <cellStyle name="20% - Accent2 2 2 2 7 3" xfId="22288" xr:uid="{E8545131-B8D8-436D-AC3E-83C83FF38A8D}"/>
    <cellStyle name="20% - Accent2 2 2 2 7 4" xfId="30735" xr:uid="{20E7DBB1-0AD4-456A-A6C0-56B2D100281F}"/>
    <cellStyle name="20% - Accent2 2 2 2 8" xfId="9103" xr:uid="{91DB80A1-3464-4086-B948-71B6A26537C4}"/>
    <cellStyle name="20% - Accent2 2 2 2 9" xfId="9624" xr:uid="{78BC4032-B3B8-489C-ADBF-00FEB10FB78C}"/>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16399" xr:uid="{9862AE7B-678D-465C-BCF8-A42CFCB46E8A}"/>
    <cellStyle name="20% - Accent2 2 2 3 2 2 3" xfId="24846" xr:uid="{252EC7D5-C0D4-485E-BC90-63E2BB4B9288}"/>
    <cellStyle name="20% - Accent2 2 2 3 2 2 4" xfId="33293" xr:uid="{CF1CC6DC-471B-4C4A-A883-217292ED6A66}"/>
    <cellStyle name="20% - Accent2 2 2 3 2 3" xfId="12182" xr:uid="{08D2DBB9-5EBC-4678-8627-51609F3A270A}"/>
    <cellStyle name="20% - Accent2 2 2 3 2 4" xfId="20629" xr:uid="{BD93E916-E78D-414F-8E14-F181C4D2EB33}"/>
    <cellStyle name="20% - Accent2 2 2 3 2 5" xfId="29076" xr:uid="{E3241B81-1349-4FEE-8E33-836DF3DA5A8A}"/>
    <cellStyle name="20% - Accent2 2 2 3 3" xfId="4928" xr:uid="{00000000-0005-0000-0000-0000BB000000}"/>
    <cellStyle name="20% - Accent2 2 2 3 3 2" xfId="14254" xr:uid="{244F0AF9-F0FF-4C70-B37B-4781B5CF0963}"/>
    <cellStyle name="20% - Accent2 2 2 3 3 3" xfId="22701" xr:uid="{B00413B8-C0A8-4B97-96A1-4372399F7FD5}"/>
    <cellStyle name="20% - Accent2 2 2 3 3 4" xfId="31148" xr:uid="{7EC4CC67-5242-4409-A3D0-70C2D079946C}"/>
    <cellStyle name="20% - Accent2 2 2 3 4" xfId="9321" xr:uid="{32B21C3A-E360-4F19-B469-1116F045A0F3}"/>
    <cellStyle name="20% - Accent2 2 2 3 5" xfId="10037" xr:uid="{1870F5CA-23E9-4018-B93F-634D1684150F}"/>
    <cellStyle name="20% - Accent2 2 2 3 6" xfId="18484" xr:uid="{241C2D06-0667-4025-8F50-AC32586A79E8}"/>
    <cellStyle name="20% - Accent2 2 2 3 7" xfId="26931" xr:uid="{6E2613F1-77D4-4923-A9DA-9DAD23323320}"/>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16812" xr:uid="{D6D1573A-8CA6-4874-A3FF-2ED1FA6452F6}"/>
    <cellStyle name="20% - Accent2 2 2 4 2 2 3" xfId="25259" xr:uid="{A9895429-D34D-44E0-B6D4-964EC2BFF47C}"/>
    <cellStyle name="20% - Accent2 2 2 4 2 2 4" xfId="33706" xr:uid="{12EF6534-C6A0-4A54-BAE5-C89CA5916199}"/>
    <cellStyle name="20% - Accent2 2 2 4 2 3" xfId="12595" xr:uid="{BD1B7D2C-8E3C-413A-AEEE-01A28F4855CA}"/>
    <cellStyle name="20% - Accent2 2 2 4 2 4" xfId="21042" xr:uid="{9B42D754-E708-4835-82BF-1991C5FF0534}"/>
    <cellStyle name="20% - Accent2 2 2 4 2 5" xfId="29489" xr:uid="{A46AA8BF-66E5-41FF-8822-CFAA70B5EC60}"/>
    <cellStyle name="20% - Accent2 2 2 4 3" xfId="5341" xr:uid="{00000000-0005-0000-0000-0000BF000000}"/>
    <cellStyle name="20% - Accent2 2 2 4 3 2" xfId="14667" xr:uid="{A7F4AA60-5699-4169-A1D3-F0E8FFC095BC}"/>
    <cellStyle name="20% - Accent2 2 2 4 3 3" xfId="23114" xr:uid="{585E9789-8F28-453E-B3D3-75BF9263E789}"/>
    <cellStyle name="20% - Accent2 2 2 4 3 4" xfId="31561" xr:uid="{D276766F-3D6B-4EB6-8D35-EE7F1C8A6C16}"/>
    <cellStyle name="20% - Accent2 2 2 4 4" xfId="10450" xr:uid="{E06B0640-5D2B-4ECE-A1E1-712868075DE4}"/>
    <cellStyle name="20% - Accent2 2 2 4 5" xfId="18897" xr:uid="{3DCEC1FC-D23E-4FF2-B6FA-4D14B604B4FF}"/>
    <cellStyle name="20% - Accent2 2 2 4 6" xfId="27344" xr:uid="{0B1502F6-9FB2-4A5B-9592-AB477F064FBA}"/>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17225" xr:uid="{7B4EF347-9601-43E3-B2C2-A2F0BB1E5000}"/>
    <cellStyle name="20% - Accent2 2 2 5 2 2 3" xfId="25672" xr:uid="{BD27413C-E4AF-454E-BC40-C648493DA2E5}"/>
    <cellStyle name="20% - Accent2 2 2 5 2 2 4" xfId="34119" xr:uid="{4678A694-24F7-4663-B1DD-8FEE07869886}"/>
    <cellStyle name="20% - Accent2 2 2 5 2 3" xfId="13008" xr:uid="{9EEA120D-F92F-4DDD-A3E4-EEA8F143C1B9}"/>
    <cellStyle name="20% - Accent2 2 2 5 2 4" xfId="21455" xr:uid="{625D6282-42DA-4087-B287-9D2185BC4024}"/>
    <cellStyle name="20% - Accent2 2 2 5 2 5" xfId="29902" xr:uid="{AA558F52-4204-42D2-9748-2AB01EA450EC}"/>
    <cellStyle name="20% - Accent2 2 2 5 3" xfId="5754" xr:uid="{00000000-0005-0000-0000-0000C3000000}"/>
    <cellStyle name="20% - Accent2 2 2 5 3 2" xfId="15080" xr:uid="{F7EBA947-E449-415B-8E4A-3E8173C85981}"/>
    <cellStyle name="20% - Accent2 2 2 5 3 3" xfId="23527" xr:uid="{D492258D-4458-4703-B7CB-CC6781FFBB51}"/>
    <cellStyle name="20% - Accent2 2 2 5 3 4" xfId="31974" xr:uid="{7E0BE92D-FB15-4603-A27D-78803B17774B}"/>
    <cellStyle name="20% - Accent2 2 2 5 4" xfId="10863" xr:uid="{9EDADCF9-A901-42F2-AD21-135D5313BDE4}"/>
    <cellStyle name="20% - Accent2 2 2 5 5" xfId="19310" xr:uid="{C91CEFC7-5F28-4C20-B549-5D0AC76E1A09}"/>
    <cellStyle name="20% - Accent2 2 2 5 6" xfId="27757" xr:uid="{AA18D752-7B77-4F8C-9105-655F6FE3CC9D}"/>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17638" xr:uid="{456AD000-C232-4015-80F5-D3DD1420E1C3}"/>
    <cellStyle name="20% - Accent2 2 2 6 2 2 3" xfId="26085" xr:uid="{3FC3F1FA-870F-4F5E-99A4-2053F16DB734}"/>
    <cellStyle name="20% - Accent2 2 2 6 2 2 4" xfId="34532" xr:uid="{986D9682-7E9F-4950-B0A2-B90DD7B72936}"/>
    <cellStyle name="20% - Accent2 2 2 6 2 3" xfId="13421" xr:uid="{FAB69CA8-87E4-49C7-BE21-98AD01144722}"/>
    <cellStyle name="20% - Accent2 2 2 6 2 4" xfId="21868" xr:uid="{64FC6686-0775-410F-8D66-576B6D5DCEFE}"/>
    <cellStyle name="20% - Accent2 2 2 6 2 5" xfId="30315" xr:uid="{2B16BC81-0971-454A-877F-7E215F114C88}"/>
    <cellStyle name="20% - Accent2 2 2 6 3" xfId="6167" xr:uid="{00000000-0005-0000-0000-0000C7000000}"/>
    <cellStyle name="20% - Accent2 2 2 6 3 2" xfId="15493" xr:uid="{605BE17D-C639-4075-A02B-0AFBD0B23B92}"/>
    <cellStyle name="20% - Accent2 2 2 6 3 3" xfId="23940" xr:uid="{FD8632BB-42AD-48D7-832D-D2E3E5C7ED06}"/>
    <cellStyle name="20% - Accent2 2 2 6 3 4" xfId="32387" xr:uid="{8BB6C654-BE22-4704-B28A-38208648EADF}"/>
    <cellStyle name="20% - Accent2 2 2 6 4" xfId="11276" xr:uid="{1C068908-273F-4C23-86A8-E417F42F316A}"/>
    <cellStyle name="20% - Accent2 2 2 6 5" xfId="19723" xr:uid="{749F8C6F-69FD-48CC-936A-41A699C79D75}"/>
    <cellStyle name="20% - Accent2 2 2 6 6" xfId="28170" xr:uid="{AD8CDB65-B4BF-47C6-B131-5D507725B459}"/>
    <cellStyle name="20% - Accent2 2 2 7" xfId="2274" xr:uid="{00000000-0005-0000-0000-0000C8000000}"/>
    <cellStyle name="20% - Accent2 2 2 7 2" xfId="6580" xr:uid="{00000000-0005-0000-0000-0000C9000000}"/>
    <cellStyle name="20% - Accent2 2 2 7 2 2" xfId="15906" xr:uid="{B94D99F9-F627-488E-99E9-4DCA0E14DF37}"/>
    <cellStyle name="20% - Accent2 2 2 7 2 3" xfId="24353" xr:uid="{32E097F7-9D7F-4AB3-8214-E087A85ADA4C}"/>
    <cellStyle name="20% - Accent2 2 2 7 2 4" xfId="32800" xr:uid="{04CCE5A7-8513-4DCD-8FD1-E92A2308B3A9}"/>
    <cellStyle name="20% - Accent2 2 2 7 3" xfId="11689" xr:uid="{179CDA27-4E22-4EBF-BF54-BA1BF188811E}"/>
    <cellStyle name="20% - Accent2 2 2 7 4" xfId="20136" xr:uid="{559E5FA6-F39D-4D5E-87D7-75F80DE6BDDE}"/>
    <cellStyle name="20% - Accent2 2 2 7 5" xfId="28583" xr:uid="{7C39481D-E5D6-4C49-8CB0-057E58270590}"/>
    <cellStyle name="20% - Accent2 2 2 8" xfId="4514" xr:uid="{00000000-0005-0000-0000-0000CA000000}"/>
    <cellStyle name="20% - Accent2 2 2 8 2" xfId="13840" xr:uid="{3A3F70F4-2642-46BE-BBBE-9E5878C7BBBE}"/>
    <cellStyle name="20% - Accent2 2 2 8 3" xfId="22287" xr:uid="{11968A08-9E12-4583-91A4-D58E3C13F7D1}"/>
    <cellStyle name="20% - Accent2 2 2 8 4" xfId="30734" xr:uid="{22A860AE-B522-45D6-8A60-32675AF74222}"/>
    <cellStyle name="20% - Accent2 2 2 9" xfId="8896" xr:uid="{7CDAA0F1-5BE6-4749-AD4D-5424E0EA26D8}"/>
    <cellStyle name="20% - Accent2 2 3" xfId="13" xr:uid="{00000000-0005-0000-0000-0000CB000000}"/>
    <cellStyle name="20% - Accent2 2 3 10" xfId="18072" xr:uid="{E75A8EE8-5BA8-453E-949F-2F40CBA05B78}"/>
    <cellStyle name="20% - Accent2 2 3 11" xfId="26519" xr:uid="{AC99F8C8-2AB8-4657-8F0C-241B742329B6}"/>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16401" xr:uid="{ED9B39D5-9BA0-4F63-BB43-E25BE9EA383C}"/>
    <cellStyle name="20% - Accent2 2 3 2 2 2 3" xfId="24848" xr:uid="{4AA6440C-F88F-4AD7-9D41-4DD11D9E3F4B}"/>
    <cellStyle name="20% - Accent2 2 3 2 2 2 4" xfId="33295" xr:uid="{3AA154D1-9FD4-41D7-8EDB-AFE0AFBEC190}"/>
    <cellStyle name="20% - Accent2 2 3 2 2 3" xfId="12184" xr:uid="{91816B82-9E89-4A86-9EDA-B0F3DB7C61A2}"/>
    <cellStyle name="20% - Accent2 2 3 2 2 4" xfId="20631" xr:uid="{5DC44E46-A4B3-47D4-A05B-6B46B341705B}"/>
    <cellStyle name="20% - Accent2 2 3 2 2 5" xfId="29078" xr:uid="{BCACEF9F-15FD-43B1-8E8A-B1C5EAE41E5C}"/>
    <cellStyle name="20% - Accent2 2 3 2 3" xfId="4930" xr:uid="{00000000-0005-0000-0000-0000CF000000}"/>
    <cellStyle name="20% - Accent2 2 3 2 3 2" xfId="14256" xr:uid="{F668395D-03FF-4C07-8205-31D5ED32EE2D}"/>
    <cellStyle name="20% - Accent2 2 3 2 3 3" xfId="22703" xr:uid="{C6AE51C1-F728-44E4-90CC-0D2B34726BC6}"/>
    <cellStyle name="20% - Accent2 2 3 2 3 4" xfId="31150" xr:uid="{7A2268DB-6926-4B8A-9D40-8816ED639685}"/>
    <cellStyle name="20% - Accent2 2 3 2 4" xfId="9425" xr:uid="{35BECFF4-0F5A-4F6E-AE6E-354891135B4F}"/>
    <cellStyle name="20% - Accent2 2 3 2 5" xfId="10039" xr:uid="{79CD09FA-1D6A-4D61-81E6-3002C220AEC4}"/>
    <cellStyle name="20% - Accent2 2 3 2 6" xfId="18486" xr:uid="{249A0488-93C3-4FF2-B7A7-5A3EC38872AB}"/>
    <cellStyle name="20% - Accent2 2 3 2 7" xfId="26933" xr:uid="{6A52C3B8-9930-45CC-87AA-29B5969111AE}"/>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16814" xr:uid="{6078BF19-27CB-4E05-9B2E-62C3D8C0B605}"/>
    <cellStyle name="20% - Accent2 2 3 3 2 2 3" xfId="25261" xr:uid="{44911C80-F36A-456D-9AAD-C556D6396DE7}"/>
    <cellStyle name="20% - Accent2 2 3 3 2 2 4" xfId="33708" xr:uid="{BFAA61A9-95E1-4A22-A912-A7FC30D930A5}"/>
    <cellStyle name="20% - Accent2 2 3 3 2 3" xfId="12597" xr:uid="{EB4DBF8A-2382-4280-9238-850A06C6CC01}"/>
    <cellStyle name="20% - Accent2 2 3 3 2 4" xfId="21044" xr:uid="{BADB4A14-CBFA-4C2A-A986-41CF7009B05D}"/>
    <cellStyle name="20% - Accent2 2 3 3 2 5" xfId="29491" xr:uid="{C0A77BEC-BC6B-4013-B3EC-CF293BBB7A2E}"/>
    <cellStyle name="20% - Accent2 2 3 3 3" xfId="5343" xr:uid="{00000000-0005-0000-0000-0000D3000000}"/>
    <cellStyle name="20% - Accent2 2 3 3 3 2" xfId="14669" xr:uid="{DE3A3797-2340-47C0-BBED-59790C47DAEC}"/>
    <cellStyle name="20% - Accent2 2 3 3 3 3" xfId="23116" xr:uid="{4B186CBB-8915-4B7B-8FD6-4B29875BA352}"/>
    <cellStyle name="20% - Accent2 2 3 3 3 4" xfId="31563" xr:uid="{6B8AD3C9-51BD-469C-A544-F96F083F931B}"/>
    <cellStyle name="20% - Accent2 2 3 3 4" xfId="10452" xr:uid="{AE9D6511-34F5-4FC7-83AA-08C444D732E4}"/>
    <cellStyle name="20% - Accent2 2 3 3 5" xfId="18899" xr:uid="{C726942C-33E7-4E21-AFA2-C556E1C49D4E}"/>
    <cellStyle name="20% - Accent2 2 3 3 6" xfId="27346" xr:uid="{6F44FE98-0428-48A3-A3B4-CD58D6CA0957}"/>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17227" xr:uid="{E6AB5BC1-BA90-48AD-80E5-E8440E384446}"/>
    <cellStyle name="20% - Accent2 2 3 4 2 2 3" xfId="25674" xr:uid="{4B9A0F99-C66F-4648-82BD-1A6DC9009D6F}"/>
    <cellStyle name="20% - Accent2 2 3 4 2 2 4" xfId="34121" xr:uid="{FD005C2D-9E38-4CF2-98E1-F4DF17769AE0}"/>
    <cellStyle name="20% - Accent2 2 3 4 2 3" xfId="13010" xr:uid="{98C929A9-57B4-4B9C-AA07-9A357C5B2322}"/>
    <cellStyle name="20% - Accent2 2 3 4 2 4" xfId="21457" xr:uid="{C540B5D1-CD1A-4EEB-9918-96B937EAE895}"/>
    <cellStyle name="20% - Accent2 2 3 4 2 5" xfId="29904" xr:uid="{49B065A6-1C09-48F7-92DA-6FCEF972C6C6}"/>
    <cellStyle name="20% - Accent2 2 3 4 3" xfId="5756" xr:uid="{00000000-0005-0000-0000-0000D7000000}"/>
    <cellStyle name="20% - Accent2 2 3 4 3 2" xfId="15082" xr:uid="{4BCC5AD4-3F56-4BC8-AA4C-37CD46216425}"/>
    <cellStyle name="20% - Accent2 2 3 4 3 3" xfId="23529" xr:uid="{94FF1117-12C3-4CE1-BB64-D1AFC068A926}"/>
    <cellStyle name="20% - Accent2 2 3 4 3 4" xfId="31976" xr:uid="{C32CE301-A203-4527-A152-1B9729E8D671}"/>
    <cellStyle name="20% - Accent2 2 3 4 4" xfId="10865" xr:uid="{EBCE7CBA-DEB4-459E-AE2A-0FD88AA8533C}"/>
    <cellStyle name="20% - Accent2 2 3 4 5" xfId="19312" xr:uid="{D31135F0-F7BD-430D-B9B1-37FED7DA0089}"/>
    <cellStyle name="20% - Accent2 2 3 4 6" xfId="27759" xr:uid="{EB678B74-E61E-48BF-A2C3-8AFA60A42590}"/>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17640" xr:uid="{E87CEAEA-F2FF-4C9D-9C06-1D9D0F2B37AA}"/>
    <cellStyle name="20% - Accent2 2 3 5 2 2 3" xfId="26087" xr:uid="{A59143BC-B80A-4637-848B-4670388E1A9F}"/>
    <cellStyle name="20% - Accent2 2 3 5 2 2 4" xfId="34534" xr:uid="{2D7B029A-728D-4412-A1C5-C79F78002505}"/>
    <cellStyle name="20% - Accent2 2 3 5 2 3" xfId="13423" xr:uid="{AF2A5456-D38B-4001-86E7-42604C669F7D}"/>
    <cellStyle name="20% - Accent2 2 3 5 2 4" xfId="21870" xr:uid="{91B75B54-13AA-49A3-80DF-329FC22A252D}"/>
    <cellStyle name="20% - Accent2 2 3 5 2 5" xfId="30317" xr:uid="{11212BA6-F07B-4F90-A57E-C70885121F69}"/>
    <cellStyle name="20% - Accent2 2 3 5 3" xfId="6169" xr:uid="{00000000-0005-0000-0000-0000DB000000}"/>
    <cellStyle name="20% - Accent2 2 3 5 3 2" xfId="15495" xr:uid="{5155785A-B8BE-4246-AA0E-0932F27D2628}"/>
    <cellStyle name="20% - Accent2 2 3 5 3 3" xfId="23942" xr:uid="{A12074D2-5ADE-4302-A5F1-0158E4463722}"/>
    <cellStyle name="20% - Accent2 2 3 5 3 4" xfId="32389" xr:uid="{A785C730-5879-4054-9013-FCDF98EF71F2}"/>
    <cellStyle name="20% - Accent2 2 3 5 4" xfId="11278" xr:uid="{29C96FEF-DC91-44F5-A275-99FE92FF2388}"/>
    <cellStyle name="20% - Accent2 2 3 5 5" xfId="19725" xr:uid="{8FABD588-9E68-4E53-9399-0C2C2874149E}"/>
    <cellStyle name="20% - Accent2 2 3 5 6" xfId="28172" xr:uid="{DA4F1CA6-6778-4FD1-894F-3259DF210A1A}"/>
    <cellStyle name="20% - Accent2 2 3 6" xfId="2276" xr:uid="{00000000-0005-0000-0000-0000DC000000}"/>
    <cellStyle name="20% - Accent2 2 3 6 2" xfId="6582" xr:uid="{00000000-0005-0000-0000-0000DD000000}"/>
    <cellStyle name="20% - Accent2 2 3 6 2 2" xfId="15908" xr:uid="{3A7A9A6C-77A7-4D2E-BFA2-FEA0FFBE0B7F}"/>
    <cellStyle name="20% - Accent2 2 3 6 2 3" xfId="24355" xr:uid="{A13D796E-46CC-4326-9722-FA4DCC285FE1}"/>
    <cellStyle name="20% - Accent2 2 3 6 2 4" xfId="32802" xr:uid="{2B3318EE-5455-44C0-9229-DC6F90D3F160}"/>
    <cellStyle name="20% - Accent2 2 3 6 3" xfId="11691" xr:uid="{2EAE5DEA-CDCF-4D6C-8C85-1D80F1EBB03F}"/>
    <cellStyle name="20% - Accent2 2 3 6 4" xfId="20138" xr:uid="{9ACC2D39-B886-4A29-8EB7-A031C9CC5B50}"/>
    <cellStyle name="20% - Accent2 2 3 6 5" xfId="28585" xr:uid="{275D9004-1F5A-4024-B38C-457DE352050D}"/>
    <cellStyle name="20% - Accent2 2 3 7" xfId="4516" xr:uid="{00000000-0005-0000-0000-0000DE000000}"/>
    <cellStyle name="20% - Accent2 2 3 7 2" xfId="13842" xr:uid="{A94CB346-D679-41EB-892D-BFFB83F94E9F}"/>
    <cellStyle name="20% - Accent2 2 3 7 3" xfId="22289" xr:uid="{DA4BAC7E-A1E4-40E3-A4B4-192154AE4EBA}"/>
    <cellStyle name="20% - Accent2 2 3 7 4" xfId="30736" xr:uid="{F023268B-C3DD-4231-99BD-E640AE366722}"/>
    <cellStyle name="20% - Accent2 2 3 8" xfId="9000" xr:uid="{133DFC5C-F2FF-49E9-82EE-ABAA9C815393}"/>
    <cellStyle name="20% - Accent2 2 3 9" xfId="9625" xr:uid="{3333F625-3C13-4D2C-B189-33B81B471C9A}"/>
    <cellStyle name="20% - Accent2 2 4" xfId="579" xr:uid="{00000000-0005-0000-0000-0000DF000000}"/>
    <cellStyle name="20% - Accent2 2 4 2" xfId="2850" xr:uid="{00000000-0005-0000-0000-0000E0000000}"/>
    <cellStyle name="20% - Accent2 2 4 2 2" xfId="7072" xr:uid="{00000000-0005-0000-0000-0000E1000000}"/>
    <cellStyle name="20% - Accent2 2 4 2 2 2" xfId="16398" xr:uid="{0D898CC6-EB20-436D-B39D-EFB0F77B4DFF}"/>
    <cellStyle name="20% - Accent2 2 4 2 2 3" xfId="24845" xr:uid="{F2F2EB15-02B2-4D58-9B38-D1B4A3575A2C}"/>
    <cellStyle name="20% - Accent2 2 4 2 2 4" xfId="33292" xr:uid="{CE5BE664-66D9-46F2-B207-2B5C91CFEA89}"/>
    <cellStyle name="20% - Accent2 2 4 2 3" xfId="12181" xr:uid="{B59E4A73-614B-4A97-8570-75E41584A0FC}"/>
    <cellStyle name="20% - Accent2 2 4 2 4" xfId="20628" xr:uid="{E19D03D1-B070-4C60-AC31-3DCEF7C4FAAF}"/>
    <cellStyle name="20% - Accent2 2 4 2 5" xfId="29075" xr:uid="{10E2CEAE-8207-4840-B822-E4A1524636A7}"/>
    <cellStyle name="20% - Accent2 2 4 3" xfId="4927" xr:uid="{00000000-0005-0000-0000-0000E2000000}"/>
    <cellStyle name="20% - Accent2 2 4 3 2" xfId="14253" xr:uid="{1C3F2E57-564A-4AFF-A899-1DA3310CB6E5}"/>
    <cellStyle name="20% - Accent2 2 4 3 3" xfId="22700" xr:uid="{0ACE5C03-FF60-4F4E-8EC2-77B16B5817FF}"/>
    <cellStyle name="20% - Accent2 2 4 3 4" xfId="31147" xr:uid="{6F5B0DAC-3F92-4623-890A-A8F543907768}"/>
    <cellStyle name="20% - Accent2 2 4 4" xfId="9217" xr:uid="{28DDC3F5-BA57-40F8-8D06-6CFF141CF9A1}"/>
    <cellStyle name="20% - Accent2 2 4 5" xfId="10036" xr:uid="{A80A8955-5D2B-4BBE-9FFC-C11EBFAC145E}"/>
    <cellStyle name="20% - Accent2 2 4 6" xfId="18483" xr:uid="{35B7071C-8D26-439B-AA71-227FDB04F81F}"/>
    <cellStyle name="20% - Accent2 2 4 7" xfId="26930" xr:uid="{FCC257D1-F914-42C3-89F1-13A6094C6741}"/>
    <cellStyle name="20% - Accent2 2 5" xfId="1032" xr:uid="{00000000-0005-0000-0000-0000E3000000}"/>
    <cellStyle name="20% - Accent2 2 5 2" xfId="3263" xr:uid="{00000000-0005-0000-0000-0000E4000000}"/>
    <cellStyle name="20% - Accent2 2 5 2 2" xfId="7485" xr:uid="{00000000-0005-0000-0000-0000E5000000}"/>
    <cellStyle name="20% - Accent2 2 5 2 2 2" xfId="16811" xr:uid="{44BCAA43-06ED-473B-837F-C41104602D0E}"/>
    <cellStyle name="20% - Accent2 2 5 2 2 3" xfId="25258" xr:uid="{BD2AA936-108A-47F2-8CCD-138FBCB2349A}"/>
    <cellStyle name="20% - Accent2 2 5 2 2 4" xfId="33705" xr:uid="{BB84F2D5-9610-4FB4-BD42-869090B32E23}"/>
    <cellStyle name="20% - Accent2 2 5 2 3" xfId="12594" xr:uid="{13602D7D-9377-4524-BE8E-224192218BD1}"/>
    <cellStyle name="20% - Accent2 2 5 2 4" xfId="21041" xr:uid="{744B7CEA-B96F-46AF-9169-EAAE5D72142B}"/>
    <cellStyle name="20% - Accent2 2 5 2 5" xfId="29488" xr:uid="{B31BC50E-42AD-4B13-ADBE-88DF19F324D3}"/>
    <cellStyle name="20% - Accent2 2 5 3" xfId="5340" xr:uid="{00000000-0005-0000-0000-0000E6000000}"/>
    <cellStyle name="20% - Accent2 2 5 3 2" xfId="14666" xr:uid="{92C65077-0BE7-49D0-ADFD-7A48E9F43519}"/>
    <cellStyle name="20% - Accent2 2 5 3 3" xfId="23113" xr:uid="{6ADF4B1F-A551-4EBA-AECA-3A90A15C2FBB}"/>
    <cellStyle name="20% - Accent2 2 5 3 4" xfId="31560" xr:uid="{386079DF-A8E3-465C-B27B-4680DD5051D3}"/>
    <cellStyle name="20% - Accent2 2 5 4" xfId="10449" xr:uid="{9B7825B3-9730-45B3-A1EF-D95146E414F5}"/>
    <cellStyle name="20% - Accent2 2 5 5" xfId="18896" xr:uid="{479662EB-DA90-4132-84DA-46FA308AEDCE}"/>
    <cellStyle name="20% - Accent2 2 5 6" xfId="27343" xr:uid="{D07AB9B8-B2ED-4C11-9A58-08F00007FA35}"/>
    <cellStyle name="20% - Accent2 2 6" xfId="1446" xr:uid="{00000000-0005-0000-0000-0000E7000000}"/>
    <cellStyle name="20% - Accent2 2 6 2" xfId="3676" xr:uid="{00000000-0005-0000-0000-0000E8000000}"/>
    <cellStyle name="20% - Accent2 2 6 2 2" xfId="7898" xr:uid="{00000000-0005-0000-0000-0000E9000000}"/>
    <cellStyle name="20% - Accent2 2 6 2 2 2" xfId="17224" xr:uid="{B5B390E9-F231-42C6-8BF4-485E3F4B186F}"/>
    <cellStyle name="20% - Accent2 2 6 2 2 3" xfId="25671" xr:uid="{D0CAAC1C-86EB-4A0F-91F0-5712B09D5099}"/>
    <cellStyle name="20% - Accent2 2 6 2 2 4" xfId="34118" xr:uid="{8D47C0D7-4995-4A08-9A3A-D356B8C8FCBA}"/>
    <cellStyle name="20% - Accent2 2 6 2 3" xfId="13007" xr:uid="{585B903D-BB52-42E1-96E4-953D0EF58E0A}"/>
    <cellStyle name="20% - Accent2 2 6 2 4" xfId="21454" xr:uid="{BC142D55-DB62-4DDB-8321-3493FF42E374}"/>
    <cellStyle name="20% - Accent2 2 6 2 5" xfId="29901" xr:uid="{E67E1ECE-4D51-4731-AA78-110AADBCB9F5}"/>
    <cellStyle name="20% - Accent2 2 6 3" xfId="5753" xr:uid="{00000000-0005-0000-0000-0000EA000000}"/>
    <cellStyle name="20% - Accent2 2 6 3 2" xfId="15079" xr:uid="{498A6DD7-2347-4EF8-BF75-84A32ABDDCF2}"/>
    <cellStyle name="20% - Accent2 2 6 3 3" xfId="23526" xr:uid="{D4126B29-2B6C-4E03-8589-CADD45FB839F}"/>
    <cellStyle name="20% - Accent2 2 6 3 4" xfId="31973" xr:uid="{AFF521D1-25CC-4E05-8682-E45D9F423152}"/>
    <cellStyle name="20% - Accent2 2 6 4" xfId="10862" xr:uid="{AC2CFCFF-75B1-45F6-99AA-D13487D7CB76}"/>
    <cellStyle name="20% - Accent2 2 6 5" xfId="19309" xr:uid="{1DF47CC7-89B8-4673-9BBD-3461B7B65484}"/>
    <cellStyle name="20% - Accent2 2 6 6" xfId="27756" xr:uid="{0A2CC5F9-245B-41E1-850B-C50E8A58B31F}"/>
    <cellStyle name="20% - Accent2 2 7" xfId="1860" xr:uid="{00000000-0005-0000-0000-0000EB000000}"/>
    <cellStyle name="20% - Accent2 2 7 2" xfId="4089" xr:uid="{00000000-0005-0000-0000-0000EC000000}"/>
    <cellStyle name="20% - Accent2 2 7 2 2" xfId="8311" xr:uid="{00000000-0005-0000-0000-0000ED000000}"/>
    <cellStyle name="20% - Accent2 2 7 2 2 2" xfId="17637" xr:uid="{5CECE6D3-9BA6-4E1F-9CF2-ECA3887260B8}"/>
    <cellStyle name="20% - Accent2 2 7 2 2 3" xfId="26084" xr:uid="{1E317D17-398F-43BE-A76B-599023514096}"/>
    <cellStyle name="20% - Accent2 2 7 2 2 4" xfId="34531" xr:uid="{2D998992-8523-4994-A0ED-1156FD9BA1D6}"/>
    <cellStyle name="20% - Accent2 2 7 2 3" xfId="13420" xr:uid="{BE1E4E11-7090-4232-9BAD-34E58BAF9BA7}"/>
    <cellStyle name="20% - Accent2 2 7 2 4" xfId="21867" xr:uid="{488D589F-9BA3-47B0-9BB5-A7AB876005C6}"/>
    <cellStyle name="20% - Accent2 2 7 2 5" xfId="30314" xr:uid="{99319E68-E892-469B-A20F-50F1B734C249}"/>
    <cellStyle name="20% - Accent2 2 7 3" xfId="6166" xr:uid="{00000000-0005-0000-0000-0000EE000000}"/>
    <cellStyle name="20% - Accent2 2 7 3 2" xfId="15492" xr:uid="{3B5C8292-DF56-4E27-8FE5-7BA58CCC91A4}"/>
    <cellStyle name="20% - Accent2 2 7 3 3" xfId="23939" xr:uid="{6DAC65DB-DF54-431E-9D45-682A755C2E77}"/>
    <cellStyle name="20% - Accent2 2 7 3 4" xfId="32386" xr:uid="{2D6D4495-ABED-4999-8BC0-83C3705E4F42}"/>
    <cellStyle name="20% - Accent2 2 7 4" xfId="11275" xr:uid="{92CC9EF9-A6AE-4E1F-824E-DE6A89F49EF3}"/>
    <cellStyle name="20% - Accent2 2 7 5" xfId="19722" xr:uid="{E9AF1EB6-A5C2-4E2B-AB0B-1846B503097F}"/>
    <cellStyle name="20% - Accent2 2 7 6" xfId="28169" xr:uid="{4AEF8A60-3CD2-4578-8DBC-F7CB875D1E53}"/>
    <cellStyle name="20% - Accent2 2 8" xfId="2273" xr:uid="{00000000-0005-0000-0000-0000EF000000}"/>
    <cellStyle name="20% - Accent2 2 8 2" xfId="6579" xr:uid="{00000000-0005-0000-0000-0000F0000000}"/>
    <cellStyle name="20% - Accent2 2 8 2 2" xfId="15905" xr:uid="{A356DA90-7533-402E-947A-75F5ABA1EA87}"/>
    <cellStyle name="20% - Accent2 2 8 2 3" xfId="24352" xr:uid="{C8BC48E7-13CC-4CD6-9E02-797D91ED8D92}"/>
    <cellStyle name="20% - Accent2 2 8 2 4" xfId="32799" xr:uid="{12ACAB33-7629-42F6-BC44-E331C164A95B}"/>
    <cellStyle name="20% - Accent2 2 8 3" xfId="11688" xr:uid="{9F2BF72A-9F1B-42C1-8301-406415A2CB75}"/>
    <cellStyle name="20% - Accent2 2 8 4" xfId="20135" xr:uid="{90BB209F-9F66-4CC1-9BE9-B06FE6C0BB6F}"/>
    <cellStyle name="20% - Accent2 2 8 5" xfId="28582" xr:uid="{04206D4E-FE95-4197-8BFC-86BB4BB1663A}"/>
    <cellStyle name="20% - Accent2 2 9" xfId="4513" xr:uid="{00000000-0005-0000-0000-0000F1000000}"/>
    <cellStyle name="20% - Accent2 2 9 2" xfId="13839" xr:uid="{F9D87712-2542-4633-9B6C-BF25A75682BB}"/>
    <cellStyle name="20% - Accent2 2 9 3" xfId="22286" xr:uid="{5D02327E-4CFD-4883-923E-A69D9B6CA4A6}"/>
    <cellStyle name="20% - Accent2 2 9 4" xfId="30733" xr:uid="{F6B87AD4-2472-4B07-BC4E-987834FA669C}"/>
    <cellStyle name="20% - Accent2 3" xfId="14" xr:uid="{00000000-0005-0000-0000-0000F2000000}"/>
    <cellStyle name="20% - Accent2 3 10" xfId="9626" xr:uid="{EE232EFC-028D-4A0B-A74F-14CBF2446101}"/>
    <cellStyle name="20% - Accent2 3 11" xfId="18073" xr:uid="{44129E8A-CC79-4F9B-97EA-17CB6669BDFF}"/>
    <cellStyle name="20% - Accent2 3 12" xfId="26520" xr:uid="{4A358404-5240-4D44-AD6E-2ED7E6666082}"/>
    <cellStyle name="20% - Accent2 3 2" xfId="15" xr:uid="{00000000-0005-0000-0000-0000F3000000}"/>
    <cellStyle name="20% - Accent2 3 2 10" xfId="18074" xr:uid="{05C5C5A8-7360-4360-919F-DD331D3AE527}"/>
    <cellStyle name="20% - Accent2 3 2 11" xfId="26521" xr:uid="{11D5B31E-A728-43A5-9513-CBF0360666E3}"/>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16403" xr:uid="{B793DB31-2584-425C-AC2C-75C1F65E8A82}"/>
    <cellStyle name="20% - Accent2 3 2 2 2 2 3" xfId="24850" xr:uid="{36E70DD7-3445-4FA2-8BEF-6DC251ABE415}"/>
    <cellStyle name="20% - Accent2 3 2 2 2 2 4" xfId="33297" xr:uid="{23A46F0B-FDEE-4149-B009-89E655C2748D}"/>
    <cellStyle name="20% - Accent2 3 2 2 2 3" xfId="12186" xr:uid="{A5ED3CEB-E191-4954-BE80-34236B46B38D}"/>
    <cellStyle name="20% - Accent2 3 2 2 2 4" xfId="20633" xr:uid="{E01105FC-9458-4405-9B4B-D3409BF0E083}"/>
    <cellStyle name="20% - Accent2 3 2 2 2 5" xfId="29080" xr:uid="{DF8B9CED-6C28-4569-8D52-AA78E1E49756}"/>
    <cellStyle name="20% - Accent2 3 2 2 3" xfId="4932" xr:uid="{00000000-0005-0000-0000-0000F7000000}"/>
    <cellStyle name="20% - Accent2 3 2 2 3 2" xfId="14258" xr:uid="{9F5140AD-40CC-4BCD-BAEF-4813660651D9}"/>
    <cellStyle name="20% - Accent2 3 2 2 3 3" xfId="22705" xr:uid="{0506BDED-418F-4719-B5B8-23913F3AFA2B}"/>
    <cellStyle name="20% - Accent2 3 2 2 3 4" xfId="31152" xr:uid="{1F5B8CC4-F66B-42A4-8315-C8A4B5FA84E8}"/>
    <cellStyle name="20% - Accent2 3 2 2 4" xfId="9495" xr:uid="{9F5A6FE7-BBC9-4787-8EC4-2112F4D5A0EA}"/>
    <cellStyle name="20% - Accent2 3 2 2 5" xfId="10041" xr:uid="{92865AA5-5932-4178-9D0B-F96986CF3B05}"/>
    <cellStyle name="20% - Accent2 3 2 2 6" xfId="18488" xr:uid="{4AE0A5B8-3FE9-4542-9D0C-518037F1D37E}"/>
    <cellStyle name="20% - Accent2 3 2 2 7" xfId="26935" xr:uid="{68625678-1F67-4537-B2C3-EA3FC84B966F}"/>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16816" xr:uid="{C6D8F222-E0E9-472A-B143-DFD5FF183506}"/>
    <cellStyle name="20% - Accent2 3 2 3 2 2 3" xfId="25263" xr:uid="{52A07218-4F3B-498E-A38E-BCA6BD5C0BFB}"/>
    <cellStyle name="20% - Accent2 3 2 3 2 2 4" xfId="33710" xr:uid="{09DFEC8D-D158-4A2B-B931-ECF3921AF3E8}"/>
    <cellStyle name="20% - Accent2 3 2 3 2 3" xfId="12599" xr:uid="{015F7583-B9BB-4B4D-AC4F-855282E22D97}"/>
    <cellStyle name="20% - Accent2 3 2 3 2 4" xfId="21046" xr:uid="{D25A7677-291F-44D3-89FC-81FADAE605AA}"/>
    <cellStyle name="20% - Accent2 3 2 3 2 5" xfId="29493" xr:uid="{DA989ED2-7A81-47C2-99EE-95D05BAC4CE3}"/>
    <cellStyle name="20% - Accent2 3 2 3 3" xfId="5345" xr:uid="{00000000-0005-0000-0000-0000FB000000}"/>
    <cellStyle name="20% - Accent2 3 2 3 3 2" xfId="14671" xr:uid="{D119DDD0-CAF5-47C2-A6C3-21AF00F88BF9}"/>
    <cellStyle name="20% - Accent2 3 2 3 3 3" xfId="23118" xr:uid="{144893CE-7C84-41D9-9D6E-DB7E75208F9D}"/>
    <cellStyle name="20% - Accent2 3 2 3 3 4" xfId="31565" xr:uid="{A9D25716-A328-4E4E-A703-1D82BC241973}"/>
    <cellStyle name="20% - Accent2 3 2 3 4" xfId="10454" xr:uid="{529F2945-B2EB-4625-87EF-81B4FE267A28}"/>
    <cellStyle name="20% - Accent2 3 2 3 5" xfId="18901" xr:uid="{AC34CBFB-2209-4651-9A9B-DB417EA93AC9}"/>
    <cellStyle name="20% - Accent2 3 2 3 6" xfId="27348" xr:uid="{200AC096-C3F2-4CC1-B396-AC2E778D3269}"/>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17229" xr:uid="{CF12FFF9-127A-4492-85EE-88F2D9549DB9}"/>
    <cellStyle name="20% - Accent2 3 2 4 2 2 3" xfId="25676" xr:uid="{8CEEBE3C-8643-465C-83B3-A937E3440A91}"/>
    <cellStyle name="20% - Accent2 3 2 4 2 2 4" xfId="34123" xr:uid="{4B45EF32-7CD6-4791-A8FE-CC205F177140}"/>
    <cellStyle name="20% - Accent2 3 2 4 2 3" xfId="13012" xr:uid="{8EB03ACD-BC81-4180-B72B-CD520E3870AC}"/>
    <cellStyle name="20% - Accent2 3 2 4 2 4" xfId="21459" xr:uid="{9DE11A34-8218-4AFE-ABC3-F1204D066896}"/>
    <cellStyle name="20% - Accent2 3 2 4 2 5" xfId="29906" xr:uid="{4C2B8635-C5A7-46CA-86C9-7245302B0EAB}"/>
    <cellStyle name="20% - Accent2 3 2 4 3" xfId="5758" xr:uid="{00000000-0005-0000-0000-0000FF000000}"/>
    <cellStyle name="20% - Accent2 3 2 4 3 2" xfId="15084" xr:uid="{77FDFBA3-94E5-4ACC-AD9D-757FDC4BA4B1}"/>
    <cellStyle name="20% - Accent2 3 2 4 3 3" xfId="23531" xr:uid="{141985BD-AC51-420C-9B80-F4A6D104F50B}"/>
    <cellStyle name="20% - Accent2 3 2 4 3 4" xfId="31978" xr:uid="{15A90D19-C182-4054-A6D1-01851C4177A2}"/>
    <cellStyle name="20% - Accent2 3 2 4 4" xfId="10867" xr:uid="{CE62B968-7E76-4449-8208-A08AE537B2AB}"/>
    <cellStyle name="20% - Accent2 3 2 4 5" xfId="19314" xr:uid="{44005BD2-7D36-4FD5-AC87-D314E55DB5C0}"/>
    <cellStyle name="20% - Accent2 3 2 4 6" xfId="27761" xr:uid="{A941FF3E-F9DD-46BB-9F10-2126A9CD5878}"/>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17642" xr:uid="{7E1EA57F-2C39-46E9-BBA2-B92DBCB420BC}"/>
    <cellStyle name="20% - Accent2 3 2 5 2 2 3" xfId="26089" xr:uid="{EEAAEA12-8130-4291-B028-F1730A18EFD9}"/>
    <cellStyle name="20% - Accent2 3 2 5 2 2 4" xfId="34536" xr:uid="{4346989D-A55B-4289-A55B-C96326128A62}"/>
    <cellStyle name="20% - Accent2 3 2 5 2 3" xfId="13425" xr:uid="{F892D6BD-3352-463E-B0B9-8EF9065EBFF6}"/>
    <cellStyle name="20% - Accent2 3 2 5 2 4" xfId="21872" xr:uid="{EA2A9878-5BD3-479A-9441-7B8A24D22B4A}"/>
    <cellStyle name="20% - Accent2 3 2 5 2 5" xfId="30319" xr:uid="{F9F643F2-3C3D-46B2-87EB-3A631B287C53}"/>
    <cellStyle name="20% - Accent2 3 2 5 3" xfId="6171" xr:uid="{00000000-0005-0000-0000-000003010000}"/>
    <cellStyle name="20% - Accent2 3 2 5 3 2" xfId="15497" xr:uid="{DD86631D-6BD7-4BB4-B1EB-4C1BB588FF38}"/>
    <cellStyle name="20% - Accent2 3 2 5 3 3" xfId="23944" xr:uid="{980ACEC5-8F3F-4BDC-84F5-32B0F7AC8FA6}"/>
    <cellStyle name="20% - Accent2 3 2 5 3 4" xfId="32391" xr:uid="{4992DA36-0BA5-4454-B4C4-AF3ACE2F35B7}"/>
    <cellStyle name="20% - Accent2 3 2 5 4" xfId="11280" xr:uid="{4E83C137-530A-4526-9124-1A46791F08A5}"/>
    <cellStyle name="20% - Accent2 3 2 5 5" xfId="19727" xr:uid="{9AA95786-0D27-4FB4-9FB3-0905FB4315DA}"/>
    <cellStyle name="20% - Accent2 3 2 5 6" xfId="28174" xr:uid="{B8CE4AEA-B526-4DF8-B28A-A35E0C3E6B61}"/>
    <cellStyle name="20% - Accent2 3 2 6" xfId="2278" xr:uid="{00000000-0005-0000-0000-000004010000}"/>
    <cellStyle name="20% - Accent2 3 2 6 2" xfId="6584" xr:uid="{00000000-0005-0000-0000-000005010000}"/>
    <cellStyle name="20% - Accent2 3 2 6 2 2" xfId="15910" xr:uid="{3D266A99-2BBA-47A7-A738-95DAF1AF71D4}"/>
    <cellStyle name="20% - Accent2 3 2 6 2 3" xfId="24357" xr:uid="{5E18CD59-80FB-4043-9AF1-C7C2229A1BCF}"/>
    <cellStyle name="20% - Accent2 3 2 6 2 4" xfId="32804" xr:uid="{9F83FE2E-750A-4CD4-921E-EE10F95A09E3}"/>
    <cellStyle name="20% - Accent2 3 2 6 3" xfId="11693" xr:uid="{5D9AA823-FB49-4FCD-9D24-55CAD356E112}"/>
    <cellStyle name="20% - Accent2 3 2 6 4" xfId="20140" xr:uid="{6044543E-CFFA-414A-8BA6-EC19F40290BC}"/>
    <cellStyle name="20% - Accent2 3 2 6 5" xfId="28587" xr:uid="{F90FDEE8-E3C8-49CF-BEEA-47BBB3502E8B}"/>
    <cellStyle name="20% - Accent2 3 2 7" xfId="4518" xr:uid="{00000000-0005-0000-0000-000006010000}"/>
    <cellStyle name="20% - Accent2 3 2 7 2" xfId="13844" xr:uid="{D6438611-5AEB-46B1-83B7-AD7A80D5BF07}"/>
    <cellStyle name="20% - Accent2 3 2 7 3" xfId="22291" xr:uid="{BD3F88BA-0D8F-4F00-9A56-C0DD6C66CD76}"/>
    <cellStyle name="20% - Accent2 3 2 7 4" xfId="30738" xr:uid="{F72C6E1A-8099-49BF-8452-658186C79759}"/>
    <cellStyle name="20% - Accent2 3 2 8" xfId="9070" xr:uid="{8A9168BA-490F-4E57-83EA-22187D24153F}"/>
    <cellStyle name="20% - Accent2 3 2 9" xfId="9627" xr:uid="{692A44CB-859B-45DD-8154-0B6C13E8220E}"/>
    <cellStyle name="20% - Accent2 3 3" xfId="583" xr:uid="{00000000-0005-0000-0000-000007010000}"/>
    <cellStyle name="20% - Accent2 3 3 2" xfId="2854" xr:uid="{00000000-0005-0000-0000-000008010000}"/>
    <cellStyle name="20% - Accent2 3 3 2 2" xfId="7076" xr:uid="{00000000-0005-0000-0000-000009010000}"/>
    <cellStyle name="20% - Accent2 3 3 2 2 2" xfId="16402" xr:uid="{DBA84DD7-FED4-4B6D-936C-A69AF1EDD86E}"/>
    <cellStyle name="20% - Accent2 3 3 2 2 3" xfId="24849" xr:uid="{85103C73-895A-4113-B7F6-4292DD519CF9}"/>
    <cellStyle name="20% - Accent2 3 3 2 2 4" xfId="33296" xr:uid="{CE4C5108-51DC-401F-9B0F-86E772493A0A}"/>
    <cellStyle name="20% - Accent2 3 3 2 3" xfId="12185" xr:uid="{8D4E9CF6-64FD-4375-8693-7C5B3022F458}"/>
    <cellStyle name="20% - Accent2 3 3 2 4" xfId="20632" xr:uid="{586391FB-E6E1-4E2C-9E51-20E58B0895E0}"/>
    <cellStyle name="20% - Accent2 3 3 2 5" xfId="29079" xr:uid="{DA38CE74-4BF6-427C-8530-6FE3FA978414}"/>
    <cellStyle name="20% - Accent2 3 3 3" xfId="4931" xr:uid="{00000000-0005-0000-0000-00000A010000}"/>
    <cellStyle name="20% - Accent2 3 3 3 2" xfId="14257" xr:uid="{08A1E217-4C41-4363-A837-C72BA3233026}"/>
    <cellStyle name="20% - Accent2 3 3 3 3" xfId="22704" xr:uid="{39244B85-16A0-4F70-8704-380DF0063A38}"/>
    <cellStyle name="20% - Accent2 3 3 3 4" xfId="31151" xr:uid="{6F4ED86C-56C8-4ED2-9247-70928CBBCBE9}"/>
    <cellStyle name="20% - Accent2 3 3 4" xfId="9288" xr:uid="{FCD70616-ECAD-4A0B-889F-4698E1AD889E}"/>
    <cellStyle name="20% - Accent2 3 3 5" xfId="10040" xr:uid="{59CA5D54-24E0-40D4-8D5E-C9B6A09CFF20}"/>
    <cellStyle name="20% - Accent2 3 3 6" xfId="18487" xr:uid="{FA9A5E47-A81F-4BC1-B894-C5544FC846C5}"/>
    <cellStyle name="20% - Accent2 3 3 7" xfId="26934" xr:uid="{EA09DE1A-E922-49D4-A7D6-7F440F6DD430}"/>
    <cellStyle name="20% - Accent2 3 4" xfId="1036" xr:uid="{00000000-0005-0000-0000-00000B010000}"/>
    <cellStyle name="20% - Accent2 3 4 2" xfId="3267" xr:uid="{00000000-0005-0000-0000-00000C010000}"/>
    <cellStyle name="20% - Accent2 3 4 2 2" xfId="7489" xr:uid="{00000000-0005-0000-0000-00000D010000}"/>
    <cellStyle name="20% - Accent2 3 4 2 2 2" xfId="16815" xr:uid="{0509DAE6-F227-4240-AD4A-6EA6E3072907}"/>
    <cellStyle name="20% - Accent2 3 4 2 2 3" xfId="25262" xr:uid="{82EFD108-CA40-4158-A796-7EA9AA51554C}"/>
    <cellStyle name="20% - Accent2 3 4 2 2 4" xfId="33709" xr:uid="{4489D1DD-6A39-47B6-AF76-C9856D2A9223}"/>
    <cellStyle name="20% - Accent2 3 4 2 3" xfId="12598" xr:uid="{DE3196B1-09B5-40D7-B0AE-9B640F10520D}"/>
    <cellStyle name="20% - Accent2 3 4 2 4" xfId="21045" xr:uid="{545CEF86-4732-48CE-B869-8884F232CBFA}"/>
    <cellStyle name="20% - Accent2 3 4 2 5" xfId="29492" xr:uid="{8D64BC31-C23A-4387-9AC6-554D2F11A2DA}"/>
    <cellStyle name="20% - Accent2 3 4 3" xfId="5344" xr:uid="{00000000-0005-0000-0000-00000E010000}"/>
    <cellStyle name="20% - Accent2 3 4 3 2" xfId="14670" xr:uid="{A58EF5F0-9485-4FE0-B77B-49161361F8FC}"/>
    <cellStyle name="20% - Accent2 3 4 3 3" xfId="23117" xr:uid="{77682E0F-7518-4D68-BE3A-7A0AE51257F4}"/>
    <cellStyle name="20% - Accent2 3 4 3 4" xfId="31564" xr:uid="{D9DE67D2-924A-46B1-B7B4-E6CE00F6D63A}"/>
    <cellStyle name="20% - Accent2 3 4 4" xfId="10453" xr:uid="{BAE38B66-472F-471B-AD82-26185F697E84}"/>
    <cellStyle name="20% - Accent2 3 4 5" xfId="18900" xr:uid="{17214ECC-026D-47D3-AF3F-8613C2DA68C2}"/>
    <cellStyle name="20% - Accent2 3 4 6" xfId="27347" xr:uid="{D5A1CA68-4686-442D-8B44-9A5D8D5AEA64}"/>
    <cellStyle name="20% - Accent2 3 5" xfId="1450" xr:uid="{00000000-0005-0000-0000-00000F010000}"/>
    <cellStyle name="20% - Accent2 3 5 2" xfId="3680" xr:uid="{00000000-0005-0000-0000-000010010000}"/>
    <cellStyle name="20% - Accent2 3 5 2 2" xfId="7902" xr:uid="{00000000-0005-0000-0000-000011010000}"/>
    <cellStyle name="20% - Accent2 3 5 2 2 2" xfId="17228" xr:uid="{F2EEE975-B8E0-446C-B213-61BD9C1CA4C4}"/>
    <cellStyle name="20% - Accent2 3 5 2 2 3" xfId="25675" xr:uid="{7B1655B2-84C6-4D51-9FD4-79A934D20145}"/>
    <cellStyle name="20% - Accent2 3 5 2 2 4" xfId="34122" xr:uid="{6ED9BF2E-EBA8-4AB9-A975-B0BD4BDC0048}"/>
    <cellStyle name="20% - Accent2 3 5 2 3" xfId="13011" xr:uid="{9DDD8F3C-8E2A-44C2-8EF9-ECC6E7C02ACA}"/>
    <cellStyle name="20% - Accent2 3 5 2 4" xfId="21458" xr:uid="{036076A7-02CF-43F7-9A1F-E9B8CA9BA230}"/>
    <cellStyle name="20% - Accent2 3 5 2 5" xfId="29905" xr:uid="{D995EAFF-3DDA-4F5C-B0D1-96E6464A2DE5}"/>
    <cellStyle name="20% - Accent2 3 5 3" xfId="5757" xr:uid="{00000000-0005-0000-0000-000012010000}"/>
    <cellStyle name="20% - Accent2 3 5 3 2" xfId="15083" xr:uid="{BC5E301D-3A59-4C29-AD9C-1AA51099D2C5}"/>
    <cellStyle name="20% - Accent2 3 5 3 3" xfId="23530" xr:uid="{810AE2CD-6682-45D2-A007-F4A43495FCF6}"/>
    <cellStyle name="20% - Accent2 3 5 3 4" xfId="31977" xr:uid="{804695BC-B747-4A74-880F-CF19887D259E}"/>
    <cellStyle name="20% - Accent2 3 5 4" xfId="10866" xr:uid="{3832998D-94A3-4828-B7C1-3B5DC31321FA}"/>
    <cellStyle name="20% - Accent2 3 5 5" xfId="19313" xr:uid="{3D88F2F6-9163-40ED-866D-6D68605466B8}"/>
    <cellStyle name="20% - Accent2 3 5 6" xfId="27760" xr:uid="{28F880FE-112E-442B-BC91-8CAECCA6DF79}"/>
    <cellStyle name="20% - Accent2 3 6" xfId="1864" xr:uid="{00000000-0005-0000-0000-000013010000}"/>
    <cellStyle name="20% - Accent2 3 6 2" xfId="4093" xr:uid="{00000000-0005-0000-0000-000014010000}"/>
    <cellStyle name="20% - Accent2 3 6 2 2" xfId="8315" xr:uid="{00000000-0005-0000-0000-000015010000}"/>
    <cellStyle name="20% - Accent2 3 6 2 2 2" xfId="17641" xr:uid="{89C1768D-E88B-4AFD-8C38-021CAFE87AA1}"/>
    <cellStyle name="20% - Accent2 3 6 2 2 3" xfId="26088" xr:uid="{63B8078F-DC3A-458B-BC07-65FFCBA5AA07}"/>
    <cellStyle name="20% - Accent2 3 6 2 2 4" xfId="34535" xr:uid="{AE1D26AE-7037-4717-99DE-1A51065165D0}"/>
    <cellStyle name="20% - Accent2 3 6 2 3" xfId="13424" xr:uid="{28ABF9F4-DDC4-4CD0-A17F-A861F4C11B9A}"/>
    <cellStyle name="20% - Accent2 3 6 2 4" xfId="21871" xr:uid="{3532BEBF-0BD4-443A-AA80-CE10B386CAFD}"/>
    <cellStyle name="20% - Accent2 3 6 2 5" xfId="30318" xr:uid="{CF850381-E9BF-4186-8606-846596FE2D49}"/>
    <cellStyle name="20% - Accent2 3 6 3" xfId="6170" xr:uid="{00000000-0005-0000-0000-000016010000}"/>
    <cellStyle name="20% - Accent2 3 6 3 2" xfId="15496" xr:uid="{12C5D3A5-DFEC-4B4A-A32F-6D9BB3B467CC}"/>
    <cellStyle name="20% - Accent2 3 6 3 3" xfId="23943" xr:uid="{F89E39CC-4AB5-4D6C-A401-9105EC876DED}"/>
    <cellStyle name="20% - Accent2 3 6 3 4" xfId="32390" xr:uid="{CE19F58C-B34A-4A61-983E-D05D8AA5338A}"/>
    <cellStyle name="20% - Accent2 3 6 4" xfId="11279" xr:uid="{5F833029-7953-4B36-A104-6D04023555AD}"/>
    <cellStyle name="20% - Accent2 3 6 5" xfId="19726" xr:uid="{3D0325E9-7D76-4821-9DDC-E092EC83498E}"/>
    <cellStyle name="20% - Accent2 3 6 6" xfId="28173" xr:uid="{E14296CA-4ADE-4B3E-AD37-D3283D54BE95}"/>
    <cellStyle name="20% - Accent2 3 7" xfId="2277" xr:uid="{00000000-0005-0000-0000-000017010000}"/>
    <cellStyle name="20% - Accent2 3 7 2" xfId="6583" xr:uid="{00000000-0005-0000-0000-000018010000}"/>
    <cellStyle name="20% - Accent2 3 7 2 2" xfId="15909" xr:uid="{B0FE71C5-D4D4-4D95-A013-0726F874B19D}"/>
    <cellStyle name="20% - Accent2 3 7 2 3" xfId="24356" xr:uid="{0A4C3637-BBA0-4E8A-8890-0DA2B7EBF113}"/>
    <cellStyle name="20% - Accent2 3 7 2 4" xfId="32803" xr:uid="{4C4E8E2E-70E7-4481-8F4C-675C2AD417F4}"/>
    <cellStyle name="20% - Accent2 3 7 3" xfId="11692" xr:uid="{CD37E37A-A244-4246-A7C1-813018C5C9ED}"/>
    <cellStyle name="20% - Accent2 3 7 4" xfId="20139" xr:uid="{84017705-5D89-4246-B4B2-F59ABDC04A8C}"/>
    <cellStyle name="20% - Accent2 3 7 5" xfId="28586" xr:uid="{2CD88B8E-C627-4A22-99D4-455CD1D7976F}"/>
    <cellStyle name="20% - Accent2 3 8" xfId="4517" xr:uid="{00000000-0005-0000-0000-000019010000}"/>
    <cellStyle name="20% - Accent2 3 8 2" xfId="13843" xr:uid="{A724703F-92BD-4936-A1F6-51BAA84C3802}"/>
    <cellStyle name="20% - Accent2 3 8 3" xfId="22290" xr:uid="{564F7497-83E4-4B3C-85E8-B096BDD46855}"/>
    <cellStyle name="20% - Accent2 3 8 4" xfId="30737" xr:uid="{0E42AB88-5EE4-4DEB-A84A-E6860D17FEA2}"/>
    <cellStyle name="20% - Accent2 3 9" xfId="8863" xr:uid="{C6A258FB-33DC-4171-B9DD-C29513CA80FD}"/>
    <cellStyle name="20% - Accent2 4" xfId="16" xr:uid="{00000000-0005-0000-0000-00001A010000}"/>
    <cellStyle name="20% - Accent2 4 10" xfId="18075" xr:uid="{48F5898A-CA3F-4B86-8789-2981ABFF5C3C}"/>
    <cellStyle name="20% - Accent2 4 11" xfId="26522" xr:uid="{FE9CD7DA-AB84-4E48-BF8B-00CC539AA303}"/>
    <cellStyle name="20% - Accent2 4 2" xfId="585" xr:uid="{00000000-0005-0000-0000-00001B010000}"/>
    <cellStyle name="20% - Accent2 4 2 2" xfId="2856" xr:uid="{00000000-0005-0000-0000-00001C010000}"/>
    <cellStyle name="20% - Accent2 4 2 2 2" xfId="7078" xr:uid="{00000000-0005-0000-0000-00001D010000}"/>
    <cellStyle name="20% - Accent2 4 2 2 2 2" xfId="16404" xr:uid="{9072F5D1-5C2C-4B95-AA45-95BB3377C60E}"/>
    <cellStyle name="20% - Accent2 4 2 2 2 3" xfId="24851" xr:uid="{4F991EDD-7BCE-480B-B8F9-21972CDC99CC}"/>
    <cellStyle name="20% - Accent2 4 2 2 2 4" xfId="33298" xr:uid="{DEF7319A-94E4-4528-941F-10E4BE8A53B4}"/>
    <cellStyle name="20% - Accent2 4 2 2 3" xfId="12187" xr:uid="{5B46E42D-D571-4627-9965-8847F848D172}"/>
    <cellStyle name="20% - Accent2 4 2 2 4" xfId="20634" xr:uid="{A6E072C4-063F-45EC-B383-A0522AA4839C}"/>
    <cellStyle name="20% - Accent2 4 2 2 5" xfId="29081" xr:uid="{A440045A-CC94-4BA9-9031-33641792AAE1}"/>
    <cellStyle name="20% - Accent2 4 2 3" xfId="4933" xr:uid="{00000000-0005-0000-0000-00001E010000}"/>
    <cellStyle name="20% - Accent2 4 2 3 2" xfId="14259" xr:uid="{9AD09449-6C8A-4CF8-9436-7F5478B610EB}"/>
    <cellStyle name="20% - Accent2 4 2 3 3" xfId="22706" xr:uid="{4461D131-21FA-493F-A497-5FFBEA5C5ED1}"/>
    <cellStyle name="20% - Accent2 4 2 3 4" xfId="31153" xr:uid="{CCC4A8D0-603F-4FAD-B63F-F40E404A1833}"/>
    <cellStyle name="20% - Accent2 4 2 4" xfId="9374" xr:uid="{26FD7A0E-8D04-4AF7-B092-2B22A78F0A97}"/>
    <cellStyle name="20% - Accent2 4 2 5" xfId="10042" xr:uid="{5093612A-62FA-4525-AACE-E71A37E297EB}"/>
    <cellStyle name="20% - Accent2 4 2 6" xfId="18489" xr:uid="{F875ABCA-9398-4B85-B3D0-E1E094816CC5}"/>
    <cellStyle name="20% - Accent2 4 2 7" xfId="26936" xr:uid="{949E1723-2993-4B14-B4EF-70EADAC4B41F}"/>
    <cellStyle name="20% - Accent2 4 3" xfId="1038" xr:uid="{00000000-0005-0000-0000-00001F010000}"/>
    <cellStyle name="20% - Accent2 4 3 2" xfId="3269" xr:uid="{00000000-0005-0000-0000-000020010000}"/>
    <cellStyle name="20% - Accent2 4 3 2 2" xfId="7491" xr:uid="{00000000-0005-0000-0000-000021010000}"/>
    <cellStyle name="20% - Accent2 4 3 2 2 2" xfId="16817" xr:uid="{DA164F43-7B8B-4F76-98BB-2C608CE997CE}"/>
    <cellStyle name="20% - Accent2 4 3 2 2 3" xfId="25264" xr:uid="{F974BF28-431F-4060-A070-AD92DD139BD4}"/>
    <cellStyle name="20% - Accent2 4 3 2 2 4" xfId="33711" xr:uid="{C56594E1-47EC-4D78-9CFF-5C537DF1A760}"/>
    <cellStyle name="20% - Accent2 4 3 2 3" xfId="12600" xr:uid="{E3D010D0-3D13-4961-A7D1-3FAAA39DBA8E}"/>
    <cellStyle name="20% - Accent2 4 3 2 4" xfId="21047" xr:uid="{B5769649-C999-40E0-8C76-7EBD6F503403}"/>
    <cellStyle name="20% - Accent2 4 3 2 5" xfId="29494" xr:uid="{A42A5666-FA8F-4438-BCBD-C79260C9208F}"/>
    <cellStyle name="20% - Accent2 4 3 3" xfId="5346" xr:uid="{00000000-0005-0000-0000-000022010000}"/>
    <cellStyle name="20% - Accent2 4 3 3 2" xfId="14672" xr:uid="{B5B03E97-E709-422F-AA35-53041DDB8259}"/>
    <cellStyle name="20% - Accent2 4 3 3 3" xfId="23119" xr:uid="{4C1DDF8B-DC48-495F-B97B-8CA0E2C99CDB}"/>
    <cellStyle name="20% - Accent2 4 3 3 4" xfId="31566" xr:uid="{F69C5120-3A59-47DF-837F-5E9AEF583FB4}"/>
    <cellStyle name="20% - Accent2 4 3 4" xfId="10455" xr:uid="{7C3DA112-0D11-418A-B924-69A419ACC3D0}"/>
    <cellStyle name="20% - Accent2 4 3 5" xfId="18902" xr:uid="{7DD0CB7E-0598-48B0-B72D-45CE7A89701D}"/>
    <cellStyle name="20% - Accent2 4 3 6" xfId="27349" xr:uid="{626D4E10-ABDD-47B1-9EFF-E2EBA937B0C7}"/>
    <cellStyle name="20% - Accent2 4 4" xfId="1452" xr:uid="{00000000-0005-0000-0000-000023010000}"/>
    <cellStyle name="20% - Accent2 4 4 2" xfId="3682" xr:uid="{00000000-0005-0000-0000-000024010000}"/>
    <cellStyle name="20% - Accent2 4 4 2 2" xfId="7904" xr:uid="{00000000-0005-0000-0000-000025010000}"/>
    <cellStyle name="20% - Accent2 4 4 2 2 2" xfId="17230" xr:uid="{CBA0BA55-1E21-4C98-8FE9-7A546DC82D8F}"/>
    <cellStyle name="20% - Accent2 4 4 2 2 3" xfId="25677" xr:uid="{F5EE4F25-9ED0-4245-A79F-8CB676EE7141}"/>
    <cellStyle name="20% - Accent2 4 4 2 2 4" xfId="34124" xr:uid="{9B14FE97-6673-4054-9F99-A64C63FB144C}"/>
    <cellStyle name="20% - Accent2 4 4 2 3" xfId="13013" xr:uid="{A57B33B7-4C8B-4A7C-9767-8FD899D747A5}"/>
    <cellStyle name="20% - Accent2 4 4 2 4" xfId="21460" xr:uid="{26498540-D3F1-4B77-993D-DA0224C464A9}"/>
    <cellStyle name="20% - Accent2 4 4 2 5" xfId="29907" xr:uid="{CC815A66-9E23-400F-97C9-4FE171B95D3F}"/>
    <cellStyle name="20% - Accent2 4 4 3" xfId="5759" xr:uid="{00000000-0005-0000-0000-000026010000}"/>
    <cellStyle name="20% - Accent2 4 4 3 2" xfId="15085" xr:uid="{724AD384-C8D8-4DA4-8294-C9FCDC35B5E1}"/>
    <cellStyle name="20% - Accent2 4 4 3 3" xfId="23532" xr:uid="{A186BC9D-BB51-49A6-818E-2A04C7BFFE04}"/>
    <cellStyle name="20% - Accent2 4 4 3 4" xfId="31979" xr:uid="{3AAC3AE5-57BA-455E-A73C-7CAF5DCA59E6}"/>
    <cellStyle name="20% - Accent2 4 4 4" xfId="10868" xr:uid="{4E5E771E-E552-43B7-BD6E-BFF291D16DF2}"/>
    <cellStyle name="20% - Accent2 4 4 5" xfId="19315" xr:uid="{D2E9CD37-97E0-4A52-99C9-101430E7FFCE}"/>
    <cellStyle name="20% - Accent2 4 4 6" xfId="27762" xr:uid="{12B61B81-1427-4F28-A3AB-9E64159D554E}"/>
    <cellStyle name="20% - Accent2 4 5" xfId="1866" xr:uid="{00000000-0005-0000-0000-000027010000}"/>
    <cellStyle name="20% - Accent2 4 5 2" xfId="4095" xr:uid="{00000000-0005-0000-0000-000028010000}"/>
    <cellStyle name="20% - Accent2 4 5 2 2" xfId="8317" xr:uid="{00000000-0005-0000-0000-000029010000}"/>
    <cellStyle name="20% - Accent2 4 5 2 2 2" xfId="17643" xr:uid="{E19BD3BE-9AE3-4A8B-A568-2C9D8BBB691E}"/>
    <cellStyle name="20% - Accent2 4 5 2 2 3" xfId="26090" xr:uid="{03E17B27-63A1-40BA-B000-828408757BDB}"/>
    <cellStyle name="20% - Accent2 4 5 2 2 4" xfId="34537" xr:uid="{E5250204-544D-4E43-9DE0-439C89B8845F}"/>
    <cellStyle name="20% - Accent2 4 5 2 3" xfId="13426" xr:uid="{1FEA7102-E4FC-4D07-8542-716ABA33E1FB}"/>
    <cellStyle name="20% - Accent2 4 5 2 4" xfId="21873" xr:uid="{F106266D-A43A-40C0-87BC-393A3EADDCBA}"/>
    <cellStyle name="20% - Accent2 4 5 2 5" xfId="30320" xr:uid="{BE6318E4-701F-44A4-8CD7-22175F075AB9}"/>
    <cellStyle name="20% - Accent2 4 5 3" xfId="6172" xr:uid="{00000000-0005-0000-0000-00002A010000}"/>
    <cellStyle name="20% - Accent2 4 5 3 2" xfId="15498" xr:uid="{CEAD9F47-A67C-47C3-B5D0-E350E6F64673}"/>
    <cellStyle name="20% - Accent2 4 5 3 3" xfId="23945" xr:uid="{9887C089-6688-4716-BE4F-0C1D93283AC2}"/>
    <cellStyle name="20% - Accent2 4 5 3 4" xfId="32392" xr:uid="{A6060862-6956-4907-91EB-120B469B696B}"/>
    <cellStyle name="20% - Accent2 4 5 4" xfId="11281" xr:uid="{72D8076A-6E31-4C70-BD69-603A20502F50}"/>
    <cellStyle name="20% - Accent2 4 5 5" xfId="19728" xr:uid="{BF6223A3-6A73-4235-BCF7-193637487B05}"/>
    <cellStyle name="20% - Accent2 4 5 6" xfId="28175" xr:uid="{538A736A-315B-415D-861F-9E80A857C55D}"/>
    <cellStyle name="20% - Accent2 4 6" xfId="2279" xr:uid="{00000000-0005-0000-0000-00002B010000}"/>
    <cellStyle name="20% - Accent2 4 6 2" xfId="6585" xr:uid="{00000000-0005-0000-0000-00002C010000}"/>
    <cellStyle name="20% - Accent2 4 6 2 2" xfId="15911" xr:uid="{9DA88DA3-08B1-4433-81F9-BBCF66857928}"/>
    <cellStyle name="20% - Accent2 4 6 2 3" xfId="24358" xr:uid="{FDDBB5CB-5C1F-43B6-98A8-805309436570}"/>
    <cellStyle name="20% - Accent2 4 6 2 4" xfId="32805" xr:uid="{A54D11FE-2BA3-4CA3-8194-63640C8383EA}"/>
    <cellStyle name="20% - Accent2 4 6 3" xfId="11694" xr:uid="{80486E7C-2E5D-4B12-9DA1-06951083FA32}"/>
    <cellStyle name="20% - Accent2 4 6 4" xfId="20141" xr:uid="{214EEC77-E1E4-4AC5-986A-A10D66AE277E}"/>
    <cellStyle name="20% - Accent2 4 6 5" xfId="28588" xr:uid="{ECCBA9C6-FA95-45E5-8302-B434E362EED1}"/>
    <cellStyle name="20% - Accent2 4 7" xfId="4519" xr:uid="{00000000-0005-0000-0000-00002D010000}"/>
    <cellStyle name="20% - Accent2 4 7 2" xfId="13845" xr:uid="{BA7A539E-09B1-408D-82F4-0C7E2B711C6F}"/>
    <cellStyle name="20% - Accent2 4 7 3" xfId="22292" xr:uid="{CE36FFCC-7B6F-4F5B-BCEC-8FB9228E57DE}"/>
    <cellStyle name="20% - Accent2 4 7 4" xfId="30739" xr:uid="{7C063D10-6420-4601-9655-B487C6F7683D}"/>
    <cellStyle name="20% - Accent2 4 8" xfId="8949" xr:uid="{084C22A9-B904-4AFE-A752-AC1DC2CA76B8}"/>
    <cellStyle name="20% - Accent2 4 9" xfId="9628" xr:uid="{585BA3F1-6C7B-4AAA-B263-C343D348FB28}"/>
    <cellStyle name="20% - Accent2 5" xfId="578" xr:uid="{00000000-0005-0000-0000-00002E010000}"/>
    <cellStyle name="20% - Accent2 5 2" xfId="2849" xr:uid="{00000000-0005-0000-0000-00002F010000}"/>
    <cellStyle name="20% - Accent2 5 2 2" xfId="7071" xr:uid="{00000000-0005-0000-0000-000030010000}"/>
    <cellStyle name="20% - Accent2 5 2 2 2" xfId="16397" xr:uid="{E63A4614-F771-4E7C-AC72-97D57E755E96}"/>
    <cellStyle name="20% - Accent2 5 2 2 3" xfId="24844" xr:uid="{EC89BCAE-E792-4E1C-88CD-B3FD5CE4A928}"/>
    <cellStyle name="20% - Accent2 5 2 2 4" xfId="33291" xr:uid="{21F7CF59-753C-4CFB-960F-EA316051727D}"/>
    <cellStyle name="20% - Accent2 5 2 3" xfId="12180" xr:uid="{E3988C5B-9A20-4850-959A-3064B5682A7E}"/>
    <cellStyle name="20% - Accent2 5 2 4" xfId="20627" xr:uid="{2B5B9CA5-51FA-4575-A1D3-F7EBFA089D3F}"/>
    <cellStyle name="20% - Accent2 5 2 5" xfId="29074" xr:uid="{0B79FD30-EF42-47C6-ACF0-98A0A0626E33}"/>
    <cellStyle name="20% - Accent2 5 3" xfId="4926" xr:uid="{00000000-0005-0000-0000-000031010000}"/>
    <cellStyle name="20% - Accent2 5 3 2" xfId="14252" xr:uid="{563DBCF5-B720-4973-A0ED-1B62AF23546D}"/>
    <cellStyle name="20% - Accent2 5 3 3" xfId="22699" xr:uid="{D70CE5D2-3A2E-44A1-B16C-71E8C1FC30C2}"/>
    <cellStyle name="20% - Accent2 5 3 4" xfId="31146" xr:uid="{FF95856C-1DA0-4375-AFC5-0ED9AC336EC8}"/>
    <cellStyle name="20% - Accent2 5 4" xfId="9182" xr:uid="{F822E263-B2A4-41B5-BBF9-FCE1A7A30601}"/>
    <cellStyle name="20% - Accent2 5 5" xfId="10035" xr:uid="{3D266073-374A-439A-BA3C-21776911FE97}"/>
    <cellStyle name="20% - Accent2 5 6" xfId="18482" xr:uid="{5855DA2D-86E7-4E82-91AD-232AFDD82987}"/>
    <cellStyle name="20% - Accent2 5 7" xfId="26929" xr:uid="{63616B97-738E-44E7-AF52-8A60B9F757F9}"/>
    <cellStyle name="20% - Accent2 6" xfId="1031" xr:uid="{00000000-0005-0000-0000-000032010000}"/>
    <cellStyle name="20% - Accent2 6 2" xfId="3262" xr:uid="{00000000-0005-0000-0000-000033010000}"/>
    <cellStyle name="20% - Accent2 6 2 2" xfId="7484" xr:uid="{00000000-0005-0000-0000-000034010000}"/>
    <cellStyle name="20% - Accent2 6 2 2 2" xfId="16810" xr:uid="{E7B1B97C-2E37-43DC-81C3-BF320A6ED744}"/>
    <cellStyle name="20% - Accent2 6 2 2 3" xfId="25257" xr:uid="{CE8D0228-3792-4A1F-ABC1-73D11282F423}"/>
    <cellStyle name="20% - Accent2 6 2 2 4" xfId="33704" xr:uid="{95B46BB4-CFF7-4FF1-B17E-62DF8CD24524}"/>
    <cellStyle name="20% - Accent2 6 2 3" xfId="12593" xr:uid="{E578E693-D9DD-4AA4-A61D-CA1BC40F3B1D}"/>
    <cellStyle name="20% - Accent2 6 2 4" xfId="21040" xr:uid="{C73AA797-FA23-4804-B42F-EEB9A2A2BA78}"/>
    <cellStyle name="20% - Accent2 6 2 5" xfId="29487" xr:uid="{769A5C99-5D14-4D0F-BA65-AF9854154FB9}"/>
    <cellStyle name="20% - Accent2 6 3" xfId="5339" xr:uid="{00000000-0005-0000-0000-000035010000}"/>
    <cellStyle name="20% - Accent2 6 3 2" xfId="14665" xr:uid="{441A827D-9F3F-4D4B-8C0B-A2AFA6F95178}"/>
    <cellStyle name="20% - Accent2 6 3 3" xfId="23112" xr:uid="{707245D2-86AB-41D0-A848-86C59CCCBB5B}"/>
    <cellStyle name="20% - Accent2 6 3 4" xfId="31559" xr:uid="{BF5B45D2-7FB1-4298-AF4F-E69476419203}"/>
    <cellStyle name="20% - Accent2 6 4" xfId="10448" xr:uid="{EDD141B5-ED30-4E4D-9BB1-4F373B16C79D}"/>
    <cellStyle name="20% - Accent2 6 5" xfId="18895" xr:uid="{BF148D07-F2FC-4686-AB90-2D20ADCEA81D}"/>
    <cellStyle name="20% - Accent2 6 6" xfId="27342" xr:uid="{0AB9C994-B12B-45DD-BF64-87E694462998}"/>
    <cellStyle name="20% - Accent2 7" xfId="1445" xr:uid="{00000000-0005-0000-0000-000036010000}"/>
    <cellStyle name="20% - Accent2 7 2" xfId="3675" xr:uid="{00000000-0005-0000-0000-000037010000}"/>
    <cellStyle name="20% - Accent2 7 2 2" xfId="7897" xr:uid="{00000000-0005-0000-0000-000038010000}"/>
    <cellStyle name="20% - Accent2 7 2 2 2" xfId="17223" xr:uid="{9FBBAB2B-F6CC-4554-BB1C-D07C7CEA4149}"/>
    <cellStyle name="20% - Accent2 7 2 2 3" xfId="25670" xr:uid="{8A69D021-270E-432A-B1B0-368943449336}"/>
    <cellStyle name="20% - Accent2 7 2 2 4" xfId="34117" xr:uid="{FC6C2517-C323-4D9D-865D-B92D7BF30579}"/>
    <cellStyle name="20% - Accent2 7 2 3" xfId="13006" xr:uid="{2C61E30D-4CF6-4973-B117-25B8596F8AEF}"/>
    <cellStyle name="20% - Accent2 7 2 4" xfId="21453" xr:uid="{1B717FDB-0BAC-4ECB-A754-7F27F14813F6}"/>
    <cellStyle name="20% - Accent2 7 2 5" xfId="29900" xr:uid="{0D28C8E9-E5C9-4CFA-8D79-EC80A8D52340}"/>
    <cellStyle name="20% - Accent2 7 3" xfId="5752" xr:uid="{00000000-0005-0000-0000-000039010000}"/>
    <cellStyle name="20% - Accent2 7 3 2" xfId="15078" xr:uid="{AFAD3FA1-B9BA-4B48-A0CD-8E7E78AF676B}"/>
    <cellStyle name="20% - Accent2 7 3 3" xfId="23525" xr:uid="{AE324B0E-D344-423C-B949-BEC270772331}"/>
    <cellStyle name="20% - Accent2 7 3 4" xfId="31972" xr:uid="{6151D5FA-A62D-417D-A319-5DAECD4F4A52}"/>
    <cellStyle name="20% - Accent2 7 4" xfId="10861" xr:uid="{FE36AF43-4430-43F2-BB32-11058BB4BEB4}"/>
    <cellStyle name="20% - Accent2 7 5" xfId="19308" xr:uid="{243B76A5-DF32-4CB0-B151-34DDD5B1D081}"/>
    <cellStyle name="20% - Accent2 7 6" xfId="27755" xr:uid="{978107FD-E8FE-40ED-A363-450F39E3AB9B}"/>
    <cellStyle name="20% - Accent2 8" xfId="1859" xr:uid="{00000000-0005-0000-0000-00003A010000}"/>
    <cellStyle name="20% - Accent2 8 2" xfId="4088" xr:uid="{00000000-0005-0000-0000-00003B010000}"/>
    <cellStyle name="20% - Accent2 8 2 2" xfId="8310" xr:uid="{00000000-0005-0000-0000-00003C010000}"/>
    <cellStyle name="20% - Accent2 8 2 2 2" xfId="17636" xr:uid="{2BDE4FB9-C68B-4449-A619-66F783BD93F5}"/>
    <cellStyle name="20% - Accent2 8 2 2 3" xfId="26083" xr:uid="{5D50C004-DBC6-4099-B93A-4809FE3231AF}"/>
    <cellStyle name="20% - Accent2 8 2 2 4" xfId="34530" xr:uid="{55BB8A84-C613-43EF-B4C8-F0281B6B16FA}"/>
    <cellStyle name="20% - Accent2 8 2 3" xfId="13419" xr:uid="{BCFE69DF-1BB6-4836-8EB8-2F583ECC4CF0}"/>
    <cellStyle name="20% - Accent2 8 2 4" xfId="21866" xr:uid="{EFDE18AF-5048-49BE-A5E6-E8A350F0E278}"/>
    <cellStyle name="20% - Accent2 8 2 5" xfId="30313" xr:uid="{E613E4BF-979B-49EF-B6E1-750FAC2AA84C}"/>
    <cellStyle name="20% - Accent2 8 3" xfId="6165" xr:uid="{00000000-0005-0000-0000-00003D010000}"/>
    <cellStyle name="20% - Accent2 8 3 2" xfId="15491" xr:uid="{A8233FAD-3203-47A1-8E96-E6C3FD07F6F3}"/>
    <cellStyle name="20% - Accent2 8 3 3" xfId="23938" xr:uid="{E89682AF-6CD0-419F-A5FC-79B8F4824AE4}"/>
    <cellStyle name="20% - Accent2 8 3 4" xfId="32385" xr:uid="{09AE273A-B06C-40FA-B7A6-11BB9B1F77F4}"/>
    <cellStyle name="20% - Accent2 8 4" xfId="11274" xr:uid="{6F323123-63CD-43B2-902F-55075AEE2B64}"/>
    <cellStyle name="20% - Accent2 8 5" xfId="19721" xr:uid="{EC7BF976-9957-41B7-906E-C7E829310368}"/>
    <cellStyle name="20% - Accent2 8 6" xfId="28168" xr:uid="{B42A55A5-D26C-4833-9061-CFD90E9625D1}"/>
    <cellStyle name="20% - Accent2 9" xfId="2272" xr:uid="{00000000-0005-0000-0000-00003E010000}"/>
    <cellStyle name="20% - Accent2 9 2" xfId="6578" xr:uid="{00000000-0005-0000-0000-00003F010000}"/>
    <cellStyle name="20% - Accent2 9 2 2" xfId="15904" xr:uid="{409A1220-5772-4E6F-99A0-0D0A3E59F147}"/>
    <cellStyle name="20% - Accent2 9 2 3" xfId="24351" xr:uid="{22FFAEFA-8766-4376-A532-416387277D14}"/>
    <cellStyle name="20% - Accent2 9 2 4" xfId="32798" xr:uid="{283A3351-88FE-4630-BA29-034CB5088941}"/>
    <cellStyle name="20% - Accent2 9 3" xfId="11687" xr:uid="{0FDB19B5-F2B6-418D-9774-1AFD8FD4DECF}"/>
    <cellStyle name="20% - Accent2 9 4" xfId="20134" xr:uid="{783EFDF3-1573-4D7D-9721-4FD30E7C2705}"/>
    <cellStyle name="20% - Accent2 9 5" xfId="28581" xr:uid="{513D105B-BE06-4861-AB5E-CB0DC98B7D26}"/>
    <cellStyle name="20% - Accent3" xfId="17" builtinId="38" customBuiltin="1"/>
    <cellStyle name="20% - Accent3 10" xfId="4520" xr:uid="{00000000-0005-0000-0000-000041010000}"/>
    <cellStyle name="20% - Accent3 10 2" xfId="13846" xr:uid="{499FABFC-25F4-4C03-8C4B-613C56022B15}"/>
    <cellStyle name="20% - Accent3 10 3" xfId="22293" xr:uid="{554DEC4A-1876-4445-916F-79BEA9BA20BA}"/>
    <cellStyle name="20% - Accent3 10 4" xfId="30740" xr:uid="{50BAF29E-6556-4C17-95F3-4EC02D1AA674}"/>
    <cellStyle name="20% - Accent3 11" xfId="8762" xr:uid="{49ACF776-43E7-4BB5-82F5-A8A4FEBC45F8}"/>
    <cellStyle name="20% - Accent3 12" xfId="9629" xr:uid="{03A9F2B5-7A5E-4A03-B344-AB43CAB82663}"/>
    <cellStyle name="20% - Accent3 13" xfId="18076" xr:uid="{4AF874FD-E445-4208-9BEA-6B136F816811}"/>
    <cellStyle name="20% - Accent3 14" xfId="26523" xr:uid="{F62A93D7-8CD3-46B1-A405-062C2FA45D93}"/>
    <cellStyle name="20% - Accent3 2" xfId="18" xr:uid="{00000000-0005-0000-0000-000042010000}"/>
    <cellStyle name="20% - Accent3 2 10" xfId="8792" xr:uid="{65E5762F-047C-4860-B47E-71363924E2A5}"/>
    <cellStyle name="20% - Accent3 2 11" xfId="9630" xr:uid="{33AE7687-7B41-40FA-86F1-A288F9105B12}"/>
    <cellStyle name="20% - Accent3 2 12" xfId="18077" xr:uid="{348A3FF9-C336-454B-9AED-6BEF86C6DF92}"/>
    <cellStyle name="20% - Accent3 2 13" xfId="26524" xr:uid="{755EF487-B5C7-46F0-B7FE-2F63B156B406}"/>
    <cellStyle name="20% - Accent3 2 2" xfId="19" xr:uid="{00000000-0005-0000-0000-000043010000}"/>
    <cellStyle name="20% - Accent3 2 2 10" xfId="9631" xr:uid="{B2E720D0-A73A-48DD-ACC8-99FFA3AD84DC}"/>
    <cellStyle name="20% - Accent3 2 2 11" xfId="18078" xr:uid="{D7E107DA-32B0-47D6-AEE2-049F603406C3}"/>
    <cellStyle name="20% - Accent3 2 2 12" xfId="26525" xr:uid="{B2B99904-8B2F-4ECE-A009-B26972A0EA10}"/>
    <cellStyle name="20% - Accent3 2 2 2" xfId="20" xr:uid="{00000000-0005-0000-0000-000044010000}"/>
    <cellStyle name="20% - Accent3 2 2 2 10" xfId="18079" xr:uid="{0679AEC1-DAED-4CAE-A0E5-91B3D907B58E}"/>
    <cellStyle name="20% - Accent3 2 2 2 11" xfId="26526" xr:uid="{F15F1323-453B-4926-99C0-358C11E7371F}"/>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16408" xr:uid="{07AB65F8-DD48-4A06-BD9A-EBA573A03477}"/>
    <cellStyle name="20% - Accent3 2 2 2 2 2 2 3" xfId="24855" xr:uid="{5E04F1E6-3B81-4B14-B0FE-98DEE90B1CFE}"/>
    <cellStyle name="20% - Accent3 2 2 2 2 2 2 4" xfId="33302" xr:uid="{38051117-311B-44C0-8C21-3B2D72509D6E}"/>
    <cellStyle name="20% - Accent3 2 2 2 2 2 3" xfId="12191" xr:uid="{D19683F7-ABB5-49AA-B937-E77863872920}"/>
    <cellStyle name="20% - Accent3 2 2 2 2 2 4" xfId="20638" xr:uid="{B1F8EB05-8FB4-46C8-AB76-07586C60303B}"/>
    <cellStyle name="20% - Accent3 2 2 2 2 2 5" xfId="29085" xr:uid="{3BF16C51-6D26-4BAE-BA52-08DEBD269A7A}"/>
    <cellStyle name="20% - Accent3 2 2 2 2 3" xfId="4937" xr:uid="{00000000-0005-0000-0000-000048010000}"/>
    <cellStyle name="20% - Accent3 2 2 2 2 3 2" xfId="14263" xr:uid="{7659A346-CC31-473D-A2D0-EF8FDC3A5C7B}"/>
    <cellStyle name="20% - Accent3 2 2 2 2 3 3" xfId="22710" xr:uid="{A9F4F674-5D99-4F9C-AD82-35C90AAEFD44}"/>
    <cellStyle name="20% - Accent3 2 2 2 2 3 4" xfId="31157" xr:uid="{D9AFAFAA-113C-4E1B-B912-66FD80021ABD}"/>
    <cellStyle name="20% - Accent3 2 2 2 2 4" xfId="9527" xr:uid="{B82F9F3C-4714-4F10-BEB2-F90FC0563F53}"/>
    <cellStyle name="20% - Accent3 2 2 2 2 5" xfId="10046" xr:uid="{8925982D-0166-426D-ABE9-CE0F7B416500}"/>
    <cellStyle name="20% - Accent3 2 2 2 2 6" xfId="18493" xr:uid="{40EC6DB9-E3D8-4C8C-B032-FD3A5637B864}"/>
    <cellStyle name="20% - Accent3 2 2 2 2 7" xfId="26940" xr:uid="{2B3286BD-4711-451B-9EC5-23E27E3B8C92}"/>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16821" xr:uid="{B84084D0-4D5B-4B33-982E-D4126C61F5A3}"/>
    <cellStyle name="20% - Accent3 2 2 2 3 2 2 3" xfId="25268" xr:uid="{E5F2FA70-DC86-493E-9FAC-27CF97613CC7}"/>
    <cellStyle name="20% - Accent3 2 2 2 3 2 2 4" xfId="33715" xr:uid="{914C6F6B-817A-426C-B818-BCC274831D84}"/>
    <cellStyle name="20% - Accent3 2 2 2 3 2 3" xfId="12604" xr:uid="{9BA15EBD-52B4-462E-8516-2C6D30CF1AF0}"/>
    <cellStyle name="20% - Accent3 2 2 2 3 2 4" xfId="21051" xr:uid="{BC8DC7FE-6410-4960-856A-C696E3F0DB06}"/>
    <cellStyle name="20% - Accent3 2 2 2 3 2 5" xfId="29498" xr:uid="{F0FA585C-5082-40D6-BD36-E0524D10B38E}"/>
    <cellStyle name="20% - Accent3 2 2 2 3 3" xfId="5350" xr:uid="{00000000-0005-0000-0000-00004C010000}"/>
    <cellStyle name="20% - Accent3 2 2 2 3 3 2" xfId="14676" xr:uid="{CCC98DBA-8E54-46E0-ACEE-AF221E3F8E0A}"/>
    <cellStyle name="20% - Accent3 2 2 2 3 3 3" xfId="23123" xr:uid="{59D73340-21B2-4186-B2BE-697D0F6A2347}"/>
    <cellStyle name="20% - Accent3 2 2 2 3 3 4" xfId="31570" xr:uid="{25E05EF7-4C43-4189-A312-25C5F75D2DCC}"/>
    <cellStyle name="20% - Accent3 2 2 2 3 4" xfId="10459" xr:uid="{4BD7CDE0-9D59-4E76-9E76-B88BC7D4455E}"/>
    <cellStyle name="20% - Accent3 2 2 2 3 5" xfId="18906" xr:uid="{CFE494C2-75FF-4AAC-B926-BE0BA30A7767}"/>
    <cellStyle name="20% - Accent3 2 2 2 3 6" xfId="27353" xr:uid="{33B66E1C-1A60-48AD-A612-750BCC2F853B}"/>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17234" xr:uid="{90204EC6-1952-49F9-A99F-9868525254EE}"/>
    <cellStyle name="20% - Accent3 2 2 2 4 2 2 3" xfId="25681" xr:uid="{5D053823-6941-4045-8126-52BED70343F7}"/>
    <cellStyle name="20% - Accent3 2 2 2 4 2 2 4" xfId="34128" xr:uid="{F5BFEB36-33F7-4347-B9F2-89816BAB3B80}"/>
    <cellStyle name="20% - Accent3 2 2 2 4 2 3" xfId="13017" xr:uid="{C03235E0-CF9A-49C8-A857-A766DB9C7D2B}"/>
    <cellStyle name="20% - Accent3 2 2 2 4 2 4" xfId="21464" xr:uid="{68664A98-4F9C-4225-99C9-AD657D55B2EE}"/>
    <cellStyle name="20% - Accent3 2 2 2 4 2 5" xfId="29911" xr:uid="{BAF5B718-4939-4BD6-9123-032204889F52}"/>
    <cellStyle name="20% - Accent3 2 2 2 4 3" xfId="5763" xr:uid="{00000000-0005-0000-0000-000050010000}"/>
    <cellStyle name="20% - Accent3 2 2 2 4 3 2" xfId="15089" xr:uid="{B3CA5FCB-CBE7-4C28-B5E2-C28FBE52E22F}"/>
    <cellStyle name="20% - Accent3 2 2 2 4 3 3" xfId="23536" xr:uid="{A4115621-C5ED-4BC9-BAA5-221F1F2F7614}"/>
    <cellStyle name="20% - Accent3 2 2 2 4 3 4" xfId="31983" xr:uid="{8E13226C-3D55-4979-AB5F-9441F7293470}"/>
    <cellStyle name="20% - Accent3 2 2 2 4 4" xfId="10872" xr:uid="{6BD1A2D1-B722-4131-96B9-3D16E08D0604}"/>
    <cellStyle name="20% - Accent3 2 2 2 4 5" xfId="19319" xr:uid="{955C6727-4693-411A-B0A1-02F533E842F6}"/>
    <cellStyle name="20% - Accent3 2 2 2 4 6" xfId="27766" xr:uid="{42A01F57-09F1-4966-B67F-244B67204AA7}"/>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17647" xr:uid="{7DF9C5D1-1BC0-4141-B35F-7D9273FB050C}"/>
    <cellStyle name="20% - Accent3 2 2 2 5 2 2 3" xfId="26094" xr:uid="{C8F7E2E4-5E4A-4BD1-BFEB-A3D5C6D58A61}"/>
    <cellStyle name="20% - Accent3 2 2 2 5 2 2 4" xfId="34541" xr:uid="{FB201D8F-892B-48EF-B5BE-7119D690B865}"/>
    <cellStyle name="20% - Accent3 2 2 2 5 2 3" xfId="13430" xr:uid="{AF7E99C3-3FD0-4B86-8A2B-51CC7BA8B925}"/>
    <cellStyle name="20% - Accent3 2 2 2 5 2 4" xfId="21877" xr:uid="{90AFDA4C-1C7C-4135-8DBD-748FC7AF3281}"/>
    <cellStyle name="20% - Accent3 2 2 2 5 2 5" xfId="30324" xr:uid="{2ED29A9E-BD01-4FAE-A8CB-EFB0B33714CA}"/>
    <cellStyle name="20% - Accent3 2 2 2 5 3" xfId="6176" xr:uid="{00000000-0005-0000-0000-000054010000}"/>
    <cellStyle name="20% - Accent3 2 2 2 5 3 2" xfId="15502" xr:uid="{BCBEAD05-7AAC-434D-B79D-8FDC358D02F0}"/>
    <cellStyle name="20% - Accent3 2 2 2 5 3 3" xfId="23949" xr:uid="{681E7F2B-367D-494C-B1F3-1F825F3B1617}"/>
    <cellStyle name="20% - Accent3 2 2 2 5 3 4" xfId="32396" xr:uid="{81BAF607-A47F-452E-BF8C-8E507F7012C4}"/>
    <cellStyle name="20% - Accent3 2 2 2 5 4" xfId="11285" xr:uid="{56C20AFB-B22C-4844-871C-1E5D7A7B284B}"/>
    <cellStyle name="20% - Accent3 2 2 2 5 5" xfId="19732" xr:uid="{0B97B432-3F4F-4757-81DB-02E3B37FAC68}"/>
    <cellStyle name="20% - Accent3 2 2 2 5 6" xfId="28179" xr:uid="{58EB1071-C659-4168-BCDE-C5A9FB053B0D}"/>
    <cellStyle name="20% - Accent3 2 2 2 6" xfId="2283" xr:uid="{00000000-0005-0000-0000-000055010000}"/>
    <cellStyle name="20% - Accent3 2 2 2 6 2" xfId="6589" xr:uid="{00000000-0005-0000-0000-000056010000}"/>
    <cellStyle name="20% - Accent3 2 2 2 6 2 2" xfId="15915" xr:uid="{D76A08AA-CC6F-4212-9D98-51100C03E8BA}"/>
    <cellStyle name="20% - Accent3 2 2 2 6 2 3" xfId="24362" xr:uid="{AB6D121B-0BAA-4980-8829-ACD45E4DD954}"/>
    <cellStyle name="20% - Accent3 2 2 2 6 2 4" xfId="32809" xr:uid="{59D3EA6D-5766-4931-92FC-C184FEFACD6C}"/>
    <cellStyle name="20% - Accent3 2 2 2 6 3" xfId="11698" xr:uid="{BBE4C008-E750-4C2A-B4BB-8D115D01361D}"/>
    <cellStyle name="20% - Accent3 2 2 2 6 4" xfId="20145" xr:uid="{E231297D-0B6C-4A76-B399-9A80C68F5FC5}"/>
    <cellStyle name="20% - Accent3 2 2 2 6 5" xfId="28592" xr:uid="{8789F8DA-9BC0-41E8-9376-C11F8E308DE7}"/>
    <cellStyle name="20% - Accent3 2 2 2 7" xfId="4523" xr:uid="{00000000-0005-0000-0000-000057010000}"/>
    <cellStyle name="20% - Accent3 2 2 2 7 2" xfId="13849" xr:uid="{4D7D4500-B578-4BE9-83F9-5FFDDC2E8FEF}"/>
    <cellStyle name="20% - Accent3 2 2 2 7 3" xfId="22296" xr:uid="{B521EB05-5A9E-40C3-8D9A-34E7A9654F69}"/>
    <cellStyle name="20% - Accent3 2 2 2 7 4" xfId="30743" xr:uid="{8B0EBF90-918C-4A90-BBE3-23E7F530B906}"/>
    <cellStyle name="20% - Accent3 2 2 2 8" xfId="9102" xr:uid="{77698EAD-FDE4-4105-BE80-980B5219F464}"/>
    <cellStyle name="20% - Accent3 2 2 2 9" xfId="9632" xr:uid="{53576FAC-5895-4980-8BB4-0F637BB676C7}"/>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16407" xr:uid="{9A90BD8D-69C8-4E29-A86C-267ECB6FD505}"/>
    <cellStyle name="20% - Accent3 2 2 3 2 2 3" xfId="24854" xr:uid="{394996E2-5940-4BE4-8622-6686298EACC9}"/>
    <cellStyle name="20% - Accent3 2 2 3 2 2 4" xfId="33301" xr:uid="{826C2EA9-A00B-42BC-9C72-E9F101E86213}"/>
    <cellStyle name="20% - Accent3 2 2 3 2 3" xfId="12190" xr:uid="{DEDB02E9-DD39-474D-8322-46AE7887B212}"/>
    <cellStyle name="20% - Accent3 2 2 3 2 4" xfId="20637" xr:uid="{177668E4-11B3-454A-B5B0-3462BE4642B7}"/>
    <cellStyle name="20% - Accent3 2 2 3 2 5" xfId="29084" xr:uid="{E1E3CFFA-ECBD-45C9-96F3-E99A20D4982A}"/>
    <cellStyle name="20% - Accent3 2 2 3 3" xfId="4936" xr:uid="{00000000-0005-0000-0000-00005B010000}"/>
    <cellStyle name="20% - Accent3 2 2 3 3 2" xfId="14262" xr:uid="{ECFE0F7D-81DE-434A-A953-17AB7706DA02}"/>
    <cellStyle name="20% - Accent3 2 2 3 3 3" xfId="22709" xr:uid="{7A797CE6-4FEC-47CF-B727-ACB7FA63FE24}"/>
    <cellStyle name="20% - Accent3 2 2 3 3 4" xfId="31156" xr:uid="{F3B6F92A-0A9E-40A8-845F-DE206D4830A2}"/>
    <cellStyle name="20% - Accent3 2 2 3 4" xfId="9320" xr:uid="{BF070B19-D289-4211-B080-DBB621CAE7BA}"/>
    <cellStyle name="20% - Accent3 2 2 3 5" xfId="10045" xr:uid="{B97DD5C7-FB93-42ED-805C-E7C86817BA68}"/>
    <cellStyle name="20% - Accent3 2 2 3 6" xfId="18492" xr:uid="{21AF1D04-B948-4C64-94B7-B7D0C7AF5C87}"/>
    <cellStyle name="20% - Accent3 2 2 3 7" xfId="26939" xr:uid="{9CE53958-2DF0-43B0-8380-EDF456F14113}"/>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16820" xr:uid="{5ED3E9D9-3FF1-4DC7-9EBF-B70C5DD1E490}"/>
    <cellStyle name="20% - Accent3 2 2 4 2 2 3" xfId="25267" xr:uid="{2D405F04-0DEB-4586-A203-7C77B16111FD}"/>
    <cellStyle name="20% - Accent3 2 2 4 2 2 4" xfId="33714" xr:uid="{41012FC1-452B-4D8A-AC7E-932183CEB030}"/>
    <cellStyle name="20% - Accent3 2 2 4 2 3" xfId="12603" xr:uid="{13F0720B-56F7-4711-8CD1-2A0A22663698}"/>
    <cellStyle name="20% - Accent3 2 2 4 2 4" xfId="21050" xr:uid="{25C0DF5F-7BD8-46A7-93B2-C768D978AD0A}"/>
    <cellStyle name="20% - Accent3 2 2 4 2 5" xfId="29497" xr:uid="{34ACB06D-3600-45F4-984E-52BB49CD405B}"/>
    <cellStyle name="20% - Accent3 2 2 4 3" xfId="5349" xr:uid="{00000000-0005-0000-0000-00005F010000}"/>
    <cellStyle name="20% - Accent3 2 2 4 3 2" xfId="14675" xr:uid="{6FE81BB5-C6C8-4044-9AF1-2EEA96C75335}"/>
    <cellStyle name="20% - Accent3 2 2 4 3 3" xfId="23122" xr:uid="{D5B6FFAD-526E-408E-81B5-4AA207B3611A}"/>
    <cellStyle name="20% - Accent3 2 2 4 3 4" xfId="31569" xr:uid="{82269391-62ED-43E3-B267-EA2CE78BCA37}"/>
    <cellStyle name="20% - Accent3 2 2 4 4" xfId="10458" xr:uid="{67970089-4ADE-4F30-9942-D8B73809F9E6}"/>
    <cellStyle name="20% - Accent3 2 2 4 5" xfId="18905" xr:uid="{70F2B0B3-BE50-4DAE-8C59-C2328DC02675}"/>
    <cellStyle name="20% - Accent3 2 2 4 6" xfId="27352" xr:uid="{37B36008-7232-42EF-B072-82F98EBB912C}"/>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17233" xr:uid="{87B81D57-D3FB-4E14-ADD7-9D70AAC86B8A}"/>
    <cellStyle name="20% - Accent3 2 2 5 2 2 3" xfId="25680" xr:uid="{896DF836-1848-49A5-A49E-B3C5AE844A3E}"/>
    <cellStyle name="20% - Accent3 2 2 5 2 2 4" xfId="34127" xr:uid="{5E6C2E81-C421-4A67-B669-DF7C3E5FEF3B}"/>
    <cellStyle name="20% - Accent3 2 2 5 2 3" xfId="13016" xr:uid="{E286F413-B007-495D-8C7C-489FF3EB78B2}"/>
    <cellStyle name="20% - Accent3 2 2 5 2 4" xfId="21463" xr:uid="{60CAE0F6-EC17-4202-9B94-A2A738CBAB60}"/>
    <cellStyle name="20% - Accent3 2 2 5 2 5" xfId="29910" xr:uid="{1FC3C726-2EDE-40DD-B273-1A27922DCAAF}"/>
    <cellStyle name="20% - Accent3 2 2 5 3" xfId="5762" xr:uid="{00000000-0005-0000-0000-000063010000}"/>
    <cellStyle name="20% - Accent3 2 2 5 3 2" xfId="15088" xr:uid="{67A0B415-0DA9-4308-8830-2FF2CF89E797}"/>
    <cellStyle name="20% - Accent3 2 2 5 3 3" xfId="23535" xr:uid="{F81CD167-BAED-4CCC-8CD2-09AA1208A917}"/>
    <cellStyle name="20% - Accent3 2 2 5 3 4" xfId="31982" xr:uid="{BA002A58-FB8A-4ECD-B781-09F82B17DEF5}"/>
    <cellStyle name="20% - Accent3 2 2 5 4" xfId="10871" xr:uid="{51B871B4-C56D-42A8-9784-81D803895F1A}"/>
    <cellStyle name="20% - Accent3 2 2 5 5" xfId="19318" xr:uid="{833AF62B-5146-4C89-90BF-024DDA59F56F}"/>
    <cellStyle name="20% - Accent3 2 2 5 6" xfId="27765" xr:uid="{DD3BAE0A-B618-44C9-8A71-969C8B8E392F}"/>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17646" xr:uid="{734E05EC-2909-4B3B-9D03-6F68A9EC0224}"/>
    <cellStyle name="20% - Accent3 2 2 6 2 2 3" xfId="26093" xr:uid="{259C1D85-3F76-4FF8-8564-C99F6D92FFC7}"/>
    <cellStyle name="20% - Accent3 2 2 6 2 2 4" xfId="34540" xr:uid="{C6C43BE4-E308-4B4D-93E5-D87DEFF41FF4}"/>
    <cellStyle name="20% - Accent3 2 2 6 2 3" xfId="13429" xr:uid="{39158ADC-5A23-4A7C-87E7-32DE131D8C13}"/>
    <cellStyle name="20% - Accent3 2 2 6 2 4" xfId="21876" xr:uid="{79AC9AFF-13A8-4BB0-8B8E-CA7C4ED073BB}"/>
    <cellStyle name="20% - Accent3 2 2 6 2 5" xfId="30323" xr:uid="{2BC6228D-1066-4452-B661-608E256CD1D4}"/>
    <cellStyle name="20% - Accent3 2 2 6 3" xfId="6175" xr:uid="{00000000-0005-0000-0000-000067010000}"/>
    <cellStyle name="20% - Accent3 2 2 6 3 2" xfId="15501" xr:uid="{783C01EC-B4B7-4A44-9C29-0AC67816C5FB}"/>
    <cellStyle name="20% - Accent3 2 2 6 3 3" xfId="23948" xr:uid="{9DDEF01C-DC0A-47C6-B25A-95443E51ACBF}"/>
    <cellStyle name="20% - Accent3 2 2 6 3 4" xfId="32395" xr:uid="{0B93002B-1ED6-4DB9-B025-4F3BE5B651AD}"/>
    <cellStyle name="20% - Accent3 2 2 6 4" xfId="11284" xr:uid="{B3380AFD-69FF-4CBE-A8DD-5C71EE6D812A}"/>
    <cellStyle name="20% - Accent3 2 2 6 5" xfId="19731" xr:uid="{F8E53297-378C-4CCE-8DB0-7748F7AE507B}"/>
    <cellStyle name="20% - Accent3 2 2 6 6" xfId="28178" xr:uid="{E9A208C7-5C86-4D83-B941-96FB6B8E1021}"/>
    <cellStyle name="20% - Accent3 2 2 7" xfId="2282" xr:uid="{00000000-0005-0000-0000-000068010000}"/>
    <cellStyle name="20% - Accent3 2 2 7 2" xfId="6588" xr:uid="{00000000-0005-0000-0000-000069010000}"/>
    <cellStyle name="20% - Accent3 2 2 7 2 2" xfId="15914" xr:uid="{B8C57A75-D808-4D21-9188-3F533B3C1941}"/>
    <cellStyle name="20% - Accent3 2 2 7 2 3" xfId="24361" xr:uid="{1E3EF839-8346-40AA-B1B6-AE746F2A2538}"/>
    <cellStyle name="20% - Accent3 2 2 7 2 4" xfId="32808" xr:uid="{F6A48365-6011-49CF-9C6A-C2ADCB6F704E}"/>
    <cellStyle name="20% - Accent3 2 2 7 3" xfId="11697" xr:uid="{369AC6AB-A359-4AFB-8081-96ECA0C24FE9}"/>
    <cellStyle name="20% - Accent3 2 2 7 4" xfId="20144" xr:uid="{2C682919-9405-4DEE-8ED0-DAAE8CA39E47}"/>
    <cellStyle name="20% - Accent3 2 2 7 5" xfId="28591" xr:uid="{2AEEB531-105F-42C2-94E4-01E682012878}"/>
    <cellStyle name="20% - Accent3 2 2 8" xfId="4522" xr:uid="{00000000-0005-0000-0000-00006A010000}"/>
    <cellStyle name="20% - Accent3 2 2 8 2" xfId="13848" xr:uid="{E9F8D19C-8630-43EE-A345-69044918E0CC}"/>
    <cellStyle name="20% - Accent3 2 2 8 3" xfId="22295" xr:uid="{9C27EE9D-AD25-4B24-B8CA-1453A4946F81}"/>
    <cellStyle name="20% - Accent3 2 2 8 4" xfId="30742" xr:uid="{18D017C2-0C2E-4E86-809F-1EE42DED39C2}"/>
    <cellStyle name="20% - Accent3 2 2 9" xfId="8895" xr:uid="{0ADDC6BA-FD9D-420D-8F5A-13E0A04BBC7C}"/>
    <cellStyle name="20% - Accent3 2 3" xfId="21" xr:uid="{00000000-0005-0000-0000-00006B010000}"/>
    <cellStyle name="20% - Accent3 2 3 10" xfId="18080" xr:uid="{D649D9AF-48BF-4FF7-83D0-07CE26EABEAF}"/>
    <cellStyle name="20% - Accent3 2 3 11" xfId="26527" xr:uid="{4450C754-1E68-4FD0-9850-CD5698349F1A}"/>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16409" xr:uid="{C55EDF3B-79C1-4E5E-9108-DBFA38600001}"/>
    <cellStyle name="20% - Accent3 2 3 2 2 2 3" xfId="24856" xr:uid="{BC5874A6-13CD-4643-BC81-CBAC4D2ED66F}"/>
    <cellStyle name="20% - Accent3 2 3 2 2 2 4" xfId="33303" xr:uid="{F3D723D5-BA04-4263-8D4E-127CF811DCA5}"/>
    <cellStyle name="20% - Accent3 2 3 2 2 3" xfId="12192" xr:uid="{AF990212-9F78-4098-9F55-653AAD2A95DC}"/>
    <cellStyle name="20% - Accent3 2 3 2 2 4" xfId="20639" xr:uid="{DF67388E-A84E-4CA8-A12D-3BD0A4315C03}"/>
    <cellStyle name="20% - Accent3 2 3 2 2 5" xfId="29086" xr:uid="{DBABA4C7-7C0B-4AC5-8272-835A24A14234}"/>
    <cellStyle name="20% - Accent3 2 3 2 3" xfId="4938" xr:uid="{00000000-0005-0000-0000-00006F010000}"/>
    <cellStyle name="20% - Accent3 2 3 2 3 2" xfId="14264" xr:uid="{9FBDB2A3-0980-4DAC-BC55-88BB3318E88B}"/>
    <cellStyle name="20% - Accent3 2 3 2 3 3" xfId="22711" xr:uid="{F6338DC8-FD48-483D-A881-FB7BDD1668D5}"/>
    <cellStyle name="20% - Accent3 2 3 2 3 4" xfId="31158" xr:uid="{EF4B01C9-1606-4072-A6E4-9CABF6DB83EB}"/>
    <cellStyle name="20% - Accent3 2 3 2 4" xfId="9424" xr:uid="{C3588D98-6F24-4F2C-9F96-F34501405613}"/>
    <cellStyle name="20% - Accent3 2 3 2 5" xfId="10047" xr:uid="{0529FB51-F838-4D78-B1A5-60DF2B52860F}"/>
    <cellStyle name="20% - Accent3 2 3 2 6" xfId="18494" xr:uid="{A7F300C1-FE52-4694-8E49-5A08FCB659AF}"/>
    <cellStyle name="20% - Accent3 2 3 2 7" xfId="26941" xr:uid="{ACAC6827-C673-481F-ADA7-AEA3DB1D2B72}"/>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16822" xr:uid="{45D9F284-8701-4E3C-9B9F-5394259C9FB0}"/>
    <cellStyle name="20% - Accent3 2 3 3 2 2 3" xfId="25269" xr:uid="{0EFD274B-360B-4A85-9998-34DFCF4AF328}"/>
    <cellStyle name="20% - Accent3 2 3 3 2 2 4" xfId="33716" xr:uid="{5F3D3BF1-460D-457E-BFB3-C23F35731D13}"/>
    <cellStyle name="20% - Accent3 2 3 3 2 3" xfId="12605" xr:uid="{743D718A-6B4F-4A8B-B338-2E6ECC5ED937}"/>
    <cellStyle name="20% - Accent3 2 3 3 2 4" xfId="21052" xr:uid="{3B3EE0F0-001A-4F08-95C1-FF92C1319796}"/>
    <cellStyle name="20% - Accent3 2 3 3 2 5" xfId="29499" xr:uid="{2A41C3B6-2004-49C3-B9DA-38D0BBFCFB48}"/>
    <cellStyle name="20% - Accent3 2 3 3 3" xfId="5351" xr:uid="{00000000-0005-0000-0000-000073010000}"/>
    <cellStyle name="20% - Accent3 2 3 3 3 2" xfId="14677" xr:uid="{B689BDEA-19BD-4025-BAA8-5A6419E48B22}"/>
    <cellStyle name="20% - Accent3 2 3 3 3 3" xfId="23124" xr:uid="{E64AD417-E494-4565-8388-811EE2B9D47D}"/>
    <cellStyle name="20% - Accent3 2 3 3 3 4" xfId="31571" xr:uid="{1284FF65-DD1C-41C7-82E8-A7316ABC4ED2}"/>
    <cellStyle name="20% - Accent3 2 3 3 4" xfId="10460" xr:uid="{B72E0610-37EF-4AF1-82FD-7A0EA9DEED8F}"/>
    <cellStyle name="20% - Accent3 2 3 3 5" xfId="18907" xr:uid="{6B1127DA-40E9-4DB9-B456-B254B502A260}"/>
    <cellStyle name="20% - Accent3 2 3 3 6" xfId="27354" xr:uid="{8BE9676C-718B-477A-9A8B-C977A34721E3}"/>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17235" xr:uid="{900286A3-1A5C-40E1-9686-63FB0D6B6FA0}"/>
    <cellStyle name="20% - Accent3 2 3 4 2 2 3" xfId="25682" xr:uid="{026FD9D5-A403-46C8-B441-473BBBB456A6}"/>
    <cellStyle name="20% - Accent3 2 3 4 2 2 4" xfId="34129" xr:uid="{32509B41-CC6E-4C1E-A12C-E57ECC76E1D3}"/>
    <cellStyle name="20% - Accent3 2 3 4 2 3" xfId="13018" xr:uid="{3361FEFF-69BF-4CED-A3AD-EB09AEE62AEE}"/>
    <cellStyle name="20% - Accent3 2 3 4 2 4" xfId="21465" xr:uid="{5833778C-AED6-4D92-A124-6DC97FDD351B}"/>
    <cellStyle name="20% - Accent3 2 3 4 2 5" xfId="29912" xr:uid="{FFBE8BE2-998E-49E7-96DC-72C94A2C5F45}"/>
    <cellStyle name="20% - Accent3 2 3 4 3" xfId="5764" xr:uid="{00000000-0005-0000-0000-000077010000}"/>
    <cellStyle name="20% - Accent3 2 3 4 3 2" xfId="15090" xr:uid="{0F9C7A86-1384-449E-B3AA-F83B9AF47E97}"/>
    <cellStyle name="20% - Accent3 2 3 4 3 3" xfId="23537" xr:uid="{2B92459E-72CD-429A-91AD-1D5F28658304}"/>
    <cellStyle name="20% - Accent3 2 3 4 3 4" xfId="31984" xr:uid="{5BE52EEA-6236-486A-9E87-D984FB870E98}"/>
    <cellStyle name="20% - Accent3 2 3 4 4" xfId="10873" xr:uid="{4538458B-E1D7-4F74-89F1-33C1DD16C48F}"/>
    <cellStyle name="20% - Accent3 2 3 4 5" xfId="19320" xr:uid="{801376C0-E212-4E86-9BE2-FE8FCEBC2813}"/>
    <cellStyle name="20% - Accent3 2 3 4 6" xfId="27767" xr:uid="{681D7BC4-DB94-4950-B818-6C75919D2077}"/>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17648" xr:uid="{E0C55559-4C63-45E4-A7A5-E6176CD07EFC}"/>
    <cellStyle name="20% - Accent3 2 3 5 2 2 3" xfId="26095" xr:uid="{3448A7BB-C8A5-4D68-9B12-7A8943120813}"/>
    <cellStyle name="20% - Accent3 2 3 5 2 2 4" xfId="34542" xr:uid="{9DF3792A-0004-43EC-A6CE-F334A08CD4BF}"/>
    <cellStyle name="20% - Accent3 2 3 5 2 3" xfId="13431" xr:uid="{D3A7C1E2-95DF-4187-8245-E08BF7B9A713}"/>
    <cellStyle name="20% - Accent3 2 3 5 2 4" xfId="21878" xr:uid="{1B2251D7-5352-41D4-9BB1-989850D63686}"/>
    <cellStyle name="20% - Accent3 2 3 5 2 5" xfId="30325" xr:uid="{FBA23BE7-268E-4A53-B91D-3A6A8A2EE923}"/>
    <cellStyle name="20% - Accent3 2 3 5 3" xfId="6177" xr:uid="{00000000-0005-0000-0000-00007B010000}"/>
    <cellStyle name="20% - Accent3 2 3 5 3 2" xfId="15503" xr:uid="{47E00F31-8A47-47C4-A993-8BB9DC6B5D69}"/>
    <cellStyle name="20% - Accent3 2 3 5 3 3" xfId="23950" xr:uid="{C230A5EF-7711-4A7F-84FE-1557AB64350C}"/>
    <cellStyle name="20% - Accent3 2 3 5 3 4" xfId="32397" xr:uid="{F010A0F4-9D74-4E49-B0F1-5E7E082C1796}"/>
    <cellStyle name="20% - Accent3 2 3 5 4" xfId="11286" xr:uid="{0554289B-DE02-48B6-9F84-6310DF7E2886}"/>
    <cellStyle name="20% - Accent3 2 3 5 5" xfId="19733" xr:uid="{B82D0250-133E-4F84-ADD7-B583A530F021}"/>
    <cellStyle name="20% - Accent3 2 3 5 6" xfId="28180" xr:uid="{01AF5E44-482A-44E1-8980-66BD7BC20BFD}"/>
    <cellStyle name="20% - Accent3 2 3 6" xfId="2284" xr:uid="{00000000-0005-0000-0000-00007C010000}"/>
    <cellStyle name="20% - Accent3 2 3 6 2" xfId="6590" xr:uid="{00000000-0005-0000-0000-00007D010000}"/>
    <cellStyle name="20% - Accent3 2 3 6 2 2" xfId="15916" xr:uid="{11B5BAF6-3EC6-44BF-85EF-7D0625767D47}"/>
    <cellStyle name="20% - Accent3 2 3 6 2 3" xfId="24363" xr:uid="{4C912EB3-B4EA-4631-9B19-D56CC1DB5C49}"/>
    <cellStyle name="20% - Accent3 2 3 6 2 4" xfId="32810" xr:uid="{9395E6E4-746F-488A-B5F4-3715D474AAFD}"/>
    <cellStyle name="20% - Accent3 2 3 6 3" xfId="11699" xr:uid="{30EDBEC7-7911-42F1-8C72-886288D14640}"/>
    <cellStyle name="20% - Accent3 2 3 6 4" xfId="20146" xr:uid="{7DFA937F-D851-4FC8-90A0-09909D27694F}"/>
    <cellStyle name="20% - Accent3 2 3 6 5" xfId="28593" xr:uid="{B82D9E97-D0B5-4366-8D03-803B35548970}"/>
    <cellStyle name="20% - Accent3 2 3 7" xfId="4524" xr:uid="{00000000-0005-0000-0000-00007E010000}"/>
    <cellStyle name="20% - Accent3 2 3 7 2" xfId="13850" xr:uid="{EF053355-624B-48B9-B1C0-B87150553E37}"/>
    <cellStyle name="20% - Accent3 2 3 7 3" xfId="22297" xr:uid="{D110C3B1-AAC1-4099-9ED6-6D561ED8B3B0}"/>
    <cellStyle name="20% - Accent3 2 3 7 4" xfId="30744" xr:uid="{B38416F1-658E-483C-BFAB-F60F73BEACAB}"/>
    <cellStyle name="20% - Accent3 2 3 8" xfId="8999" xr:uid="{2B5D0148-B6EA-4DEA-92B1-644886C27051}"/>
    <cellStyle name="20% - Accent3 2 3 9" xfId="9633" xr:uid="{B60CD07F-239E-46CF-BBF6-A69853AA0356}"/>
    <cellStyle name="20% - Accent3 2 4" xfId="587" xr:uid="{00000000-0005-0000-0000-00007F010000}"/>
    <cellStyle name="20% - Accent3 2 4 2" xfId="2858" xr:uid="{00000000-0005-0000-0000-000080010000}"/>
    <cellStyle name="20% - Accent3 2 4 2 2" xfId="7080" xr:uid="{00000000-0005-0000-0000-000081010000}"/>
    <cellStyle name="20% - Accent3 2 4 2 2 2" xfId="16406" xr:uid="{48A32A9A-44EF-4CBE-82DA-3A1B978E1DD6}"/>
    <cellStyle name="20% - Accent3 2 4 2 2 3" xfId="24853" xr:uid="{AAC1AEB1-9A03-437E-B526-E07B40142A7C}"/>
    <cellStyle name="20% - Accent3 2 4 2 2 4" xfId="33300" xr:uid="{6C66D589-5B3F-4AB3-978A-937188D781FB}"/>
    <cellStyle name="20% - Accent3 2 4 2 3" xfId="12189" xr:uid="{2F4214D9-444A-4C11-867A-52101149F75C}"/>
    <cellStyle name="20% - Accent3 2 4 2 4" xfId="20636" xr:uid="{6031693E-DC43-4244-BE7B-174D29C88A89}"/>
    <cellStyle name="20% - Accent3 2 4 2 5" xfId="29083" xr:uid="{49B0EE0C-C711-491C-84BF-1880F8A1E0CF}"/>
    <cellStyle name="20% - Accent3 2 4 3" xfId="4935" xr:uid="{00000000-0005-0000-0000-000082010000}"/>
    <cellStyle name="20% - Accent3 2 4 3 2" xfId="14261" xr:uid="{B04D57BD-33DE-4D43-8D98-BE629B57AE5B}"/>
    <cellStyle name="20% - Accent3 2 4 3 3" xfId="22708" xr:uid="{C1EDC430-2083-4B79-BAFD-0674DC058EB6}"/>
    <cellStyle name="20% - Accent3 2 4 3 4" xfId="31155" xr:uid="{0CFDAB52-7F3A-4B5C-99E0-F3DDC0CBEED3}"/>
    <cellStyle name="20% - Accent3 2 4 4" xfId="9216" xr:uid="{A12C3877-5492-4CD3-AD22-81B3F0AB1EDD}"/>
    <cellStyle name="20% - Accent3 2 4 5" xfId="10044" xr:uid="{26080818-E0A8-4ADF-8FB4-059A0770E4D4}"/>
    <cellStyle name="20% - Accent3 2 4 6" xfId="18491" xr:uid="{42CC11A8-2221-4879-BD42-EDA461D4CDA8}"/>
    <cellStyle name="20% - Accent3 2 4 7" xfId="26938" xr:uid="{C4B66459-4468-4091-BF8A-35213EDBE01D}"/>
    <cellStyle name="20% - Accent3 2 5" xfId="1040" xr:uid="{00000000-0005-0000-0000-000083010000}"/>
    <cellStyle name="20% - Accent3 2 5 2" xfId="3271" xr:uid="{00000000-0005-0000-0000-000084010000}"/>
    <cellStyle name="20% - Accent3 2 5 2 2" xfId="7493" xr:uid="{00000000-0005-0000-0000-000085010000}"/>
    <cellStyle name="20% - Accent3 2 5 2 2 2" xfId="16819" xr:uid="{9CD0656A-1B1D-410D-A7DF-ECB5644E4446}"/>
    <cellStyle name="20% - Accent3 2 5 2 2 3" xfId="25266" xr:uid="{BC54E6ED-7539-4648-ABF5-4B97D5DC59B7}"/>
    <cellStyle name="20% - Accent3 2 5 2 2 4" xfId="33713" xr:uid="{3E6EA9CE-3133-4B38-AFAC-91A6483EAC72}"/>
    <cellStyle name="20% - Accent3 2 5 2 3" xfId="12602" xr:uid="{BE8B650D-646B-41C9-8B8C-5396AA1B8F36}"/>
    <cellStyle name="20% - Accent3 2 5 2 4" xfId="21049" xr:uid="{39B308A0-6FCC-4DC9-A353-6D86260D3F4F}"/>
    <cellStyle name="20% - Accent3 2 5 2 5" xfId="29496" xr:uid="{67763142-5789-4BEB-B7BC-89CF4AE873DA}"/>
    <cellStyle name="20% - Accent3 2 5 3" xfId="5348" xr:uid="{00000000-0005-0000-0000-000086010000}"/>
    <cellStyle name="20% - Accent3 2 5 3 2" xfId="14674" xr:uid="{92307F50-2825-4573-BB09-B01C900A0819}"/>
    <cellStyle name="20% - Accent3 2 5 3 3" xfId="23121" xr:uid="{203593F0-AB11-40B9-A471-8356B2E2AFFA}"/>
    <cellStyle name="20% - Accent3 2 5 3 4" xfId="31568" xr:uid="{910ADF32-2355-48B2-9DC5-A8E47AFFBE88}"/>
    <cellStyle name="20% - Accent3 2 5 4" xfId="10457" xr:uid="{F35B18FA-F786-454B-B9C1-88B09BC6A0B0}"/>
    <cellStyle name="20% - Accent3 2 5 5" xfId="18904" xr:uid="{2FAAFBA5-0A0F-41DE-83FC-FC880DEFCCFB}"/>
    <cellStyle name="20% - Accent3 2 5 6" xfId="27351" xr:uid="{194EA38E-1F11-4BE5-B814-A356DEBE5EF0}"/>
    <cellStyle name="20% - Accent3 2 6" xfId="1454" xr:uid="{00000000-0005-0000-0000-000087010000}"/>
    <cellStyle name="20% - Accent3 2 6 2" xfId="3684" xr:uid="{00000000-0005-0000-0000-000088010000}"/>
    <cellStyle name="20% - Accent3 2 6 2 2" xfId="7906" xr:uid="{00000000-0005-0000-0000-000089010000}"/>
    <cellStyle name="20% - Accent3 2 6 2 2 2" xfId="17232" xr:uid="{E3B746D9-9770-487A-8593-31B754DE4060}"/>
    <cellStyle name="20% - Accent3 2 6 2 2 3" xfId="25679" xr:uid="{4A14C83F-3D3E-4131-962C-4E5A803DD211}"/>
    <cellStyle name="20% - Accent3 2 6 2 2 4" xfId="34126" xr:uid="{0A623CDB-B350-4766-97AB-F7A690DDD402}"/>
    <cellStyle name="20% - Accent3 2 6 2 3" xfId="13015" xr:uid="{95A9E4AD-0774-499B-A4A5-9FE36584B7D8}"/>
    <cellStyle name="20% - Accent3 2 6 2 4" xfId="21462" xr:uid="{214F144E-8C4E-414F-B22D-59B6E3219DD9}"/>
    <cellStyle name="20% - Accent3 2 6 2 5" xfId="29909" xr:uid="{3FC9B058-DFF9-4550-89FA-1E724A64BF04}"/>
    <cellStyle name="20% - Accent3 2 6 3" xfId="5761" xr:uid="{00000000-0005-0000-0000-00008A010000}"/>
    <cellStyle name="20% - Accent3 2 6 3 2" xfId="15087" xr:uid="{568FBC38-AA98-4DA6-A025-39033DACCC5C}"/>
    <cellStyle name="20% - Accent3 2 6 3 3" xfId="23534" xr:uid="{58270174-9BC9-434F-84F8-17E12B3EBBD5}"/>
    <cellStyle name="20% - Accent3 2 6 3 4" xfId="31981" xr:uid="{EC947BF2-31BB-405B-AB2C-4D73B348EE07}"/>
    <cellStyle name="20% - Accent3 2 6 4" xfId="10870" xr:uid="{189359AA-1211-4DED-B708-29D453725A7E}"/>
    <cellStyle name="20% - Accent3 2 6 5" xfId="19317" xr:uid="{B4C0FA97-C424-46A2-B327-2295F04378CB}"/>
    <cellStyle name="20% - Accent3 2 6 6" xfId="27764" xr:uid="{5C03AD90-71C9-4F57-9DFE-CA65209D7B85}"/>
    <cellStyle name="20% - Accent3 2 7" xfId="1868" xr:uid="{00000000-0005-0000-0000-00008B010000}"/>
    <cellStyle name="20% - Accent3 2 7 2" xfId="4097" xr:uid="{00000000-0005-0000-0000-00008C010000}"/>
    <cellStyle name="20% - Accent3 2 7 2 2" xfId="8319" xr:uid="{00000000-0005-0000-0000-00008D010000}"/>
    <cellStyle name="20% - Accent3 2 7 2 2 2" xfId="17645" xr:uid="{28E161E2-BBDB-4D9A-8C10-7B39D654A9CC}"/>
    <cellStyle name="20% - Accent3 2 7 2 2 3" xfId="26092" xr:uid="{C4E80C2E-188B-4345-BDAB-B67B90B8C4D9}"/>
    <cellStyle name="20% - Accent3 2 7 2 2 4" xfId="34539" xr:uid="{5AF60676-B4B0-4940-967C-0D797172674C}"/>
    <cellStyle name="20% - Accent3 2 7 2 3" xfId="13428" xr:uid="{80CF1031-EC2C-477B-9D82-F3AFC8D0DE3B}"/>
    <cellStyle name="20% - Accent3 2 7 2 4" xfId="21875" xr:uid="{405C0AEB-463C-452A-888C-1038DCB27E86}"/>
    <cellStyle name="20% - Accent3 2 7 2 5" xfId="30322" xr:uid="{39977EDB-4E0A-4820-8649-E3637852C965}"/>
    <cellStyle name="20% - Accent3 2 7 3" xfId="6174" xr:uid="{00000000-0005-0000-0000-00008E010000}"/>
    <cellStyle name="20% - Accent3 2 7 3 2" xfId="15500" xr:uid="{2E1BBA74-D7FA-4200-B967-8F69AA6A70B9}"/>
    <cellStyle name="20% - Accent3 2 7 3 3" xfId="23947" xr:uid="{29E9C8C2-C50A-451C-9DE6-A74B8BCF5BD8}"/>
    <cellStyle name="20% - Accent3 2 7 3 4" xfId="32394" xr:uid="{DA4A282F-3674-498A-8076-DB08A09321AE}"/>
    <cellStyle name="20% - Accent3 2 7 4" xfId="11283" xr:uid="{9C02B794-43FE-4FA1-BF5A-97EE180C2AB4}"/>
    <cellStyle name="20% - Accent3 2 7 5" xfId="19730" xr:uid="{E482ECF0-7E75-4E33-A5F8-8CFFD67F5F52}"/>
    <cellStyle name="20% - Accent3 2 7 6" xfId="28177" xr:uid="{B445895A-EBB8-447F-BDE6-394EC7B4E372}"/>
    <cellStyle name="20% - Accent3 2 8" xfId="2281" xr:uid="{00000000-0005-0000-0000-00008F010000}"/>
    <cellStyle name="20% - Accent3 2 8 2" xfId="6587" xr:uid="{00000000-0005-0000-0000-000090010000}"/>
    <cellStyle name="20% - Accent3 2 8 2 2" xfId="15913" xr:uid="{BE34E08B-CF2F-45BD-8954-E5F986FB0DFE}"/>
    <cellStyle name="20% - Accent3 2 8 2 3" xfId="24360" xr:uid="{68CEC7A6-75BD-404A-A536-1624D5AA8FB4}"/>
    <cellStyle name="20% - Accent3 2 8 2 4" xfId="32807" xr:uid="{803F583A-9AD8-44CB-B4F8-6A6277E8DEFD}"/>
    <cellStyle name="20% - Accent3 2 8 3" xfId="11696" xr:uid="{362594E1-F964-4EAD-9BC2-FE82D9FF9A9A}"/>
    <cellStyle name="20% - Accent3 2 8 4" xfId="20143" xr:uid="{5A49275F-E5BE-47BC-A1D4-AB5EFF4EFF58}"/>
    <cellStyle name="20% - Accent3 2 8 5" xfId="28590" xr:uid="{F67C578C-50CF-4BF8-9470-D02EF61CA467}"/>
    <cellStyle name="20% - Accent3 2 9" xfId="4521" xr:uid="{00000000-0005-0000-0000-000091010000}"/>
    <cellStyle name="20% - Accent3 2 9 2" xfId="13847" xr:uid="{B9B3142A-3F9A-4229-9BA6-1F512A04A95F}"/>
    <cellStyle name="20% - Accent3 2 9 3" xfId="22294" xr:uid="{33EB6650-35C8-45E7-AF62-8BB31B464306}"/>
    <cellStyle name="20% - Accent3 2 9 4" xfId="30741" xr:uid="{5B3C9133-A6BA-4341-BA02-C6D93554E457}"/>
    <cellStyle name="20% - Accent3 3" xfId="22" xr:uid="{00000000-0005-0000-0000-000092010000}"/>
    <cellStyle name="20% - Accent3 3 10" xfId="9634" xr:uid="{755BB433-01F5-4895-9C8D-897068376909}"/>
    <cellStyle name="20% - Accent3 3 11" xfId="18081" xr:uid="{22BB27DB-5BDD-4AF0-BB90-A11D71B3F6DB}"/>
    <cellStyle name="20% - Accent3 3 12" xfId="26528" xr:uid="{D9FD0F2C-88CF-4126-BCC5-231F359D1875}"/>
    <cellStyle name="20% - Accent3 3 2" xfId="23" xr:uid="{00000000-0005-0000-0000-000093010000}"/>
    <cellStyle name="20% - Accent3 3 2 10" xfId="18082" xr:uid="{4C80B8BF-6DB9-4EDA-9187-BD28D3116333}"/>
    <cellStyle name="20% - Accent3 3 2 11" xfId="26529" xr:uid="{EA38CECB-6D68-4C39-A932-3AFDD7273300}"/>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16411" xr:uid="{6C1EB3A1-8A79-4EFF-8912-26319176F348}"/>
    <cellStyle name="20% - Accent3 3 2 2 2 2 3" xfId="24858" xr:uid="{FA4571D8-9FC6-4211-BEC1-B35F97ACE1C2}"/>
    <cellStyle name="20% - Accent3 3 2 2 2 2 4" xfId="33305" xr:uid="{F6186DDC-39CD-4656-BE0F-B89D91A44199}"/>
    <cellStyle name="20% - Accent3 3 2 2 2 3" xfId="12194" xr:uid="{241BAF87-8020-4E54-BDD5-027E45D532C4}"/>
    <cellStyle name="20% - Accent3 3 2 2 2 4" xfId="20641" xr:uid="{6EC99666-12BE-45B6-93FB-9E739562B0AF}"/>
    <cellStyle name="20% - Accent3 3 2 2 2 5" xfId="29088" xr:uid="{4965CBEF-73DE-444F-B348-2100A72680C7}"/>
    <cellStyle name="20% - Accent3 3 2 2 3" xfId="4940" xr:uid="{00000000-0005-0000-0000-000097010000}"/>
    <cellStyle name="20% - Accent3 3 2 2 3 2" xfId="14266" xr:uid="{2277C93C-C83A-492D-9D31-7AD1AEFCCA68}"/>
    <cellStyle name="20% - Accent3 3 2 2 3 3" xfId="22713" xr:uid="{055B1272-28FB-4196-BFE1-AE2B5083B685}"/>
    <cellStyle name="20% - Accent3 3 2 2 3 4" xfId="31160" xr:uid="{844BC39F-37CE-44E4-A805-19800C578EFF}"/>
    <cellStyle name="20% - Accent3 3 2 2 4" xfId="9497" xr:uid="{43A0E151-F418-49A1-AF18-121DEB02B6D4}"/>
    <cellStyle name="20% - Accent3 3 2 2 5" xfId="10049" xr:uid="{DCF124B0-263B-4742-9245-963FA2BDEBA6}"/>
    <cellStyle name="20% - Accent3 3 2 2 6" xfId="18496" xr:uid="{8B8C7AD8-178B-49D6-B52C-11EA1AF5BB6F}"/>
    <cellStyle name="20% - Accent3 3 2 2 7" xfId="26943" xr:uid="{D6E91B0D-E5BB-4277-B99D-DF34DC46BE47}"/>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16824" xr:uid="{F73C4F90-9516-41DC-BE77-A18EEF8FFAB1}"/>
    <cellStyle name="20% - Accent3 3 2 3 2 2 3" xfId="25271" xr:uid="{91DFE68F-A027-4CCA-BA37-3F5F6383602E}"/>
    <cellStyle name="20% - Accent3 3 2 3 2 2 4" xfId="33718" xr:uid="{9DC5E2DE-C5BB-410E-9514-56AE9D63D755}"/>
    <cellStyle name="20% - Accent3 3 2 3 2 3" xfId="12607" xr:uid="{4E4A39A5-EB1F-4C5B-A73A-C6EA85654612}"/>
    <cellStyle name="20% - Accent3 3 2 3 2 4" xfId="21054" xr:uid="{EE146B93-01B4-4349-9AEB-1195C5C992C3}"/>
    <cellStyle name="20% - Accent3 3 2 3 2 5" xfId="29501" xr:uid="{A52057F3-5149-456C-B5EF-DC2603209AD7}"/>
    <cellStyle name="20% - Accent3 3 2 3 3" xfId="5353" xr:uid="{00000000-0005-0000-0000-00009B010000}"/>
    <cellStyle name="20% - Accent3 3 2 3 3 2" xfId="14679" xr:uid="{B1A61207-E9F9-4FC9-8309-0DC1E14F0817}"/>
    <cellStyle name="20% - Accent3 3 2 3 3 3" xfId="23126" xr:uid="{A429B449-6854-41CC-B612-1FFE5A757269}"/>
    <cellStyle name="20% - Accent3 3 2 3 3 4" xfId="31573" xr:uid="{E9E12C68-3A21-409B-9CAD-8F587B431C7C}"/>
    <cellStyle name="20% - Accent3 3 2 3 4" xfId="10462" xr:uid="{8D6B6498-2D51-41F4-9EA1-03D89249E523}"/>
    <cellStyle name="20% - Accent3 3 2 3 5" xfId="18909" xr:uid="{2318BC32-99DF-4925-BF12-E3B2320E9125}"/>
    <cellStyle name="20% - Accent3 3 2 3 6" xfId="27356" xr:uid="{D450898C-C8BF-457C-94B9-E1D0F490E1B0}"/>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17237" xr:uid="{635339D9-5145-4D5E-BFFE-CAEFCF40E329}"/>
    <cellStyle name="20% - Accent3 3 2 4 2 2 3" xfId="25684" xr:uid="{F09ECFC0-EEBE-4C16-B795-2F268E5B7534}"/>
    <cellStyle name="20% - Accent3 3 2 4 2 2 4" xfId="34131" xr:uid="{E898E735-FD6A-4C81-9447-047C305F2808}"/>
    <cellStyle name="20% - Accent3 3 2 4 2 3" xfId="13020" xr:uid="{9725BF1F-867F-46E2-9D01-8B8B8BC768F2}"/>
    <cellStyle name="20% - Accent3 3 2 4 2 4" xfId="21467" xr:uid="{E0A9B655-1F3B-43AD-A517-5EFB0C2D4CEE}"/>
    <cellStyle name="20% - Accent3 3 2 4 2 5" xfId="29914" xr:uid="{3DC067F2-8D7C-4851-9F8F-17C3B58C6B9E}"/>
    <cellStyle name="20% - Accent3 3 2 4 3" xfId="5766" xr:uid="{00000000-0005-0000-0000-00009F010000}"/>
    <cellStyle name="20% - Accent3 3 2 4 3 2" xfId="15092" xr:uid="{84E07E55-B3BA-415C-BBA5-F50990E481C2}"/>
    <cellStyle name="20% - Accent3 3 2 4 3 3" xfId="23539" xr:uid="{E5D5DEE4-7B31-4F64-9C2A-8F86607A76E4}"/>
    <cellStyle name="20% - Accent3 3 2 4 3 4" xfId="31986" xr:uid="{EC9AF6B9-884F-4868-9016-EAE5BB94B718}"/>
    <cellStyle name="20% - Accent3 3 2 4 4" xfId="10875" xr:uid="{84066263-1FFB-4F44-9FA1-C0E9631DF705}"/>
    <cellStyle name="20% - Accent3 3 2 4 5" xfId="19322" xr:uid="{2144D31E-8C1F-406E-9529-3FEAD05A914D}"/>
    <cellStyle name="20% - Accent3 3 2 4 6" xfId="27769" xr:uid="{DAA1C164-824F-4ED0-AACF-C934C65F5760}"/>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17650" xr:uid="{362268B0-C07D-4728-8B22-C23090115566}"/>
    <cellStyle name="20% - Accent3 3 2 5 2 2 3" xfId="26097" xr:uid="{48401AD5-BE08-4840-BA88-86C3EF6207D1}"/>
    <cellStyle name="20% - Accent3 3 2 5 2 2 4" xfId="34544" xr:uid="{44758CCC-BBCD-4D9F-BC11-9A7FA557BE9A}"/>
    <cellStyle name="20% - Accent3 3 2 5 2 3" xfId="13433" xr:uid="{9DC4004C-DED3-4FB1-AA05-C7081570DDD1}"/>
    <cellStyle name="20% - Accent3 3 2 5 2 4" xfId="21880" xr:uid="{7159704B-BED0-425A-A40F-656705C54D8D}"/>
    <cellStyle name="20% - Accent3 3 2 5 2 5" xfId="30327" xr:uid="{2F9120A9-0650-4FFC-A827-EF87D68C8C73}"/>
    <cellStyle name="20% - Accent3 3 2 5 3" xfId="6179" xr:uid="{00000000-0005-0000-0000-0000A3010000}"/>
    <cellStyle name="20% - Accent3 3 2 5 3 2" xfId="15505" xr:uid="{3BDD9E2E-A214-4134-B0FC-165B64A6E77E}"/>
    <cellStyle name="20% - Accent3 3 2 5 3 3" xfId="23952" xr:uid="{D671BFD3-1CFE-4EC0-8D19-47F00730A19A}"/>
    <cellStyle name="20% - Accent3 3 2 5 3 4" xfId="32399" xr:uid="{81532C9D-5AF5-43B4-A40E-BB5BCFE009CD}"/>
    <cellStyle name="20% - Accent3 3 2 5 4" xfId="11288" xr:uid="{C202D4A4-D021-405B-A6C9-A020BB808D3C}"/>
    <cellStyle name="20% - Accent3 3 2 5 5" xfId="19735" xr:uid="{792E4DC2-8776-4A25-941F-69E832B2503A}"/>
    <cellStyle name="20% - Accent3 3 2 5 6" xfId="28182" xr:uid="{CDA8426C-3E57-4D2C-9E88-A4799617AFED}"/>
    <cellStyle name="20% - Accent3 3 2 6" xfId="2286" xr:uid="{00000000-0005-0000-0000-0000A4010000}"/>
    <cellStyle name="20% - Accent3 3 2 6 2" xfId="6592" xr:uid="{00000000-0005-0000-0000-0000A5010000}"/>
    <cellStyle name="20% - Accent3 3 2 6 2 2" xfId="15918" xr:uid="{E66BAC9A-2BF6-488D-80C0-FBE908AA89D8}"/>
    <cellStyle name="20% - Accent3 3 2 6 2 3" xfId="24365" xr:uid="{D14B6896-47D6-4DF5-9A40-C19845A1B2FC}"/>
    <cellStyle name="20% - Accent3 3 2 6 2 4" xfId="32812" xr:uid="{6EF7E175-DF22-4207-8989-A6F6355A4C4E}"/>
    <cellStyle name="20% - Accent3 3 2 6 3" xfId="11701" xr:uid="{763B2A0F-B3CF-4FCE-876D-834FA91C3AF1}"/>
    <cellStyle name="20% - Accent3 3 2 6 4" xfId="20148" xr:uid="{C00EA335-E0DB-436F-AC9B-6C0E053538A6}"/>
    <cellStyle name="20% - Accent3 3 2 6 5" xfId="28595" xr:uid="{7AC88018-F1E2-4324-B3F0-966BAE1A0984}"/>
    <cellStyle name="20% - Accent3 3 2 7" xfId="4526" xr:uid="{00000000-0005-0000-0000-0000A6010000}"/>
    <cellStyle name="20% - Accent3 3 2 7 2" xfId="13852" xr:uid="{31BC8758-808B-4BBD-A757-17BFC1B15EB2}"/>
    <cellStyle name="20% - Accent3 3 2 7 3" xfId="22299" xr:uid="{1C687F04-BD0A-477B-B070-221047D7C74E}"/>
    <cellStyle name="20% - Accent3 3 2 7 4" xfId="30746" xr:uid="{FC126DBD-5FA3-4F50-8F40-EB577881E38F}"/>
    <cellStyle name="20% - Accent3 3 2 8" xfId="9072" xr:uid="{422EC144-F6F8-460E-8B93-316BBF9707FB}"/>
    <cellStyle name="20% - Accent3 3 2 9" xfId="9635" xr:uid="{0AFFF1FE-4864-406E-A7F2-4E02BF6437C8}"/>
    <cellStyle name="20% - Accent3 3 3" xfId="591" xr:uid="{00000000-0005-0000-0000-0000A7010000}"/>
    <cellStyle name="20% - Accent3 3 3 2" xfId="2862" xr:uid="{00000000-0005-0000-0000-0000A8010000}"/>
    <cellStyle name="20% - Accent3 3 3 2 2" xfId="7084" xr:uid="{00000000-0005-0000-0000-0000A9010000}"/>
    <cellStyle name="20% - Accent3 3 3 2 2 2" xfId="16410" xr:uid="{A3487E4C-7D1B-451E-8172-C8F1B16152D6}"/>
    <cellStyle name="20% - Accent3 3 3 2 2 3" xfId="24857" xr:uid="{59D9F7BA-B7C5-4E86-AE2C-96AF5AF0BEF1}"/>
    <cellStyle name="20% - Accent3 3 3 2 2 4" xfId="33304" xr:uid="{CE1F1E81-D023-4B51-982F-7AFD1171D839}"/>
    <cellStyle name="20% - Accent3 3 3 2 3" xfId="12193" xr:uid="{AF210436-9EC7-40B7-88EC-0FA724A930E7}"/>
    <cellStyle name="20% - Accent3 3 3 2 4" xfId="20640" xr:uid="{8D47B4D1-51E1-45CC-BFDA-C6EF5E295790}"/>
    <cellStyle name="20% - Accent3 3 3 2 5" xfId="29087" xr:uid="{85A1692E-E93D-46F9-8B50-30792830E64F}"/>
    <cellStyle name="20% - Accent3 3 3 3" xfId="4939" xr:uid="{00000000-0005-0000-0000-0000AA010000}"/>
    <cellStyle name="20% - Accent3 3 3 3 2" xfId="14265" xr:uid="{F1C8C1C1-F448-415A-9736-FA16CAC59F41}"/>
    <cellStyle name="20% - Accent3 3 3 3 3" xfId="22712" xr:uid="{141EB6F7-1368-4CB3-9386-1C7E54D5FB80}"/>
    <cellStyle name="20% - Accent3 3 3 3 4" xfId="31159" xr:uid="{B058EBB6-EAA1-4952-B69B-18E99838372C}"/>
    <cellStyle name="20% - Accent3 3 3 4" xfId="9290" xr:uid="{8511D0A3-BAF4-4D49-BFEA-2ED828678819}"/>
    <cellStyle name="20% - Accent3 3 3 5" xfId="10048" xr:uid="{C6F4877D-5F2D-49AF-AD2D-6B3B13196711}"/>
    <cellStyle name="20% - Accent3 3 3 6" xfId="18495" xr:uid="{F700D6F8-A91B-478D-BB02-000F723EF83F}"/>
    <cellStyle name="20% - Accent3 3 3 7" xfId="26942" xr:uid="{23CBFB90-F874-46CF-9D46-78C21A9282D9}"/>
    <cellStyle name="20% - Accent3 3 4" xfId="1044" xr:uid="{00000000-0005-0000-0000-0000AB010000}"/>
    <cellStyle name="20% - Accent3 3 4 2" xfId="3275" xr:uid="{00000000-0005-0000-0000-0000AC010000}"/>
    <cellStyle name="20% - Accent3 3 4 2 2" xfId="7497" xr:uid="{00000000-0005-0000-0000-0000AD010000}"/>
    <cellStyle name="20% - Accent3 3 4 2 2 2" xfId="16823" xr:uid="{7803BC41-367D-44EB-8E4E-B8A97134ACA8}"/>
    <cellStyle name="20% - Accent3 3 4 2 2 3" xfId="25270" xr:uid="{A42530FD-6918-4B22-8D21-C41C9F843D46}"/>
    <cellStyle name="20% - Accent3 3 4 2 2 4" xfId="33717" xr:uid="{4A58D5E9-7DEB-448F-87C2-EDFA6635985F}"/>
    <cellStyle name="20% - Accent3 3 4 2 3" xfId="12606" xr:uid="{B3E49056-AA1A-463B-B3C8-B8ED48FEE7A1}"/>
    <cellStyle name="20% - Accent3 3 4 2 4" xfId="21053" xr:uid="{25B81C75-13DB-41CD-9A9C-36F7558EB624}"/>
    <cellStyle name="20% - Accent3 3 4 2 5" xfId="29500" xr:uid="{A251B95A-722D-44CB-BC4D-14A689011C0C}"/>
    <cellStyle name="20% - Accent3 3 4 3" xfId="5352" xr:uid="{00000000-0005-0000-0000-0000AE010000}"/>
    <cellStyle name="20% - Accent3 3 4 3 2" xfId="14678" xr:uid="{81BEA278-443E-4471-BEF7-0A5CFC1D65BA}"/>
    <cellStyle name="20% - Accent3 3 4 3 3" xfId="23125" xr:uid="{FDB33957-8C17-418D-972A-890FFB383372}"/>
    <cellStyle name="20% - Accent3 3 4 3 4" xfId="31572" xr:uid="{1D22EC09-8DF1-41AE-9F51-C222543AB5EF}"/>
    <cellStyle name="20% - Accent3 3 4 4" xfId="10461" xr:uid="{5318CF7C-921B-436D-8FB9-0FBC4BBA18AB}"/>
    <cellStyle name="20% - Accent3 3 4 5" xfId="18908" xr:uid="{E273102B-D50D-47F3-A4CB-9A9463069350}"/>
    <cellStyle name="20% - Accent3 3 4 6" xfId="27355" xr:uid="{8860C80E-04FF-4D2A-8982-35960A0F6C2D}"/>
    <cellStyle name="20% - Accent3 3 5" xfId="1458" xr:uid="{00000000-0005-0000-0000-0000AF010000}"/>
    <cellStyle name="20% - Accent3 3 5 2" xfId="3688" xr:uid="{00000000-0005-0000-0000-0000B0010000}"/>
    <cellStyle name="20% - Accent3 3 5 2 2" xfId="7910" xr:uid="{00000000-0005-0000-0000-0000B1010000}"/>
    <cellStyle name="20% - Accent3 3 5 2 2 2" xfId="17236" xr:uid="{EBD10CDC-51DD-4EDA-B2F4-B47E6C8A8685}"/>
    <cellStyle name="20% - Accent3 3 5 2 2 3" xfId="25683" xr:uid="{70B733B2-21F3-4AE2-B0E3-D4A7892D8A04}"/>
    <cellStyle name="20% - Accent3 3 5 2 2 4" xfId="34130" xr:uid="{2F8B0524-0A71-471D-820C-2D29D4DA9989}"/>
    <cellStyle name="20% - Accent3 3 5 2 3" xfId="13019" xr:uid="{23CB567F-4516-4874-8B2C-FE8BFF20163D}"/>
    <cellStyle name="20% - Accent3 3 5 2 4" xfId="21466" xr:uid="{E10F586F-A663-4269-B143-80C43E09DF1B}"/>
    <cellStyle name="20% - Accent3 3 5 2 5" xfId="29913" xr:uid="{415DCB3A-9922-42C4-A473-54010B6AFB49}"/>
    <cellStyle name="20% - Accent3 3 5 3" xfId="5765" xr:uid="{00000000-0005-0000-0000-0000B2010000}"/>
    <cellStyle name="20% - Accent3 3 5 3 2" xfId="15091" xr:uid="{11F909A4-F1FA-44D0-98FF-AD10A1D84D2E}"/>
    <cellStyle name="20% - Accent3 3 5 3 3" xfId="23538" xr:uid="{30AFABD8-1A21-4396-BA65-F6059EF306AF}"/>
    <cellStyle name="20% - Accent3 3 5 3 4" xfId="31985" xr:uid="{13A15125-2BEB-4746-88BF-9A102E6E03C6}"/>
    <cellStyle name="20% - Accent3 3 5 4" xfId="10874" xr:uid="{4289EBFB-8A4A-4748-B730-49A053B505FA}"/>
    <cellStyle name="20% - Accent3 3 5 5" xfId="19321" xr:uid="{815D3FE3-0FB8-495A-AAA4-CEC5AED68E34}"/>
    <cellStyle name="20% - Accent3 3 5 6" xfId="27768" xr:uid="{8D1FC345-5AC5-41A4-A3B6-C1A0AE0DB241}"/>
    <cellStyle name="20% - Accent3 3 6" xfId="1872" xr:uid="{00000000-0005-0000-0000-0000B3010000}"/>
    <cellStyle name="20% - Accent3 3 6 2" xfId="4101" xr:uid="{00000000-0005-0000-0000-0000B4010000}"/>
    <cellStyle name="20% - Accent3 3 6 2 2" xfId="8323" xr:uid="{00000000-0005-0000-0000-0000B5010000}"/>
    <cellStyle name="20% - Accent3 3 6 2 2 2" xfId="17649" xr:uid="{D2827311-F835-4087-AAC0-582A2FFD76A6}"/>
    <cellStyle name="20% - Accent3 3 6 2 2 3" xfId="26096" xr:uid="{823DF58A-19A9-4F1A-80CE-3C144EADA573}"/>
    <cellStyle name="20% - Accent3 3 6 2 2 4" xfId="34543" xr:uid="{8D4DC043-3F95-4707-9DFB-02086DCE9B22}"/>
    <cellStyle name="20% - Accent3 3 6 2 3" xfId="13432" xr:uid="{7CFA60D0-9555-45A3-A8F1-E3EAB3DDE8CC}"/>
    <cellStyle name="20% - Accent3 3 6 2 4" xfId="21879" xr:uid="{5D95B468-7304-4DE0-85BF-AFC6E801C46A}"/>
    <cellStyle name="20% - Accent3 3 6 2 5" xfId="30326" xr:uid="{1937EE7D-522E-43E5-AB1D-19C28C2AA0B0}"/>
    <cellStyle name="20% - Accent3 3 6 3" xfId="6178" xr:uid="{00000000-0005-0000-0000-0000B6010000}"/>
    <cellStyle name="20% - Accent3 3 6 3 2" xfId="15504" xr:uid="{31B0E5AD-D7F7-478C-97AA-7581AB04074C}"/>
    <cellStyle name="20% - Accent3 3 6 3 3" xfId="23951" xr:uid="{81B4A552-78FB-4DF1-AD4A-0F5C1414A401}"/>
    <cellStyle name="20% - Accent3 3 6 3 4" xfId="32398" xr:uid="{FC325408-901E-4DD7-A4EE-66C738AADB83}"/>
    <cellStyle name="20% - Accent3 3 6 4" xfId="11287" xr:uid="{0850A7FD-FA88-4C8B-9786-BB0258A2A9AC}"/>
    <cellStyle name="20% - Accent3 3 6 5" xfId="19734" xr:uid="{1DA1B06E-1867-4885-9CD0-DF7544F47FAD}"/>
    <cellStyle name="20% - Accent3 3 6 6" xfId="28181" xr:uid="{D0380A88-F310-4DAF-99F3-BA0F00F203A4}"/>
    <cellStyle name="20% - Accent3 3 7" xfId="2285" xr:uid="{00000000-0005-0000-0000-0000B7010000}"/>
    <cellStyle name="20% - Accent3 3 7 2" xfId="6591" xr:uid="{00000000-0005-0000-0000-0000B8010000}"/>
    <cellStyle name="20% - Accent3 3 7 2 2" xfId="15917" xr:uid="{38103BEF-DD22-4867-A503-33847DA6BD8B}"/>
    <cellStyle name="20% - Accent3 3 7 2 3" xfId="24364" xr:uid="{564B915D-AA68-4A30-B197-9B6C711D4F5E}"/>
    <cellStyle name="20% - Accent3 3 7 2 4" xfId="32811" xr:uid="{7B437D09-C662-495A-8233-9CE098EBCBEC}"/>
    <cellStyle name="20% - Accent3 3 7 3" xfId="11700" xr:uid="{597CC263-1779-4588-912A-97E33BA2AF06}"/>
    <cellStyle name="20% - Accent3 3 7 4" xfId="20147" xr:uid="{64C9AF44-8A9E-43A3-80BA-9DFF8AEE17C2}"/>
    <cellStyle name="20% - Accent3 3 7 5" xfId="28594" xr:uid="{E8FF4A76-AAC6-4758-A50D-0F70AE7E9E00}"/>
    <cellStyle name="20% - Accent3 3 8" xfId="4525" xr:uid="{00000000-0005-0000-0000-0000B9010000}"/>
    <cellStyle name="20% - Accent3 3 8 2" xfId="13851" xr:uid="{45CA2B06-8F6B-40CB-AEF4-DA35C096FE19}"/>
    <cellStyle name="20% - Accent3 3 8 3" xfId="22298" xr:uid="{68F3454A-6884-495A-9BB7-433492489559}"/>
    <cellStyle name="20% - Accent3 3 8 4" xfId="30745" xr:uid="{BAE8D7DB-E1BD-4570-90A3-BEE3FA4DDDBD}"/>
    <cellStyle name="20% - Accent3 3 9" xfId="8865" xr:uid="{FFA3EBA3-F40D-47A2-8AA1-A3A9E7BB9A8E}"/>
    <cellStyle name="20% - Accent3 4" xfId="24" xr:uid="{00000000-0005-0000-0000-0000BA010000}"/>
    <cellStyle name="20% - Accent3 4 10" xfId="18083" xr:uid="{BEDC3B0A-BA11-45C4-A9FE-4F1C081FADA3}"/>
    <cellStyle name="20% - Accent3 4 11" xfId="26530" xr:uid="{727FC448-610E-4C21-AAC0-3E6D8643C481}"/>
    <cellStyle name="20% - Accent3 4 2" xfId="593" xr:uid="{00000000-0005-0000-0000-0000BB010000}"/>
    <cellStyle name="20% - Accent3 4 2 2" xfId="2864" xr:uid="{00000000-0005-0000-0000-0000BC010000}"/>
    <cellStyle name="20% - Accent3 4 2 2 2" xfId="7086" xr:uid="{00000000-0005-0000-0000-0000BD010000}"/>
    <cellStyle name="20% - Accent3 4 2 2 2 2" xfId="16412" xr:uid="{C4ECCB8C-F33F-4DC6-9DCE-D97C0CAA5162}"/>
    <cellStyle name="20% - Accent3 4 2 2 2 3" xfId="24859" xr:uid="{AF45086F-3F62-4C99-A5B5-D4D35AD65911}"/>
    <cellStyle name="20% - Accent3 4 2 2 2 4" xfId="33306" xr:uid="{573AC844-49B2-4364-B657-3A3E6D390ABC}"/>
    <cellStyle name="20% - Accent3 4 2 2 3" xfId="12195" xr:uid="{282EEE8D-D452-4A49-96EE-DFBD4B00A365}"/>
    <cellStyle name="20% - Accent3 4 2 2 4" xfId="20642" xr:uid="{1C261B07-9599-4435-A337-4838D65DD0B1}"/>
    <cellStyle name="20% - Accent3 4 2 2 5" xfId="29089" xr:uid="{6727050C-355C-4BA8-ACCF-C3C7D66910C1}"/>
    <cellStyle name="20% - Accent3 4 2 3" xfId="4941" xr:uid="{00000000-0005-0000-0000-0000BE010000}"/>
    <cellStyle name="20% - Accent3 4 2 3 2" xfId="14267" xr:uid="{A40E5339-AB17-4D7B-9793-F3BC275B614E}"/>
    <cellStyle name="20% - Accent3 4 2 3 3" xfId="22714" xr:uid="{865098EC-0431-44FA-9E92-5586FB4858A3}"/>
    <cellStyle name="20% - Accent3 4 2 3 4" xfId="31161" xr:uid="{9C7BDE74-3568-4838-88D7-901FDE54EB26}"/>
    <cellStyle name="20% - Accent3 4 2 4" xfId="9376" xr:uid="{92AC27CA-0B0B-4AFE-8457-D3F19BE2837F}"/>
    <cellStyle name="20% - Accent3 4 2 5" xfId="10050" xr:uid="{9AD6879A-2BC6-452C-8629-C2CB9F2E477B}"/>
    <cellStyle name="20% - Accent3 4 2 6" xfId="18497" xr:uid="{BF0DC0A0-1B1F-4225-A2ED-9E513E6A9F96}"/>
    <cellStyle name="20% - Accent3 4 2 7" xfId="26944" xr:uid="{3212A00A-786C-4FA7-BF64-8C528B8AE950}"/>
    <cellStyle name="20% - Accent3 4 3" xfId="1046" xr:uid="{00000000-0005-0000-0000-0000BF010000}"/>
    <cellStyle name="20% - Accent3 4 3 2" xfId="3277" xr:uid="{00000000-0005-0000-0000-0000C0010000}"/>
    <cellStyle name="20% - Accent3 4 3 2 2" xfId="7499" xr:uid="{00000000-0005-0000-0000-0000C1010000}"/>
    <cellStyle name="20% - Accent3 4 3 2 2 2" xfId="16825" xr:uid="{9AF1B3EE-8741-4CBD-9BE1-C34D1CC8BE17}"/>
    <cellStyle name="20% - Accent3 4 3 2 2 3" xfId="25272" xr:uid="{D64DB7A0-41F2-4FAD-B830-2891D362BF52}"/>
    <cellStyle name="20% - Accent3 4 3 2 2 4" xfId="33719" xr:uid="{E828DD21-52A2-4DCE-948C-7BEF7FD62AF1}"/>
    <cellStyle name="20% - Accent3 4 3 2 3" xfId="12608" xr:uid="{A94676E2-CF01-4CE3-AC78-545A1C8F9BEE}"/>
    <cellStyle name="20% - Accent3 4 3 2 4" xfId="21055" xr:uid="{845F964E-051A-4046-AC1E-5CD16992EB59}"/>
    <cellStyle name="20% - Accent3 4 3 2 5" xfId="29502" xr:uid="{2A69DC3E-F521-411E-8447-76392B17A805}"/>
    <cellStyle name="20% - Accent3 4 3 3" xfId="5354" xr:uid="{00000000-0005-0000-0000-0000C2010000}"/>
    <cellStyle name="20% - Accent3 4 3 3 2" xfId="14680" xr:uid="{5E54006F-FA7E-46CC-874B-12D248212D33}"/>
    <cellStyle name="20% - Accent3 4 3 3 3" xfId="23127" xr:uid="{4404DC3F-DA03-4FBB-AE36-C92445073567}"/>
    <cellStyle name="20% - Accent3 4 3 3 4" xfId="31574" xr:uid="{AEE2BDBA-765D-418D-A8D5-EAB3F26D6195}"/>
    <cellStyle name="20% - Accent3 4 3 4" xfId="10463" xr:uid="{D44108CF-29E2-418D-B83B-5A28563E5DC2}"/>
    <cellStyle name="20% - Accent3 4 3 5" xfId="18910" xr:uid="{A96EF1AD-F631-4F71-9971-3711AE6DC426}"/>
    <cellStyle name="20% - Accent3 4 3 6" xfId="27357" xr:uid="{1F282F9F-A167-4142-B225-44B4825F922C}"/>
    <cellStyle name="20% - Accent3 4 4" xfId="1460" xr:uid="{00000000-0005-0000-0000-0000C3010000}"/>
    <cellStyle name="20% - Accent3 4 4 2" xfId="3690" xr:uid="{00000000-0005-0000-0000-0000C4010000}"/>
    <cellStyle name="20% - Accent3 4 4 2 2" xfId="7912" xr:uid="{00000000-0005-0000-0000-0000C5010000}"/>
    <cellStyle name="20% - Accent3 4 4 2 2 2" xfId="17238" xr:uid="{B4074874-DB77-4C3B-8597-96AC7632C249}"/>
    <cellStyle name="20% - Accent3 4 4 2 2 3" xfId="25685" xr:uid="{B1F24E41-B9D6-4533-8FE8-F15D66263A95}"/>
    <cellStyle name="20% - Accent3 4 4 2 2 4" xfId="34132" xr:uid="{4025D785-0ED6-4FB4-B816-72FC32D9B130}"/>
    <cellStyle name="20% - Accent3 4 4 2 3" xfId="13021" xr:uid="{C7D50965-DC28-44D1-930A-6C53C84AA635}"/>
    <cellStyle name="20% - Accent3 4 4 2 4" xfId="21468" xr:uid="{CEA71452-214A-45B5-AB9B-63DFD8AEC241}"/>
    <cellStyle name="20% - Accent3 4 4 2 5" xfId="29915" xr:uid="{0360DCA3-A5B4-4362-9309-6A15B9DF9C94}"/>
    <cellStyle name="20% - Accent3 4 4 3" xfId="5767" xr:uid="{00000000-0005-0000-0000-0000C6010000}"/>
    <cellStyle name="20% - Accent3 4 4 3 2" xfId="15093" xr:uid="{6F852721-9D50-47CE-86C5-915B96C6BF96}"/>
    <cellStyle name="20% - Accent3 4 4 3 3" xfId="23540" xr:uid="{38AB20E8-E008-482C-B359-9B4296CE1350}"/>
    <cellStyle name="20% - Accent3 4 4 3 4" xfId="31987" xr:uid="{91E9389F-AE4E-451D-AC65-9ECC9FA8583A}"/>
    <cellStyle name="20% - Accent3 4 4 4" xfId="10876" xr:uid="{EB9BFC12-408E-4E1F-9FAD-81AC4761AA6F}"/>
    <cellStyle name="20% - Accent3 4 4 5" xfId="19323" xr:uid="{5689600C-2DB2-4221-B68F-29B05716DB44}"/>
    <cellStyle name="20% - Accent3 4 4 6" xfId="27770" xr:uid="{6E31FDE5-6DF8-4C0C-B400-FA3E0CC808B5}"/>
    <cellStyle name="20% - Accent3 4 5" xfId="1874" xr:uid="{00000000-0005-0000-0000-0000C7010000}"/>
    <cellStyle name="20% - Accent3 4 5 2" xfId="4103" xr:uid="{00000000-0005-0000-0000-0000C8010000}"/>
    <cellStyle name="20% - Accent3 4 5 2 2" xfId="8325" xr:uid="{00000000-0005-0000-0000-0000C9010000}"/>
    <cellStyle name="20% - Accent3 4 5 2 2 2" xfId="17651" xr:uid="{2A261DD9-4126-465F-9414-F24318544E7B}"/>
    <cellStyle name="20% - Accent3 4 5 2 2 3" xfId="26098" xr:uid="{A6C294B2-65C8-4395-9897-37F0189C865E}"/>
    <cellStyle name="20% - Accent3 4 5 2 2 4" xfId="34545" xr:uid="{425B1080-3CAB-4304-907C-2588605F72DA}"/>
    <cellStyle name="20% - Accent3 4 5 2 3" xfId="13434" xr:uid="{CDE2D2C4-CE79-4E77-8B1E-E9639D23F78C}"/>
    <cellStyle name="20% - Accent3 4 5 2 4" xfId="21881" xr:uid="{A294FC92-CB75-41F2-A7A5-C5B661164898}"/>
    <cellStyle name="20% - Accent3 4 5 2 5" xfId="30328" xr:uid="{36C0F7BB-0C08-4111-BB1F-5877A94F8892}"/>
    <cellStyle name="20% - Accent3 4 5 3" xfId="6180" xr:uid="{00000000-0005-0000-0000-0000CA010000}"/>
    <cellStyle name="20% - Accent3 4 5 3 2" xfId="15506" xr:uid="{4765C6EF-D796-414F-8578-759C051CC06D}"/>
    <cellStyle name="20% - Accent3 4 5 3 3" xfId="23953" xr:uid="{266593EE-AE3E-4CAC-B0B7-C3CD372D2619}"/>
    <cellStyle name="20% - Accent3 4 5 3 4" xfId="32400" xr:uid="{06149F9F-BD4B-47E6-9B35-2D9A665055BE}"/>
    <cellStyle name="20% - Accent3 4 5 4" xfId="11289" xr:uid="{CC6E962B-049E-4BEC-B633-12F569DFFD50}"/>
    <cellStyle name="20% - Accent3 4 5 5" xfId="19736" xr:uid="{F84A4D6E-1BD3-4096-B7F3-97EF5E1096DF}"/>
    <cellStyle name="20% - Accent3 4 5 6" xfId="28183" xr:uid="{E22B2821-1332-4E2B-A489-3E7B679662C8}"/>
    <cellStyle name="20% - Accent3 4 6" xfId="2287" xr:uid="{00000000-0005-0000-0000-0000CB010000}"/>
    <cellStyle name="20% - Accent3 4 6 2" xfId="6593" xr:uid="{00000000-0005-0000-0000-0000CC010000}"/>
    <cellStyle name="20% - Accent3 4 6 2 2" xfId="15919" xr:uid="{559EFECC-E153-4668-AF1D-D69070D7B846}"/>
    <cellStyle name="20% - Accent3 4 6 2 3" xfId="24366" xr:uid="{88AF5435-D9B6-4327-8A4A-3C6F7E3E092B}"/>
    <cellStyle name="20% - Accent3 4 6 2 4" xfId="32813" xr:uid="{1A0A13E6-44EE-4329-99E8-CEF1B2A0BDAE}"/>
    <cellStyle name="20% - Accent3 4 6 3" xfId="11702" xr:uid="{970E2417-2A43-4DD2-8AAA-495C055EFDB6}"/>
    <cellStyle name="20% - Accent3 4 6 4" xfId="20149" xr:uid="{A9471A23-F596-41DE-BE00-0859B98082FB}"/>
    <cellStyle name="20% - Accent3 4 6 5" xfId="28596" xr:uid="{5E0B2020-F31C-4363-9D55-D57DC6DEBEAA}"/>
    <cellStyle name="20% - Accent3 4 7" xfId="4527" xr:uid="{00000000-0005-0000-0000-0000CD010000}"/>
    <cellStyle name="20% - Accent3 4 7 2" xfId="13853" xr:uid="{2E560E50-DCE8-4AB9-898A-B9D5B9D66651}"/>
    <cellStyle name="20% - Accent3 4 7 3" xfId="22300" xr:uid="{1D117F69-E5C6-43DE-9934-E8478AEED81E}"/>
    <cellStyle name="20% - Accent3 4 7 4" xfId="30747" xr:uid="{B8566D7C-1504-4B86-A0AD-D4C70D070FDD}"/>
    <cellStyle name="20% - Accent3 4 8" xfId="8951" xr:uid="{3CB7770B-4F12-4C44-B65D-06C641FEE851}"/>
    <cellStyle name="20% - Accent3 4 9" xfId="9636" xr:uid="{71B86293-9E92-4737-AF42-F7E5417B9A26}"/>
    <cellStyle name="20% - Accent3 5" xfId="586" xr:uid="{00000000-0005-0000-0000-0000CE010000}"/>
    <cellStyle name="20% - Accent3 5 2" xfId="2857" xr:uid="{00000000-0005-0000-0000-0000CF010000}"/>
    <cellStyle name="20% - Accent3 5 2 2" xfId="7079" xr:uid="{00000000-0005-0000-0000-0000D0010000}"/>
    <cellStyle name="20% - Accent3 5 2 2 2" xfId="16405" xr:uid="{60ECE465-D06B-4D5D-A40B-B30B54CA9F69}"/>
    <cellStyle name="20% - Accent3 5 2 2 3" xfId="24852" xr:uid="{199CB97D-0BB8-440C-B536-99EF349E3485}"/>
    <cellStyle name="20% - Accent3 5 2 2 4" xfId="33299" xr:uid="{5A4A29BB-E7BD-4ED3-8096-4B66D3219A01}"/>
    <cellStyle name="20% - Accent3 5 2 3" xfId="12188" xr:uid="{C3034ADB-A217-4AD8-9E85-C2B8B98EE6D8}"/>
    <cellStyle name="20% - Accent3 5 2 4" xfId="20635" xr:uid="{1285C459-FFAD-4C9C-88BA-26230D795C18}"/>
    <cellStyle name="20% - Accent3 5 2 5" xfId="29082" xr:uid="{1CA5FFB6-F652-4E62-A50B-2A2058394706}"/>
    <cellStyle name="20% - Accent3 5 3" xfId="4934" xr:uid="{00000000-0005-0000-0000-0000D1010000}"/>
    <cellStyle name="20% - Accent3 5 3 2" xfId="14260" xr:uid="{2BE48251-1F18-48A3-BF15-05947CBFAD1B}"/>
    <cellStyle name="20% - Accent3 5 3 3" xfId="22707" xr:uid="{E2E18434-AD6F-4738-BB50-3AA88ED08DE9}"/>
    <cellStyle name="20% - Accent3 5 3 4" xfId="31154" xr:uid="{00DBB01D-CB37-475C-82B6-D31E57C3C19D}"/>
    <cellStyle name="20% - Accent3 5 4" xfId="9184" xr:uid="{F51B2D95-9593-4370-A6D2-AFEF087D7920}"/>
    <cellStyle name="20% - Accent3 5 5" xfId="10043" xr:uid="{5BFB5AD6-BE5D-470D-A821-C3A45D31880B}"/>
    <cellStyle name="20% - Accent3 5 6" xfId="18490" xr:uid="{2881A8F4-8801-47FF-968C-93F931C9D652}"/>
    <cellStyle name="20% - Accent3 5 7" xfId="26937" xr:uid="{197EB68B-6C9E-4CC9-A7CA-D1803FE68B3D}"/>
    <cellStyle name="20% - Accent3 6" xfId="1039" xr:uid="{00000000-0005-0000-0000-0000D2010000}"/>
    <cellStyle name="20% - Accent3 6 2" xfId="3270" xr:uid="{00000000-0005-0000-0000-0000D3010000}"/>
    <cellStyle name="20% - Accent3 6 2 2" xfId="7492" xr:uid="{00000000-0005-0000-0000-0000D4010000}"/>
    <cellStyle name="20% - Accent3 6 2 2 2" xfId="16818" xr:uid="{A873F0E9-21DC-4365-AC70-54BE2E2F5674}"/>
    <cellStyle name="20% - Accent3 6 2 2 3" xfId="25265" xr:uid="{4CC39DB8-38B9-44AB-BD9E-EEBF39E1D3BC}"/>
    <cellStyle name="20% - Accent3 6 2 2 4" xfId="33712" xr:uid="{7E3E64FB-62C6-43F5-A36A-CE09EFA0DBFF}"/>
    <cellStyle name="20% - Accent3 6 2 3" xfId="12601" xr:uid="{718814C1-6C6A-40A7-9DF7-7928A88FFB96}"/>
    <cellStyle name="20% - Accent3 6 2 4" xfId="21048" xr:uid="{4FE2EE94-EEA5-49F5-A4DF-6BB2A135BC5B}"/>
    <cellStyle name="20% - Accent3 6 2 5" xfId="29495" xr:uid="{24197ACA-0A46-4832-8EF5-440585EAB77C}"/>
    <cellStyle name="20% - Accent3 6 3" xfId="5347" xr:uid="{00000000-0005-0000-0000-0000D5010000}"/>
    <cellStyle name="20% - Accent3 6 3 2" xfId="14673" xr:uid="{4F8C8A6F-628C-4003-B175-B232F6D0545D}"/>
    <cellStyle name="20% - Accent3 6 3 3" xfId="23120" xr:uid="{B14399FF-C21F-4D1E-9448-30A0C906EE53}"/>
    <cellStyle name="20% - Accent3 6 3 4" xfId="31567" xr:uid="{DF309292-DF90-4985-A219-6A46D9F99818}"/>
    <cellStyle name="20% - Accent3 6 4" xfId="10456" xr:uid="{431113E6-105E-4FA3-9A74-7933D3E0992C}"/>
    <cellStyle name="20% - Accent3 6 5" xfId="18903" xr:uid="{107AF3E5-1F38-4C6D-929A-0FB840B268C7}"/>
    <cellStyle name="20% - Accent3 6 6" xfId="27350" xr:uid="{93C575F1-D0B6-4C56-AED5-04576888C22D}"/>
    <cellStyle name="20% - Accent3 7" xfId="1453" xr:uid="{00000000-0005-0000-0000-0000D6010000}"/>
    <cellStyle name="20% - Accent3 7 2" xfId="3683" xr:uid="{00000000-0005-0000-0000-0000D7010000}"/>
    <cellStyle name="20% - Accent3 7 2 2" xfId="7905" xr:uid="{00000000-0005-0000-0000-0000D8010000}"/>
    <cellStyle name="20% - Accent3 7 2 2 2" xfId="17231" xr:uid="{D796446E-3BAA-48EC-903F-C246FBEF559C}"/>
    <cellStyle name="20% - Accent3 7 2 2 3" xfId="25678" xr:uid="{D064F261-3B45-45B9-BD4C-F8A6FA1C80D0}"/>
    <cellStyle name="20% - Accent3 7 2 2 4" xfId="34125" xr:uid="{919E1560-9732-4558-9C46-2B26A001789C}"/>
    <cellStyle name="20% - Accent3 7 2 3" xfId="13014" xr:uid="{78CC8467-E268-4FB7-8038-121293B93E61}"/>
    <cellStyle name="20% - Accent3 7 2 4" xfId="21461" xr:uid="{6153064A-8074-4AB1-928F-EC06AA3C4004}"/>
    <cellStyle name="20% - Accent3 7 2 5" xfId="29908" xr:uid="{19E3223D-1A31-442A-8EF9-7E13C325A57F}"/>
    <cellStyle name="20% - Accent3 7 3" xfId="5760" xr:uid="{00000000-0005-0000-0000-0000D9010000}"/>
    <cellStyle name="20% - Accent3 7 3 2" xfId="15086" xr:uid="{1BE6CFB2-1963-4478-8C27-2B5890005E19}"/>
    <cellStyle name="20% - Accent3 7 3 3" xfId="23533" xr:uid="{5173D0F2-6368-4F3F-94A9-B21867923F10}"/>
    <cellStyle name="20% - Accent3 7 3 4" xfId="31980" xr:uid="{361FBD6F-C931-4492-8887-C1971CB310EA}"/>
    <cellStyle name="20% - Accent3 7 4" xfId="10869" xr:uid="{2F857184-0CE3-472F-B25D-3005BE17A3E6}"/>
    <cellStyle name="20% - Accent3 7 5" xfId="19316" xr:uid="{50C6E575-6FFC-48B9-B71D-1FEAF093C9E3}"/>
    <cellStyle name="20% - Accent3 7 6" xfId="27763" xr:uid="{0BBC44E6-C59F-4C8C-A354-D3FF3BE5CC2E}"/>
    <cellStyle name="20% - Accent3 8" xfId="1867" xr:uid="{00000000-0005-0000-0000-0000DA010000}"/>
    <cellStyle name="20% - Accent3 8 2" xfId="4096" xr:uid="{00000000-0005-0000-0000-0000DB010000}"/>
    <cellStyle name="20% - Accent3 8 2 2" xfId="8318" xr:uid="{00000000-0005-0000-0000-0000DC010000}"/>
    <cellStyle name="20% - Accent3 8 2 2 2" xfId="17644" xr:uid="{7C296022-68B4-420C-87A7-F8AC0B0FDA71}"/>
    <cellStyle name="20% - Accent3 8 2 2 3" xfId="26091" xr:uid="{B750FD50-EA8B-4695-8613-5F86FB2369A0}"/>
    <cellStyle name="20% - Accent3 8 2 2 4" xfId="34538" xr:uid="{27920E2A-3843-4B59-89DB-40CBDF2D71E4}"/>
    <cellStyle name="20% - Accent3 8 2 3" xfId="13427" xr:uid="{E03E9C07-E05F-4C2B-9A52-C2CEF0EF10A5}"/>
    <cellStyle name="20% - Accent3 8 2 4" xfId="21874" xr:uid="{43C73482-EC5E-4F80-B441-0F8743494D00}"/>
    <cellStyle name="20% - Accent3 8 2 5" xfId="30321" xr:uid="{56EB3408-E555-441B-8C06-95CC124B45E7}"/>
    <cellStyle name="20% - Accent3 8 3" xfId="6173" xr:uid="{00000000-0005-0000-0000-0000DD010000}"/>
    <cellStyle name="20% - Accent3 8 3 2" xfId="15499" xr:uid="{AD659DD4-EF8C-4C0D-96D5-86E522E3AFA6}"/>
    <cellStyle name="20% - Accent3 8 3 3" xfId="23946" xr:uid="{CAA4E0CF-697A-4FB3-B7D7-F76FB96CE0CB}"/>
    <cellStyle name="20% - Accent3 8 3 4" xfId="32393" xr:uid="{882217E6-18EA-4012-8213-A9C2BB6781F9}"/>
    <cellStyle name="20% - Accent3 8 4" xfId="11282" xr:uid="{CBC3F8B0-EF57-4F8A-9A02-B0C1FEA14118}"/>
    <cellStyle name="20% - Accent3 8 5" xfId="19729" xr:uid="{177BEB64-2C1D-469B-8A81-3BB1213EB289}"/>
    <cellStyle name="20% - Accent3 8 6" xfId="28176" xr:uid="{E9886A2A-8A0C-4CBA-A41C-19A500C8B07A}"/>
    <cellStyle name="20% - Accent3 9" xfId="2280" xr:uid="{00000000-0005-0000-0000-0000DE010000}"/>
    <cellStyle name="20% - Accent3 9 2" xfId="6586" xr:uid="{00000000-0005-0000-0000-0000DF010000}"/>
    <cellStyle name="20% - Accent3 9 2 2" xfId="15912" xr:uid="{08151F30-5376-41C6-A01D-9274681A464F}"/>
    <cellStyle name="20% - Accent3 9 2 3" xfId="24359" xr:uid="{C51699E7-6A74-4DCA-B359-A1853FBB89D0}"/>
    <cellStyle name="20% - Accent3 9 2 4" xfId="32806" xr:uid="{2BA5F8C3-6D0A-4151-8F3C-E0C324B2122D}"/>
    <cellStyle name="20% - Accent3 9 3" xfId="11695" xr:uid="{ADD1FED4-5F65-4914-B88A-73084B6AC2C1}"/>
    <cellStyle name="20% - Accent3 9 4" xfId="20142" xr:uid="{7D9D9097-1568-4DD2-904E-168C982D5B10}"/>
    <cellStyle name="20% - Accent3 9 5" xfId="28589" xr:uid="{B5DB1095-AACE-4C0C-9045-9A87F36B5529}"/>
    <cellStyle name="20% - Accent4" xfId="25" builtinId="42" customBuiltin="1"/>
    <cellStyle name="20% - Accent4 10" xfId="4528" xr:uid="{00000000-0005-0000-0000-0000E1010000}"/>
    <cellStyle name="20% - Accent4 10 2" xfId="13854" xr:uid="{29BBD1EF-48EC-454A-BBB4-9A16F01D8D8C}"/>
    <cellStyle name="20% - Accent4 10 3" xfId="22301" xr:uid="{476122C8-526E-43D2-92B2-732520E437EF}"/>
    <cellStyle name="20% - Accent4 10 4" xfId="30748" xr:uid="{70842DC4-9AEB-40D4-8D2C-0C17A5916075}"/>
    <cellStyle name="20% - Accent4 11" xfId="8764" xr:uid="{4A9BF508-806C-496D-AEC5-5842E4A62892}"/>
    <cellStyle name="20% - Accent4 12" xfId="9637" xr:uid="{3C189181-A495-4A66-85D7-FEA1660E33EC}"/>
    <cellStyle name="20% - Accent4 13" xfId="18084" xr:uid="{B2243F5E-8A7A-4E13-9CF9-D51A6C4D2A72}"/>
    <cellStyle name="20% - Accent4 14" xfId="26531" xr:uid="{93EE0598-A1DC-400F-9340-9D337F3D5973}"/>
    <cellStyle name="20% - Accent4 2" xfId="26" xr:uid="{00000000-0005-0000-0000-0000E2010000}"/>
    <cellStyle name="20% - Accent4 2 10" xfId="8794" xr:uid="{31A2F477-5237-45C2-B43F-25AC049A95FF}"/>
    <cellStyle name="20% - Accent4 2 11" xfId="9638" xr:uid="{74E09D41-8E79-4AF8-BCD9-EF000E7B4981}"/>
    <cellStyle name="20% - Accent4 2 12" xfId="18085" xr:uid="{7426B2D2-9FF3-4708-B4C2-F75769AFF8E5}"/>
    <cellStyle name="20% - Accent4 2 13" xfId="26532" xr:uid="{0C743861-5E8A-407F-9EDA-CC5DFA3E8530}"/>
    <cellStyle name="20% - Accent4 2 2" xfId="27" xr:uid="{00000000-0005-0000-0000-0000E3010000}"/>
    <cellStyle name="20% - Accent4 2 2 10" xfId="9639" xr:uid="{8ECB6B5A-DA46-4E1B-BA7B-D1102E486357}"/>
    <cellStyle name="20% - Accent4 2 2 11" xfId="18086" xr:uid="{94030F62-6A8C-4D3A-A4CE-D0456B75EAC4}"/>
    <cellStyle name="20% - Accent4 2 2 12" xfId="26533" xr:uid="{524C3882-813B-449C-A790-4D975FCAB134}"/>
    <cellStyle name="20% - Accent4 2 2 2" xfId="28" xr:uid="{00000000-0005-0000-0000-0000E4010000}"/>
    <cellStyle name="20% - Accent4 2 2 2 10" xfId="18087" xr:uid="{46E6A995-6C5E-459E-B11A-E1DB8DD341EF}"/>
    <cellStyle name="20% - Accent4 2 2 2 11" xfId="26534" xr:uid="{984B4112-AAF9-47E9-9A2E-6AE0CBE02FC8}"/>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16416" xr:uid="{D5B67A7E-95B4-40F9-8CA6-4CD024539C68}"/>
    <cellStyle name="20% - Accent4 2 2 2 2 2 2 3" xfId="24863" xr:uid="{EAEC424A-CF8B-4C48-98DF-D10F1E8E7DA6}"/>
    <cellStyle name="20% - Accent4 2 2 2 2 2 2 4" xfId="33310" xr:uid="{10201887-07EB-41CE-ABC0-3E707D842F4D}"/>
    <cellStyle name="20% - Accent4 2 2 2 2 2 3" xfId="12199" xr:uid="{129479CF-6B95-4FFA-95B2-AE66F027E321}"/>
    <cellStyle name="20% - Accent4 2 2 2 2 2 4" xfId="20646" xr:uid="{80C06FBA-3337-46A7-9F75-2A87C08846C6}"/>
    <cellStyle name="20% - Accent4 2 2 2 2 2 5" xfId="29093" xr:uid="{F93A1F5A-3343-49ED-912A-02EE6FF6A930}"/>
    <cellStyle name="20% - Accent4 2 2 2 2 3" xfId="4945" xr:uid="{00000000-0005-0000-0000-0000E8010000}"/>
    <cellStyle name="20% - Accent4 2 2 2 2 3 2" xfId="14271" xr:uid="{6FCF59A4-2C07-480A-86FF-B0E9662EB27D}"/>
    <cellStyle name="20% - Accent4 2 2 2 2 3 3" xfId="22718" xr:uid="{03DA2322-1E77-454B-A1ED-4B155787CCC8}"/>
    <cellStyle name="20% - Accent4 2 2 2 2 3 4" xfId="31165" xr:uid="{501682B7-0C6B-4D7C-BC35-FF64D15341DD}"/>
    <cellStyle name="20% - Accent4 2 2 2 2 4" xfId="9529" xr:uid="{0C40CE19-1873-4316-818D-CC943AAFBB7B}"/>
    <cellStyle name="20% - Accent4 2 2 2 2 5" xfId="10054" xr:uid="{1EDC447A-D2EC-40ED-B0D1-1281248FC50C}"/>
    <cellStyle name="20% - Accent4 2 2 2 2 6" xfId="18501" xr:uid="{7E22AAFF-F9B0-46F6-9EA4-8E44306F11FF}"/>
    <cellStyle name="20% - Accent4 2 2 2 2 7" xfId="26948" xr:uid="{7851FA49-3A30-4499-B1AE-78C9AF58E727}"/>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16829" xr:uid="{5235351C-8AD5-41F8-A350-C7497EBC312F}"/>
    <cellStyle name="20% - Accent4 2 2 2 3 2 2 3" xfId="25276" xr:uid="{D072A6A5-D65A-469F-8778-6F9B6A761610}"/>
    <cellStyle name="20% - Accent4 2 2 2 3 2 2 4" xfId="33723" xr:uid="{ADDC94F7-F147-444F-89B6-52561F4A3AE5}"/>
    <cellStyle name="20% - Accent4 2 2 2 3 2 3" xfId="12612" xr:uid="{12A1DEB9-E8C7-4AD9-BE09-DE06CB87A3D8}"/>
    <cellStyle name="20% - Accent4 2 2 2 3 2 4" xfId="21059" xr:uid="{C2726176-57D3-4C9F-88EE-5CD215875457}"/>
    <cellStyle name="20% - Accent4 2 2 2 3 2 5" xfId="29506" xr:uid="{0F90273E-E1BF-4EA5-9DB0-514DFED80303}"/>
    <cellStyle name="20% - Accent4 2 2 2 3 3" xfId="5358" xr:uid="{00000000-0005-0000-0000-0000EC010000}"/>
    <cellStyle name="20% - Accent4 2 2 2 3 3 2" xfId="14684" xr:uid="{ED36664C-5E41-4815-B0BE-F4EB99F251A7}"/>
    <cellStyle name="20% - Accent4 2 2 2 3 3 3" xfId="23131" xr:uid="{D7EC0994-5FA2-418D-A141-5A4FEF19489E}"/>
    <cellStyle name="20% - Accent4 2 2 2 3 3 4" xfId="31578" xr:uid="{0B6FDF0A-E1AD-4CFE-A787-519DAF57032F}"/>
    <cellStyle name="20% - Accent4 2 2 2 3 4" xfId="10467" xr:uid="{90420F7B-BA31-448D-9EE5-0C25F297A06B}"/>
    <cellStyle name="20% - Accent4 2 2 2 3 5" xfId="18914" xr:uid="{97CE8E2E-4CC6-4DBC-A529-1DDA7691ACA2}"/>
    <cellStyle name="20% - Accent4 2 2 2 3 6" xfId="27361" xr:uid="{D7640A11-5EF1-4F37-A1BE-FA31316F3814}"/>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17242" xr:uid="{56E3BFB7-6544-45AC-98A1-A2B85FE12455}"/>
    <cellStyle name="20% - Accent4 2 2 2 4 2 2 3" xfId="25689" xr:uid="{1F6D0930-A227-41D8-AFEF-B0BD191BAB24}"/>
    <cellStyle name="20% - Accent4 2 2 2 4 2 2 4" xfId="34136" xr:uid="{A7A736F4-8406-4BFD-A365-90EBEB2A3ADA}"/>
    <cellStyle name="20% - Accent4 2 2 2 4 2 3" xfId="13025" xr:uid="{36500914-673C-4E7D-9CA1-F29666F50356}"/>
    <cellStyle name="20% - Accent4 2 2 2 4 2 4" xfId="21472" xr:uid="{303C44D6-9CD0-44F8-A0D7-F6A1CEF3560B}"/>
    <cellStyle name="20% - Accent4 2 2 2 4 2 5" xfId="29919" xr:uid="{0936EBC7-EBA7-4C74-9701-38704D618162}"/>
    <cellStyle name="20% - Accent4 2 2 2 4 3" xfId="5771" xr:uid="{00000000-0005-0000-0000-0000F0010000}"/>
    <cellStyle name="20% - Accent4 2 2 2 4 3 2" xfId="15097" xr:uid="{1FCDCE7C-55E6-47C2-AE24-F1BD8CF846FF}"/>
    <cellStyle name="20% - Accent4 2 2 2 4 3 3" xfId="23544" xr:uid="{40E4BEC0-F499-41EE-8830-EF526C5277B9}"/>
    <cellStyle name="20% - Accent4 2 2 2 4 3 4" xfId="31991" xr:uid="{6ABEA026-512D-40CB-99CC-08483FA66624}"/>
    <cellStyle name="20% - Accent4 2 2 2 4 4" xfId="10880" xr:uid="{2BC87F51-8A07-43A5-92E5-B2A41A606488}"/>
    <cellStyle name="20% - Accent4 2 2 2 4 5" xfId="19327" xr:uid="{A771B371-6E4A-4374-AE57-37297705965B}"/>
    <cellStyle name="20% - Accent4 2 2 2 4 6" xfId="27774" xr:uid="{94888A7F-5848-43DD-82EB-8203E5793838}"/>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17655" xr:uid="{51B470AA-7D27-4E43-BEEA-DABC4586E0C4}"/>
    <cellStyle name="20% - Accent4 2 2 2 5 2 2 3" xfId="26102" xr:uid="{A4AB3568-F8A3-4F31-857D-C343F499EA7E}"/>
    <cellStyle name="20% - Accent4 2 2 2 5 2 2 4" xfId="34549" xr:uid="{32DB0655-806D-4C8B-8162-9A53DFA2544D}"/>
    <cellStyle name="20% - Accent4 2 2 2 5 2 3" xfId="13438" xr:uid="{4DFE4E0D-F778-4AEE-AF0B-3352AB5A04F4}"/>
    <cellStyle name="20% - Accent4 2 2 2 5 2 4" xfId="21885" xr:uid="{FE49F740-1622-4066-BFAD-085ADA2455A4}"/>
    <cellStyle name="20% - Accent4 2 2 2 5 2 5" xfId="30332" xr:uid="{FBA9D3CF-916D-4306-9107-B2EDFDAEEE12}"/>
    <cellStyle name="20% - Accent4 2 2 2 5 3" xfId="6184" xr:uid="{00000000-0005-0000-0000-0000F4010000}"/>
    <cellStyle name="20% - Accent4 2 2 2 5 3 2" xfId="15510" xr:uid="{5AEFBB67-1F9F-489D-9E15-A67FD0287676}"/>
    <cellStyle name="20% - Accent4 2 2 2 5 3 3" xfId="23957" xr:uid="{24B0E798-13A0-444E-A3AD-520E6152E655}"/>
    <cellStyle name="20% - Accent4 2 2 2 5 3 4" xfId="32404" xr:uid="{B8D497AF-B3C1-45C0-81B9-8A79C28A489E}"/>
    <cellStyle name="20% - Accent4 2 2 2 5 4" xfId="11293" xr:uid="{75DFE7EB-6F80-46CF-8201-2FA8894F9404}"/>
    <cellStyle name="20% - Accent4 2 2 2 5 5" xfId="19740" xr:uid="{4C78DFC6-7F59-4A8F-8EC1-1938D2A1CAE3}"/>
    <cellStyle name="20% - Accent4 2 2 2 5 6" xfId="28187" xr:uid="{39728782-DE90-4E7F-BA99-A5B9A9FB9F9D}"/>
    <cellStyle name="20% - Accent4 2 2 2 6" xfId="2291" xr:uid="{00000000-0005-0000-0000-0000F5010000}"/>
    <cellStyle name="20% - Accent4 2 2 2 6 2" xfId="6597" xr:uid="{00000000-0005-0000-0000-0000F6010000}"/>
    <cellStyle name="20% - Accent4 2 2 2 6 2 2" xfId="15923" xr:uid="{21DD7538-B36C-4DE8-83BE-09664D7BA3F5}"/>
    <cellStyle name="20% - Accent4 2 2 2 6 2 3" xfId="24370" xr:uid="{55BC0059-439C-4F82-BB1B-56843976CBB5}"/>
    <cellStyle name="20% - Accent4 2 2 2 6 2 4" xfId="32817" xr:uid="{21645BDF-4C67-44BB-A8CC-40C15DA8EF3C}"/>
    <cellStyle name="20% - Accent4 2 2 2 6 3" xfId="11706" xr:uid="{68D483F8-A6A2-4DA6-B862-E92E58696316}"/>
    <cellStyle name="20% - Accent4 2 2 2 6 4" xfId="20153" xr:uid="{69E93213-103A-4413-A34E-1FB133CFA1B8}"/>
    <cellStyle name="20% - Accent4 2 2 2 6 5" xfId="28600" xr:uid="{39D07A3D-FD8B-40F1-A064-3680FD3124A9}"/>
    <cellStyle name="20% - Accent4 2 2 2 7" xfId="4531" xr:uid="{00000000-0005-0000-0000-0000F7010000}"/>
    <cellStyle name="20% - Accent4 2 2 2 7 2" xfId="13857" xr:uid="{50C91A17-07C1-4944-A3FA-59B046C93688}"/>
    <cellStyle name="20% - Accent4 2 2 2 7 3" xfId="22304" xr:uid="{4675B238-C1DB-48A7-9637-54E481EB48A1}"/>
    <cellStyle name="20% - Accent4 2 2 2 7 4" xfId="30751" xr:uid="{64AD0BAD-A0DD-4FC4-AFC5-3ABEC4F42FE4}"/>
    <cellStyle name="20% - Accent4 2 2 2 8" xfId="9104" xr:uid="{526BE306-22BA-4A85-81B2-34AEB56F0D90}"/>
    <cellStyle name="20% - Accent4 2 2 2 9" xfId="9640" xr:uid="{E6E3E767-EBFB-4B4C-96E3-DA764769CA7F}"/>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16415" xr:uid="{652D048C-7425-4A68-968E-60A94F32FA2D}"/>
    <cellStyle name="20% - Accent4 2 2 3 2 2 3" xfId="24862" xr:uid="{29E86116-FBAA-4235-A326-66AB03E9214A}"/>
    <cellStyle name="20% - Accent4 2 2 3 2 2 4" xfId="33309" xr:uid="{F84495EB-4556-4170-8149-B2F5C3D0B386}"/>
    <cellStyle name="20% - Accent4 2 2 3 2 3" xfId="12198" xr:uid="{8BD887C6-7867-414A-AD78-B3C4414E3CC2}"/>
    <cellStyle name="20% - Accent4 2 2 3 2 4" xfId="20645" xr:uid="{6DF0CC72-BEAC-4E2A-92B3-C8F10A938EB9}"/>
    <cellStyle name="20% - Accent4 2 2 3 2 5" xfId="29092" xr:uid="{D45012D2-476B-41D9-A4F8-B69E442951D6}"/>
    <cellStyle name="20% - Accent4 2 2 3 3" xfId="4944" xr:uid="{00000000-0005-0000-0000-0000FB010000}"/>
    <cellStyle name="20% - Accent4 2 2 3 3 2" xfId="14270" xr:uid="{D19D226D-4C2C-48CF-A65A-88C0442098C8}"/>
    <cellStyle name="20% - Accent4 2 2 3 3 3" xfId="22717" xr:uid="{3377A1E2-E05D-4C99-B436-A135782A712B}"/>
    <cellStyle name="20% - Accent4 2 2 3 3 4" xfId="31164" xr:uid="{0F12E55C-0782-471B-9A40-34F3DE81A114}"/>
    <cellStyle name="20% - Accent4 2 2 3 4" xfId="9322" xr:uid="{003BBE99-27AA-4036-A373-4475953A88F4}"/>
    <cellStyle name="20% - Accent4 2 2 3 5" xfId="10053" xr:uid="{6C778463-1EE3-4E44-ADD1-2A4DDCF67682}"/>
    <cellStyle name="20% - Accent4 2 2 3 6" xfId="18500" xr:uid="{EC0E8E3A-7E95-4F8A-8957-CAB8345C9D04}"/>
    <cellStyle name="20% - Accent4 2 2 3 7" xfId="26947" xr:uid="{CABBF10A-BDC5-477F-AD9D-6955F5C81101}"/>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16828" xr:uid="{DADC295D-B8A1-4BBC-8ACD-31E2F35C0D0A}"/>
    <cellStyle name="20% - Accent4 2 2 4 2 2 3" xfId="25275" xr:uid="{CC91B12F-176F-4ED9-8731-51BF09C1C2F1}"/>
    <cellStyle name="20% - Accent4 2 2 4 2 2 4" xfId="33722" xr:uid="{B9575156-71D4-4811-995A-A79231E7285C}"/>
    <cellStyle name="20% - Accent4 2 2 4 2 3" xfId="12611" xr:uid="{B67DB61B-3AC4-4E25-AF38-FB114D0922E7}"/>
    <cellStyle name="20% - Accent4 2 2 4 2 4" xfId="21058" xr:uid="{9B8F8D6C-51E1-49F9-8FAF-17F29BFE06A7}"/>
    <cellStyle name="20% - Accent4 2 2 4 2 5" xfId="29505" xr:uid="{738669EB-CF91-4BE3-881F-EEF6EFD500E7}"/>
    <cellStyle name="20% - Accent4 2 2 4 3" xfId="5357" xr:uid="{00000000-0005-0000-0000-0000FF010000}"/>
    <cellStyle name="20% - Accent4 2 2 4 3 2" xfId="14683" xr:uid="{E154E84D-7AA9-4D86-9627-F423FAEDBF61}"/>
    <cellStyle name="20% - Accent4 2 2 4 3 3" xfId="23130" xr:uid="{FB9C6581-40CA-4B2C-91CE-BBA27A6CF9B1}"/>
    <cellStyle name="20% - Accent4 2 2 4 3 4" xfId="31577" xr:uid="{E3B061E2-74AF-476E-8CC6-F908FE1A07C0}"/>
    <cellStyle name="20% - Accent4 2 2 4 4" xfId="10466" xr:uid="{FC6B6514-0C61-4F75-B493-7894D160ECE4}"/>
    <cellStyle name="20% - Accent4 2 2 4 5" xfId="18913" xr:uid="{319756B6-07A0-4F70-8BD1-F0884040D21C}"/>
    <cellStyle name="20% - Accent4 2 2 4 6" xfId="27360" xr:uid="{02B15E17-1940-49E4-A9B2-1098B555897B}"/>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17241" xr:uid="{06BA65C2-21B5-4E60-8DB6-FD322319DFE4}"/>
    <cellStyle name="20% - Accent4 2 2 5 2 2 3" xfId="25688" xr:uid="{79CB145A-33D5-43EA-A753-84DB2757058C}"/>
    <cellStyle name="20% - Accent4 2 2 5 2 2 4" xfId="34135" xr:uid="{C4A84CE2-544D-4154-A3C9-F7BAEB76D2B3}"/>
    <cellStyle name="20% - Accent4 2 2 5 2 3" xfId="13024" xr:uid="{EF3C036E-3F9D-496A-90F4-972276AA29E1}"/>
    <cellStyle name="20% - Accent4 2 2 5 2 4" xfId="21471" xr:uid="{D746ED77-9532-4C6C-9408-E9B36A720B70}"/>
    <cellStyle name="20% - Accent4 2 2 5 2 5" xfId="29918" xr:uid="{E708CFF4-9457-4E40-A64F-0FA2F0AE8DD7}"/>
    <cellStyle name="20% - Accent4 2 2 5 3" xfId="5770" xr:uid="{00000000-0005-0000-0000-000003020000}"/>
    <cellStyle name="20% - Accent4 2 2 5 3 2" xfId="15096" xr:uid="{F7352ECA-7DBA-4CE8-A92C-C3B098C55A81}"/>
    <cellStyle name="20% - Accent4 2 2 5 3 3" xfId="23543" xr:uid="{7C50DB0C-FE9C-4CD8-8F63-33414654FFEE}"/>
    <cellStyle name="20% - Accent4 2 2 5 3 4" xfId="31990" xr:uid="{44D1CB75-2014-4CDD-9913-C926E571E01A}"/>
    <cellStyle name="20% - Accent4 2 2 5 4" xfId="10879" xr:uid="{C48CBD05-3F5B-41A0-BFA3-3AA65391B4FE}"/>
    <cellStyle name="20% - Accent4 2 2 5 5" xfId="19326" xr:uid="{8174751E-1339-4EAC-9566-9DFC32F3E840}"/>
    <cellStyle name="20% - Accent4 2 2 5 6" xfId="27773" xr:uid="{F4EC78BC-7401-4A2E-AC4F-66FA7777A3D9}"/>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17654" xr:uid="{5E8FEFD1-3870-468D-8478-1ED545A8E66B}"/>
    <cellStyle name="20% - Accent4 2 2 6 2 2 3" xfId="26101" xr:uid="{6427D8EF-655D-44EC-9E62-1E14BE8332A6}"/>
    <cellStyle name="20% - Accent4 2 2 6 2 2 4" xfId="34548" xr:uid="{81A26F04-F40D-4B82-BE87-4D9B7B3DAF39}"/>
    <cellStyle name="20% - Accent4 2 2 6 2 3" xfId="13437" xr:uid="{FCFC889D-C3A2-4FD6-987C-56C60ABEE822}"/>
    <cellStyle name="20% - Accent4 2 2 6 2 4" xfId="21884" xr:uid="{D5177903-4128-4AC8-A9D3-BE3A0EDAD851}"/>
    <cellStyle name="20% - Accent4 2 2 6 2 5" xfId="30331" xr:uid="{6F0AD294-2561-41BD-9A45-1A43AEA37DE6}"/>
    <cellStyle name="20% - Accent4 2 2 6 3" xfId="6183" xr:uid="{00000000-0005-0000-0000-000007020000}"/>
    <cellStyle name="20% - Accent4 2 2 6 3 2" xfId="15509" xr:uid="{36F05EEE-909F-444E-83FC-D682314CFD87}"/>
    <cellStyle name="20% - Accent4 2 2 6 3 3" xfId="23956" xr:uid="{E38533C0-9CD6-4C3E-9C9C-3A1890AD1CF2}"/>
    <cellStyle name="20% - Accent4 2 2 6 3 4" xfId="32403" xr:uid="{689F6C6E-80D2-4165-8F24-37F32BAE9BAD}"/>
    <cellStyle name="20% - Accent4 2 2 6 4" xfId="11292" xr:uid="{8868F041-8DE7-4EA6-AB8C-2221F117AA9D}"/>
    <cellStyle name="20% - Accent4 2 2 6 5" xfId="19739" xr:uid="{50B97C94-7D1B-47E8-8CA0-FE2720799CFB}"/>
    <cellStyle name="20% - Accent4 2 2 6 6" xfId="28186" xr:uid="{C1A5EEED-D310-454D-84D0-99A991DCC4AB}"/>
    <cellStyle name="20% - Accent4 2 2 7" xfId="2290" xr:uid="{00000000-0005-0000-0000-000008020000}"/>
    <cellStyle name="20% - Accent4 2 2 7 2" xfId="6596" xr:uid="{00000000-0005-0000-0000-000009020000}"/>
    <cellStyle name="20% - Accent4 2 2 7 2 2" xfId="15922" xr:uid="{11F77EE0-18F5-48B5-B071-7384604A1858}"/>
    <cellStyle name="20% - Accent4 2 2 7 2 3" xfId="24369" xr:uid="{E1D0FF66-0B05-4121-A9A0-D2248E6DACAE}"/>
    <cellStyle name="20% - Accent4 2 2 7 2 4" xfId="32816" xr:uid="{CB8108D1-860E-4A64-88C7-C28B2E942A41}"/>
    <cellStyle name="20% - Accent4 2 2 7 3" xfId="11705" xr:uid="{2C361944-B0DB-4D73-9A77-AA0490B61FC9}"/>
    <cellStyle name="20% - Accent4 2 2 7 4" xfId="20152" xr:uid="{5F5F5394-AB9C-41B8-AD8F-DA2639297B1C}"/>
    <cellStyle name="20% - Accent4 2 2 7 5" xfId="28599" xr:uid="{F326B00C-7068-458E-8CDE-DB8CA28EFB3F}"/>
    <cellStyle name="20% - Accent4 2 2 8" xfId="4530" xr:uid="{00000000-0005-0000-0000-00000A020000}"/>
    <cellStyle name="20% - Accent4 2 2 8 2" xfId="13856" xr:uid="{77BBA158-841A-4EFC-AC14-F8C4C0E1497E}"/>
    <cellStyle name="20% - Accent4 2 2 8 3" xfId="22303" xr:uid="{7E947FBD-CB74-4719-99BC-2BB53C5C19DB}"/>
    <cellStyle name="20% - Accent4 2 2 8 4" xfId="30750" xr:uid="{71AA32D4-3B2E-4BD7-A9FC-3C81E27E27FA}"/>
    <cellStyle name="20% - Accent4 2 2 9" xfId="8897" xr:uid="{3A58A73C-0193-4EAC-8E12-5BF8743CE9BA}"/>
    <cellStyle name="20% - Accent4 2 3" xfId="29" xr:uid="{00000000-0005-0000-0000-00000B020000}"/>
    <cellStyle name="20% - Accent4 2 3 10" xfId="18088" xr:uid="{B9C02F66-9410-4491-B624-5628F4E8CD93}"/>
    <cellStyle name="20% - Accent4 2 3 11" xfId="26535" xr:uid="{9289710D-0972-4E93-A28A-3533ACA2A9AB}"/>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16417" xr:uid="{4B362DB2-397D-40B8-BF66-14308CA32A6D}"/>
    <cellStyle name="20% - Accent4 2 3 2 2 2 3" xfId="24864" xr:uid="{1E33D9D1-49A0-4D2A-92FF-D266D0F20B25}"/>
    <cellStyle name="20% - Accent4 2 3 2 2 2 4" xfId="33311" xr:uid="{00BBC6A8-8CEA-411D-843C-B025ED9EDE2D}"/>
    <cellStyle name="20% - Accent4 2 3 2 2 3" xfId="12200" xr:uid="{2F6583C8-4949-4442-85B3-415FFEA054E4}"/>
    <cellStyle name="20% - Accent4 2 3 2 2 4" xfId="20647" xr:uid="{249A6E9A-B927-4687-8DCA-6FD5904795F9}"/>
    <cellStyle name="20% - Accent4 2 3 2 2 5" xfId="29094" xr:uid="{0CF28BDB-5DB4-4FF7-979C-007135FDC119}"/>
    <cellStyle name="20% - Accent4 2 3 2 3" xfId="4946" xr:uid="{00000000-0005-0000-0000-00000F020000}"/>
    <cellStyle name="20% - Accent4 2 3 2 3 2" xfId="14272" xr:uid="{02C4E375-A706-4538-ADCE-47BE03813497}"/>
    <cellStyle name="20% - Accent4 2 3 2 3 3" xfId="22719" xr:uid="{A02BCF93-CECF-4275-A5B6-5A313D4D43B7}"/>
    <cellStyle name="20% - Accent4 2 3 2 3 4" xfId="31166" xr:uid="{CDD555FC-53B1-413A-ABB7-5F97CD8014B2}"/>
    <cellStyle name="20% - Accent4 2 3 2 4" xfId="9426" xr:uid="{5B247D51-FBFD-4799-8395-E3F1C04297B8}"/>
    <cellStyle name="20% - Accent4 2 3 2 5" xfId="10055" xr:uid="{E9B6F18A-2C47-44C7-B827-C61AF787FF4B}"/>
    <cellStyle name="20% - Accent4 2 3 2 6" xfId="18502" xr:uid="{A32C1F40-90EA-4F47-952C-93C30BC61A0D}"/>
    <cellStyle name="20% - Accent4 2 3 2 7" xfId="26949" xr:uid="{1D0FA264-37A2-4502-A29B-6C852F8A0018}"/>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16830" xr:uid="{8A51D9E4-25B3-4430-85FC-3F4FE41138FA}"/>
    <cellStyle name="20% - Accent4 2 3 3 2 2 3" xfId="25277" xr:uid="{77543EE5-D996-4295-846B-7786F335F4B5}"/>
    <cellStyle name="20% - Accent4 2 3 3 2 2 4" xfId="33724" xr:uid="{E40A5E0E-04AF-44EC-825A-F1F4D7F5092B}"/>
    <cellStyle name="20% - Accent4 2 3 3 2 3" xfId="12613" xr:uid="{23AE55CB-275E-43E8-8CD0-C9C730E86290}"/>
    <cellStyle name="20% - Accent4 2 3 3 2 4" xfId="21060" xr:uid="{C2CEC934-2500-42A6-BD5F-9D2E29921393}"/>
    <cellStyle name="20% - Accent4 2 3 3 2 5" xfId="29507" xr:uid="{7B2529B8-FF01-4E70-B72C-CF2DF2917209}"/>
    <cellStyle name="20% - Accent4 2 3 3 3" xfId="5359" xr:uid="{00000000-0005-0000-0000-000013020000}"/>
    <cellStyle name="20% - Accent4 2 3 3 3 2" xfId="14685" xr:uid="{27627B46-B26A-4BCB-ABE8-A937BF94CE1D}"/>
    <cellStyle name="20% - Accent4 2 3 3 3 3" xfId="23132" xr:uid="{2D90468C-611C-4574-AA43-3B5EBAE0114E}"/>
    <cellStyle name="20% - Accent4 2 3 3 3 4" xfId="31579" xr:uid="{6E81B1B6-85D0-420E-9812-19CAB6217FBD}"/>
    <cellStyle name="20% - Accent4 2 3 3 4" xfId="10468" xr:uid="{AF1090F3-E3A6-41B6-8838-A81D7F04E924}"/>
    <cellStyle name="20% - Accent4 2 3 3 5" xfId="18915" xr:uid="{358BFA10-5D1D-49A0-A3AA-4AED6FDC2AFF}"/>
    <cellStyle name="20% - Accent4 2 3 3 6" xfId="27362" xr:uid="{AF1B2E30-F970-4950-BB05-0C72AECC58ED}"/>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17243" xr:uid="{D92EEA5C-0392-4893-BF35-6D8F64A8F763}"/>
    <cellStyle name="20% - Accent4 2 3 4 2 2 3" xfId="25690" xr:uid="{4775273F-F63B-450D-9301-013ECEC4B2DC}"/>
    <cellStyle name="20% - Accent4 2 3 4 2 2 4" xfId="34137" xr:uid="{B3A439C4-2B52-42ED-8EE9-AB61D04225C8}"/>
    <cellStyle name="20% - Accent4 2 3 4 2 3" xfId="13026" xr:uid="{16B72547-48B0-4219-A0CF-8DC3FD516806}"/>
    <cellStyle name="20% - Accent4 2 3 4 2 4" xfId="21473" xr:uid="{A7F81A37-4180-4800-A63B-16171EC0FA66}"/>
    <cellStyle name="20% - Accent4 2 3 4 2 5" xfId="29920" xr:uid="{4A960E0F-3AD9-4255-9A86-2463C13F63F8}"/>
    <cellStyle name="20% - Accent4 2 3 4 3" xfId="5772" xr:uid="{00000000-0005-0000-0000-000017020000}"/>
    <cellStyle name="20% - Accent4 2 3 4 3 2" xfId="15098" xr:uid="{02E3F59D-4B6D-44FD-B6BD-AAEACFFA7558}"/>
    <cellStyle name="20% - Accent4 2 3 4 3 3" xfId="23545" xr:uid="{87B9A05D-12DC-4F9A-9CE8-5A8B1FF1083F}"/>
    <cellStyle name="20% - Accent4 2 3 4 3 4" xfId="31992" xr:uid="{E164234E-3D7F-452E-A1EE-C67BE105596B}"/>
    <cellStyle name="20% - Accent4 2 3 4 4" xfId="10881" xr:uid="{37B60545-FBC0-4A69-8F94-EF568B777300}"/>
    <cellStyle name="20% - Accent4 2 3 4 5" xfId="19328" xr:uid="{6FBF597E-3BAB-4480-AFAA-9272A3AEED51}"/>
    <cellStyle name="20% - Accent4 2 3 4 6" xfId="27775" xr:uid="{731F8805-532C-44A5-ACBF-2493A701C2A3}"/>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17656" xr:uid="{71995A0E-961D-4D25-88BC-3FF3A0F23E0A}"/>
    <cellStyle name="20% - Accent4 2 3 5 2 2 3" xfId="26103" xr:uid="{A92E0062-E02B-4769-B04F-BD3C10C5F897}"/>
    <cellStyle name="20% - Accent4 2 3 5 2 2 4" xfId="34550" xr:uid="{560744CD-AFE0-4329-B1FF-A937E8BAB5AE}"/>
    <cellStyle name="20% - Accent4 2 3 5 2 3" xfId="13439" xr:uid="{A9149EDB-5250-4BB4-8CDF-AD6B3A38DD15}"/>
    <cellStyle name="20% - Accent4 2 3 5 2 4" xfId="21886" xr:uid="{F10553D1-7E32-45C2-8900-1A52E5CC7020}"/>
    <cellStyle name="20% - Accent4 2 3 5 2 5" xfId="30333" xr:uid="{F38B9D52-21D2-4B18-A199-A7FF649A04CC}"/>
    <cellStyle name="20% - Accent4 2 3 5 3" xfId="6185" xr:uid="{00000000-0005-0000-0000-00001B020000}"/>
    <cellStyle name="20% - Accent4 2 3 5 3 2" xfId="15511" xr:uid="{2EA2BE99-6096-4D72-81CC-AC3CED7B5F01}"/>
    <cellStyle name="20% - Accent4 2 3 5 3 3" xfId="23958" xr:uid="{5B6C9311-8389-4867-A68D-B48F6A03568B}"/>
    <cellStyle name="20% - Accent4 2 3 5 3 4" xfId="32405" xr:uid="{861B6AE2-E4A6-43D9-8DDD-91EAB88973BC}"/>
    <cellStyle name="20% - Accent4 2 3 5 4" xfId="11294" xr:uid="{327935DC-3320-4D98-8CD9-E7F9B7840902}"/>
    <cellStyle name="20% - Accent4 2 3 5 5" xfId="19741" xr:uid="{274F202C-C55E-4778-8614-A2FA1D6BB10C}"/>
    <cellStyle name="20% - Accent4 2 3 5 6" xfId="28188" xr:uid="{587BFDCB-D8F7-448F-9D36-5CA80D51CA9B}"/>
    <cellStyle name="20% - Accent4 2 3 6" xfId="2292" xr:uid="{00000000-0005-0000-0000-00001C020000}"/>
    <cellStyle name="20% - Accent4 2 3 6 2" xfId="6598" xr:uid="{00000000-0005-0000-0000-00001D020000}"/>
    <cellStyle name="20% - Accent4 2 3 6 2 2" xfId="15924" xr:uid="{64BD5D2B-8A4B-42D8-8813-2A375738FDB3}"/>
    <cellStyle name="20% - Accent4 2 3 6 2 3" xfId="24371" xr:uid="{DC1B27B9-4BA5-4BA8-A978-DFD062F7D8E7}"/>
    <cellStyle name="20% - Accent4 2 3 6 2 4" xfId="32818" xr:uid="{7DBEF709-936E-4AF1-B0A2-7909B158F47C}"/>
    <cellStyle name="20% - Accent4 2 3 6 3" xfId="11707" xr:uid="{E0A94F86-2D9D-470F-9B7F-A8222F4EABAF}"/>
    <cellStyle name="20% - Accent4 2 3 6 4" xfId="20154" xr:uid="{D8649EDD-0014-4C43-B3A8-814896D17804}"/>
    <cellStyle name="20% - Accent4 2 3 6 5" xfId="28601" xr:uid="{3C268624-4551-4039-A17D-37DE041A52F1}"/>
    <cellStyle name="20% - Accent4 2 3 7" xfId="4532" xr:uid="{00000000-0005-0000-0000-00001E020000}"/>
    <cellStyle name="20% - Accent4 2 3 7 2" xfId="13858" xr:uid="{E880086A-0C2C-4D99-9132-D30D01EB6BE8}"/>
    <cellStyle name="20% - Accent4 2 3 7 3" xfId="22305" xr:uid="{4566D37D-D2C9-4829-8949-5D62C19FFE6B}"/>
    <cellStyle name="20% - Accent4 2 3 7 4" xfId="30752" xr:uid="{2BF14D52-EAB1-4C38-93FF-D6E4877AD5B3}"/>
    <cellStyle name="20% - Accent4 2 3 8" xfId="9001" xr:uid="{B9DE6BBA-06E2-4FC8-B645-F20E60244072}"/>
    <cellStyle name="20% - Accent4 2 3 9" xfId="9641" xr:uid="{7811026F-54D0-46A7-9DA6-2DF9060375B6}"/>
    <cellStyle name="20% - Accent4 2 4" xfId="595" xr:uid="{00000000-0005-0000-0000-00001F020000}"/>
    <cellStyle name="20% - Accent4 2 4 2" xfId="2866" xr:uid="{00000000-0005-0000-0000-000020020000}"/>
    <cellStyle name="20% - Accent4 2 4 2 2" xfId="7088" xr:uid="{00000000-0005-0000-0000-000021020000}"/>
    <cellStyle name="20% - Accent4 2 4 2 2 2" xfId="16414" xr:uid="{CF09E5BC-8997-4EFC-99A5-8244E7F8FD64}"/>
    <cellStyle name="20% - Accent4 2 4 2 2 3" xfId="24861" xr:uid="{1A321749-0935-42CA-AA70-0BBCF693878C}"/>
    <cellStyle name="20% - Accent4 2 4 2 2 4" xfId="33308" xr:uid="{3C0813F8-831F-4090-AE33-968CC1C773A3}"/>
    <cellStyle name="20% - Accent4 2 4 2 3" xfId="12197" xr:uid="{D5FDD1C1-98A9-4D2E-AEE1-C2C00623799C}"/>
    <cellStyle name="20% - Accent4 2 4 2 4" xfId="20644" xr:uid="{5C9960D2-8047-4529-A5D9-B011E0CAB59E}"/>
    <cellStyle name="20% - Accent4 2 4 2 5" xfId="29091" xr:uid="{2B045096-7352-49B2-A093-3844E7A2A8BB}"/>
    <cellStyle name="20% - Accent4 2 4 3" xfId="4943" xr:uid="{00000000-0005-0000-0000-000022020000}"/>
    <cellStyle name="20% - Accent4 2 4 3 2" xfId="14269" xr:uid="{DC8DF3C7-B60F-4706-970A-941971A714C9}"/>
    <cellStyle name="20% - Accent4 2 4 3 3" xfId="22716" xr:uid="{5BEBD0FA-1953-4B1A-AAA0-672B2ABB403C}"/>
    <cellStyle name="20% - Accent4 2 4 3 4" xfId="31163" xr:uid="{70D8A0FF-0939-4963-BEE4-088535C5A6CD}"/>
    <cellStyle name="20% - Accent4 2 4 4" xfId="9218" xr:uid="{EEA9CEE5-7B27-41EB-B571-13D0ADC44445}"/>
    <cellStyle name="20% - Accent4 2 4 5" xfId="10052" xr:uid="{3EE430EF-B360-4A22-A97C-6211E7541982}"/>
    <cellStyle name="20% - Accent4 2 4 6" xfId="18499" xr:uid="{8B78AF58-DB88-4C50-A01D-663762FBE805}"/>
    <cellStyle name="20% - Accent4 2 4 7" xfId="26946" xr:uid="{D9351527-F315-49CB-9240-270789408A0C}"/>
    <cellStyle name="20% - Accent4 2 5" xfId="1048" xr:uid="{00000000-0005-0000-0000-000023020000}"/>
    <cellStyle name="20% - Accent4 2 5 2" xfId="3279" xr:uid="{00000000-0005-0000-0000-000024020000}"/>
    <cellStyle name="20% - Accent4 2 5 2 2" xfId="7501" xr:uid="{00000000-0005-0000-0000-000025020000}"/>
    <cellStyle name="20% - Accent4 2 5 2 2 2" xfId="16827" xr:uid="{DA608569-99EC-4993-ABA3-88A1A760F8F3}"/>
    <cellStyle name="20% - Accent4 2 5 2 2 3" xfId="25274" xr:uid="{39BE5BC5-C196-489A-958D-8DCC041F3586}"/>
    <cellStyle name="20% - Accent4 2 5 2 2 4" xfId="33721" xr:uid="{51B2D344-2407-463A-9B98-CCCE49EDFA80}"/>
    <cellStyle name="20% - Accent4 2 5 2 3" xfId="12610" xr:uid="{4C906018-CFE2-48F1-8147-1A525BB9E85E}"/>
    <cellStyle name="20% - Accent4 2 5 2 4" xfId="21057" xr:uid="{F8A5A82A-45CC-49DB-8066-AB9275F1CA49}"/>
    <cellStyle name="20% - Accent4 2 5 2 5" xfId="29504" xr:uid="{A338E171-8CC7-4518-A56D-D2E33B01D773}"/>
    <cellStyle name="20% - Accent4 2 5 3" xfId="5356" xr:uid="{00000000-0005-0000-0000-000026020000}"/>
    <cellStyle name="20% - Accent4 2 5 3 2" xfId="14682" xr:uid="{52003095-837D-4CDC-8925-C35A7E076CAD}"/>
    <cellStyle name="20% - Accent4 2 5 3 3" xfId="23129" xr:uid="{E376F4DC-FED2-419E-80DB-204A9DCC3B0F}"/>
    <cellStyle name="20% - Accent4 2 5 3 4" xfId="31576" xr:uid="{D8DC5918-5A29-4807-BBFE-F3408591CE20}"/>
    <cellStyle name="20% - Accent4 2 5 4" xfId="10465" xr:uid="{F3C918CE-8395-4B4A-B7F0-3F1944D879BB}"/>
    <cellStyle name="20% - Accent4 2 5 5" xfId="18912" xr:uid="{5BEEC8B2-A4F8-49C0-907B-3769BF1623F2}"/>
    <cellStyle name="20% - Accent4 2 5 6" xfId="27359" xr:uid="{D84D387B-DA35-44C2-B74F-D70958691E7A}"/>
    <cellStyle name="20% - Accent4 2 6" xfId="1462" xr:uid="{00000000-0005-0000-0000-000027020000}"/>
    <cellStyle name="20% - Accent4 2 6 2" xfId="3692" xr:uid="{00000000-0005-0000-0000-000028020000}"/>
    <cellStyle name="20% - Accent4 2 6 2 2" xfId="7914" xr:uid="{00000000-0005-0000-0000-000029020000}"/>
    <cellStyle name="20% - Accent4 2 6 2 2 2" xfId="17240" xr:uid="{61EF892A-D295-4F46-96BD-8B395C917263}"/>
    <cellStyle name="20% - Accent4 2 6 2 2 3" xfId="25687" xr:uid="{5A0E75C3-313A-4F20-8095-061F5F290F51}"/>
    <cellStyle name="20% - Accent4 2 6 2 2 4" xfId="34134" xr:uid="{A8E24E7B-2FED-4081-924B-7F196C5859F9}"/>
    <cellStyle name="20% - Accent4 2 6 2 3" xfId="13023" xr:uid="{18B5C609-C69A-49EF-92D5-D6C84C02F47F}"/>
    <cellStyle name="20% - Accent4 2 6 2 4" xfId="21470" xr:uid="{D42B3EC1-C459-44D3-9562-0FEB33F4AE63}"/>
    <cellStyle name="20% - Accent4 2 6 2 5" xfId="29917" xr:uid="{956546B2-5A58-4367-80D7-6EC6B52035CC}"/>
    <cellStyle name="20% - Accent4 2 6 3" xfId="5769" xr:uid="{00000000-0005-0000-0000-00002A020000}"/>
    <cellStyle name="20% - Accent4 2 6 3 2" xfId="15095" xr:uid="{1D314FC2-F90A-437F-BFED-3A4AC9733616}"/>
    <cellStyle name="20% - Accent4 2 6 3 3" xfId="23542" xr:uid="{B37B3BF0-0231-43B4-ABCA-D5C7C3B0122E}"/>
    <cellStyle name="20% - Accent4 2 6 3 4" xfId="31989" xr:uid="{FE11E0AF-8625-43BB-A9B2-88B7592464C6}"/>
    <cellStyle name="20% - Accent4 2 6 4" xfId="10878" xr:uid="{90FCD6FF-7DC0-442D-8857-FE46C1208D59}"/>
    <cellStyle name="20% - Accent4 2 6 5" xfId="19325" xr:uid="{F4D10E1B-333B-49F2-9FA5-BFA25E63D840}"/>
    <cellStyle name="20% - Accent4 2 6 6" xfId="27772" xr:uid="{32E3F43F-DF3D-4C17-B10B-DE61822D0589}"/>
    <cellStyle name="20% - Accent4 2 7" xfId="1876" xr:uid="{00000000-0005-0000-0000-00002B020000}"/>
    <cellStyle name="20% - Accent4 2 7 2" xfId="4105" xr:uid="{00000000-0005-0000-0000-00002C020000}"/>
    <cellStyle name="20% - Accent4 2 7 2 2" xfId="8327" xr:uid="{00000000-0005-0000-0000-00002D020000}"/>
    <cellStyle name="20% - Accent4 2 7 2 2 2" xfId="17653" xr:uid="{D74F0A7E-8847-4D16-AE4F-FCF979B926D2}"/>
    <cellStyle name="20% - Accent4 2 7 2 2 3" xfId="26100" xr:uid="{63C437C6-7C4E-4C6D-A594-CE236518A83D}"/>
    <cellStyle name="20% - Accent4 2 7 2 2 4" xfId="34547" xr:uid="{0644732A-0F93-42FF-ADD4-7B7242092376}"/>
    <cellStyle name="20% - Accent4 2 7 2 3" xfId="13436" xr:uid="{8574085F-CEF0-4F69-BF7C-C0A56DB6F120}"/>
    <cellStyle name="20% - Accent4 2 7 2 4" xfId="21883" xr:uid="{4C4DFA97-2EAF-4139-95B8-F95F16D5ACDC}"/>
    <cellStyle name="20% - Accent4 2 7 2 5" xfId="30330" xr:uid="{8CAD21BF-6D36-479D-A001-C8A48BEF89AC}"/>
    <cellStyle name="20% - Accent4 2 7 3" xfId="6182" xr:uid="{00000000-0005-0000-0000-00002E020000}"/>
    <cellStyle name="20% - Accent4 2 7 3 2" xfId="15508" xr:uid="{7A5308B3-6519-4B50-A405-FC7BC43ACDC5}"/>
    <cellStyle name="20% - Accent4 2 7 3 3" xfId="23955" xr:uid="{41D78414-823F-4847-BCAC-1B71F1A8022F}"/>
    <cellStyle name="20% - Accent4 2 7 3 4" xfId="32402" xr:uid="{851BC35A-35E6-4941-8566-C90AD250FED0}"/>
    <cellStyle name="20% - Accent4 2 7 4" xfId="11291" xr:uid="{EF343A60-F1A7-4B0C-9B22-BF6A4B701443}"/>
    <cellStyle name="20% - Accent4 2 7 5" xfId="19738" xr:uid="{B5B34BEE-E3F5-47ED-8E00-E0DD65196C3D}"/>
    <cellStyle name="20% - Accent4 2 7 6" xfId="28185" xr:uid="{2DA911C6-A0FF-46E1-83BD-62B482ED7C0E}"/>
    <cellStyle name="20% - Accent4 2 8" xfId="2289" xr:uid="{00000000-0005-0000-0000-00002F020000}"/>
    <cellStyle name="20% - Accent4 2 8 2" xfId="6595" xr:uid="{00000000-0005-0000-0000-000030020000}"/>
    <cellStyle name="20% - Accent4 2 8 2 2" xfId="15921" xr:uid="{E2AD574B-886D-4EDC-BAD0-683BC77ACE89}"/>
    <cellStyle name="20% - Accent4 2 8 2 3" xfId="24368" xr:uid="{B4FB2467-9CD5-42E9-B989-756E6E381A6A}"/>
    <cellStyle name="20% - Accent4 2 8 2 4" xfId="32815" xr:uid="{7559901F-9B90-4CD0-9D46-515AAF682C6D}"/>
    <cellStyle name="20% - Accent4 2 8 3" xfId="11704" xr:uid="{B483F57A-B8E2-472A-A5D9-754AFE78D0CC}"/>
    <cellStyle name="20% - Accent4 2 8 4" xfId="20151" xr:uid="{3680A3C1-6DB3-4AD6-90A3-90B72FC2A3B6}"/>
    <cellStyle name="20% - Accent4 2 8 5" xfId="28598" xr:uid="{659A1E9A-9811-4AC7-93FB-D13F34E30017}"/>
    <cellStyle name="20% - Accent4 2 9" xfId="4529" xr:uid="{00000000-0005-0000-0000-000031020000}"/>
    <cellStyle name="20% - Accent4 2 9 2" xfId="13855" xr:uid="{E3B5FFC0-4DE7-4040-89F6-92E7D85709EC}"/>
    <cellStyle name="20% - Accent4 2 9 3" xfId="22302" xr:uid="{5CAB5E42-FDAB-4E99-98C2-057FCEA13D24}"/>
    <cellStyle name="20% - Accent4 2 9 4" xfId="30749" xr:uid="{45E49577-CC0F-4F78-AF3E-0DBD94C5C2BA}"/>
    <cellStyle name="20% - Accent4 3" xfId="30" xr:uid="{00000000-0005-0000-0000-000032020000}"/>
    <cellStyle name="20% - Accent4 3 10" xfId="9642" xr:uid="{F555332A-544E-4CFC-8619-5B9C57CB205E}"/>
    <cellStyle name="20% - Accent4 3 11" xfId="18089" xr:uid="{C1BF151A-E687-464B-8B2C-5E8F24597A2D}"/>
    <cellStyle name="20% - Accent4 3 12" xfId="26536" xr:uid="{2AF8CBA3-B95A-445B-8623-42ED0DAF00B5}"/>
    <cellStyle name="20% - Accent4 3 2" xfId="31" xr:uid="{00000000-0005-0000-0000-000033020000}"/>
    <cellStyle name="20% - Accent4 3 2 10" xfId="18090" xr:uid="{95D5BD72-AD06-4263-9CE9-B7CC5851DCDE}"/>
    <cellStyle name="20% - Accent4 3 2 11" xfId="26537" xr:uid="{49E6AD63-FE62-4322-BBA4-572C87322CDC}"/>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16419" xr:uid="{A528AD03-56E3-4FD2-B57B-6B8EC72DFFDF}"/>
    <cellStyle name="20% - Accent4 3 2 2 2 2 3" xfId="24866" xr:uid="{DD567869-7F4B-45C4-BA69-F2D5AE050B95}"/>
    <cellStyle name="20% - Accent4 3 2 2 2 2 4" xfId="33313" xr:uid="{610C7B44-3C3D-41D5-9651-27A26CCE5195}"/>
    <cellStyle name="20% - Accent4 3 2 2 2 3" xfId="12202" xr:uid="{C7CAB3D5-488A-4EA5-B1A6-6F53F2AA77E1}"/>
    <cellStyle name="20% - Accent4 3 2 2 2 4" xfId="20649" xr:uid="{D07212D6-EFE4-4B75-BFF0-36FA541044BE}"/>
    <cellStyle name="20% - Accent4 3 2 2 2 5" xfId="29096" xr:uid="{9C24956B-6AAE-4113-9D4B-EA1F6E0E08A0}"/>
    <cellStyle name="20% - Accent4 3 2 2 3" xfId="4948" xr:uid="{00000000-0005-0000-0000-000037020000}"/>
    <cellStyle name="20% - Accent4 3 2 2 3 2" xfId="14274" xr:uid="{CD0A2212-6004-4C35-A46B-1FCD512ACE11}"/>
    <cellStyle name="20% - Accent4 3 2 2 3 3" xfId="22721" xr:uid="{33127DDD-1E2C-47B2-A676-C5DB7ED95DD4}"/>
    <cellStyle name="20% - Accent4 3 2 2 3 4" xfId="31168" xr:uid="{E97981CF-D610-4D0A-867C-A826A046780E}"/>
    <cellStyle name="20% - Accent4 3 2 2 4" xfId="9499" xr:uid="{019308F4-938B-408B-A627-483AF94276A0}"/>
    <cellStyle name="20% - Accent4 3 2 2 5" xfId="10057" xr:uid="{1C6DFA6E-1A76-4645-B92C-BC4854279C27}"/>
    <cellStyle name="20% - Accent4 3 2 2 6" xfId="18504" xr:uid="{7B771FB5-7AF2-457B-BEDC-DACD6673F350}"/>
    <cellStyle name="20% - Accent4 3 2 2 7" xfId="26951" xr:uid="{1495E15D-7F6E-4160-919F-F536614A6C60}"/>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16832" xr:uid="{204533CE-4B10-4D4B-8B63-4AD70FFDCFFB}"/>
    <cellStyle name="20% - Accent4 3 2 3 2 2 3" xfId="25279" xr:uid="{1027F6ED-869A-48E1-9A65-77763A16CC51}"/>
    <cellStyle name="20% - Accent4 3 2 3 2 2 4" xfId="33726" xr:uid="{01B24250-7584-4CC8-91BB-CC29490D9BD8}"/>
    <cellStyle name="20% - Accent4 3 2 3 2 3" xfId="12615" xr:uid="{CEA87174-DF21-437F-9B5C-B9629F6AC9C0}"/>
    <cellStyle name="20% - Accent4 3 2 3 2 4" xfId="21062" xr:uid="{11A1D591-2807-477B-B90D-C908EFFF6C1B}"/>
    <cellStyle name="20% - Accent4 3 2 3 2 5" xfId="29509" xr:uid="{0B2477AB-DC15-4BAA-B59C-6691A65EDCF0}"/>
    <cellStyle name="20% - Accent4 3 2 3 3" xfId="5361" xr:uid="{00000000-0005-0000-0000-00003B020000}"/>
    <cellStyle name="20% - Accent4 3 2 3 3 2" xfId="14687" xr:uid="{104FE10B-099F-4EAD-B2E4-D4AF6338154F}"/>
    <cellStyle name="20% - Accent4 3 2 3 3 3" xfId="23134" xr:uid="{A8EA067F-3861-49B3-9925-C00514525DD8}"/>
    <cellStyle name="20% - Accent4 3 2 3 3 4" xfId="31581" xr:uid="{8B828E74-CBC3-4347-9317-9674679AC5AF}"/>
    <cellStyle name="20% - Accent4 3 2 3 4" xfId="10470" xr:uid="{AABDC7EF-6E17-4B64-A854-3D8A07E0666D}"/>
    <cellStyle name="20% - Accent4 3 2 3 5" xfId="18917" xr:uid="{CC692674-B56E-42C2-93C6-F5A968A229C1}"/>
    <cellStyle name="20% - Accent4 3 2 3 6" xfId="27364" xr:uid="{2B450100-566C-464E-B257-6578B21F5A96}"/>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17245" xr:uid="{C0BA91E6-D941-41CE-98E3-4908EEF31975}"/>
    <cellStyle name="20% - Accent4 3 2 4 2 2 3" xfId="25692" xr:uid="{5B161782-6D40-48C0-BD34-8DE7346841AE}"/>
    <cellStyle name="20% - Accent4 3 2 4 2 2 4" xfId="34139" xr:uid="{8ABAC6A0-5359-43CD-AB40-6B3E6A69BB5B}"/>
    <cellStyle name="20% - Accent4 3 2 4 2 3" xfId="13028" xr:uid="{EE6BADC1-8C5A-4E49-A2ED-37D415B3270F}"/>
    <cellStyle name="20% - Accent4 3 2 4 2 4" xfId="21475" xr:uid="{62E82228-39D3-4E74-9922-297E2C86F7F6}"/>
    <cellStyle name="20% - Accent4 3 2 4 2 5" xfId="29922" xr:uid="{79A874FB-78C6-44A8-9B48-6ABA3AFF7122}"/>
    <cellStyle name="20% - Accent4 3 2 4 3" xfId="5774" xr:uid="{00000000-0005-0000-0000-00003F020000}"/>
    <cellStyle name="20% - Accent4 3 2 4 3 2" xfId="15100" xr:uid="{CF2E2817-16B0-4D2F-A7A3-44B614385867}"/>
    <cellStyle name="20% - Accent4 3 2 4 3 3" xfId="23547" xr:uid="{8A53C869-51D8-4DC7-A113-91CC6393C6BA}"/>
    <cellStyle name="20% - Accent4 3 2 4 3 4" xfId="31994" xr:uid="{C50A0638-98DA-472D-BF36-BE5A81CA3C2C}"/>
    <cellStyle name="20% - Accent4 3 2 4 4" xfId="10883" xr:uid="{24C0078E-AF5B-4FBA-B57E-563716444A31}"/>
    <cellStyle name="20% - Accent4 3 2 4 5" xfId="19330" xr:uid="{46F96676-BC51-4D7E-83A5-D2D80405B334}"/>
    <cellStyle name="20% - Accent4 3 2 4 6" xfId="27777" xr:uid="{6A7E4F55-D51B-445F-B7F4-91B62FB9AF1A}"/>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17658" xr:uid="{96522060-790A-4E27-9D39-786CA56A5D42}"/>
    <cellStyle name="20% - Accent4 3 2 5 2 2 3" xfId="26105" xr:uid="{8056514E-993A-4924-AE78-781B1E54BC83}"/>
    <cellStyle name="20% - Accent4 3 2 5 2 2 4" xfId="34552" xr:uid="{D637A074-0D08-4A7D-AE37-8647BFBE2E8A}"/>
    <cellStyle name="20% - Accent4 3 2 5 2 3" xfId="13441" xr:uid="{7C8F6FB0-B2BA-4231-9BFA-3526FB0C4D5C}"/>
    <cellStyle name="20% - Accent4 3 2 5 2 4" xfId="21888" xr:uid="{FDFBE107-8226-4838-893E-8B0C9AA386E7}"/>
    <cellStyle name="20% - Accent4 3 2 5 2 5" xfId="30335" xr:uid="{F79A4A93-B7AA-484A-B4FF-DFC42DEDED1E}"/>
    <cellStyle name="20% - Accent4 3 2 5 3" xfId="6187" xr:uid="{00000000-0005-0000-0000-000043020000}"/>
    <cellStyle name="20% - Accent4 3 2 5 3 2" xfId="15513" xr:uid="{A8644808-CD53-4882-ADB0-404E08DA9481}"/>
    <cellStyle name="20% - Accent4 3 2 5 3 3" xfId="23960" xr:uid="{B0D5EF48-ADAE-45A9-8D04-1454DD2840DE}"/>
    <cellStyle name="20% - Accent4 3 2 5 3 4" xfId="32407" xr:uid="{F92A530A-6073-4FD5-90E9-7B08194F746A}"/>
    <cellStyle name="20% - Accent4 3 2 5 4" xfId="11296" xr:uid="{D157ECCC-95A5-4E0F-9D0D-1EACD4A32701}"/>
    <cellStyle name="20% - Accent4 3 2 5 5" xfId="19743" xr:uid="{ED4D00CD-7B01-4F09-832F-DA28F2FB1506}"/>
    <cellStyle name="20% - Accent4 3 2 5 6" xfId="28190" xr:uid="{F961E561-9334-4F2D-A7E8-8F2757EAD7A5}"/>
    <cellStyle name="20% - Accent4 3 2 6" xfId="2294" xr:uid="{00000000-0005-0000-0000-000044020000}"/>
    <cellStyle name="20% - Accent4 3 2 6 2" xfId="6600" xr:uid="{00000000-0005-0000-0000-000045020000}"/>
    <cellStyle name="20% - Accent4 3 2 6 2 2" xfId="15926" xr:uid="{852FFC37-4E97-4AB1-9E43-FA48669C6D46}"/>
    <cellStyle name="20% - Accent4 3 2 6 2 3" xfId="24373" xr:uid="{613B36A2-0A0F-49A1-8532-454337F554B9}"/>
    <cellStyle name="20% - Accent4 3 2 6 2 4" xfId="32820" xr:uid="{BF7F7C35-9985-4985-81D8-9BB2E4CE9ACA}"/>
    <cellStyle name="20% - Accent4 3 2 6 3" xfId="11709" xr:uid="{F7F4A15E-662B-48BC-B5A3-3B5B10225DEA}"/>
    <cellStyle name="20% - Accent4 3 2 6 4" xfId="20156" xr:uid="{87D678D4-E1E9-440A-9817-71CB61A42598}"/>
    <cellStyle name="20% - Accent4 3 2 6 5" xfId="28603" xr:uid="{31DC1579-1C04-4E11-B74E-2D076517038A}"/>
    <cellStyle name="20% - Accent4 3 2 7" xfId="4534" xr:uid="{00000000-0005-0000-0000-000046020000}"/>
    <cellStyle name="20% - Accent4 3 2 7 2" xfId="13860" xr:uid="{9A00E35F-3112-4A7C-ACE2-B83D6559CFD0}"/>
    <cellStyle name="20% - Accent4 3 2 7 3" xfId="22307" xr:uid="{57829D39-E26A-4C49-B5E4-3705E96CE439}"/>
    <cellStyle name="20% - Accent4 3 2 7 4" xfId="30754" xr:uid="{A7A69CAE-DAC2-42C7-BA6D-8E9DC3BA9493}"/>
    <cellStyle name="20% - Accent4 3 2 8" xfId="9074" xr:uid="{BA25EAA8-2B5F-4309-91A3-FC61FCEF209C}"/>
    <cellStyle name="20% - Accent4 3 2 9" xfId="9643" xr:uid="{5D99835D-94EF-4C67-87E1-5CBCAF693BE9}"/>
    <cellStyle name="20% - Accent4 3 3" xfId="599" xr:uid="{00000000-0005-0000-0000-000047020000}"/>
    <cellStyle name="20% - Accent4 3 3 2" xfId="2870" xr:uid="{00000000-0005-0000-0000-000048020000}"/>
    <cellStyle name="20% - Accent4 3 3 2 2" xfId="7092" xr:uid="{00000000-0005-0000-0000-000049020000}"/>
    <cellStyle name="20% - Accent4 3 3 2 2 2" xfId="16418" xr:uid="{8207A47B-9E63-41D4-BC3A-321B4AD2840F}"/>
    <cellStyle name="20% - Accent4 3 3 2 2 3" xfId="24865" xr:uid="{1B9DB318-9540-4D5A-9717-E10534D1C278}"/>
    <cellStyle name="20% - Accent4 3 3 2 2 4" xfId="33312" xr:uid="{E3EA3FB8-7E59-464B-8E9A-33F6AE3D5053}"/>
    <cellStyle name="20% - Accent4 3 3 2 3" xfId="12201" xr:uid="{F27A5980-B0F0-4F65-AE52-B752F7219AE1}"/>
    <cellStyle name="20% - Accent4 3 3 2 4" xfId="20648" xr:uid="{B498C727-D7BD-4164-88B6-E260D2ED0197}"/>
    <cellStyle name="20% - Accent4 3 3 2 5" xfId="29095" xr:uid="{2C0B6D77-EEB6-44BB-B43F-B968BAC79E92}"/>
    <cellStyle name="20% - Accent4 3 3 3" xfId="4947" xr:uid="{00000000-0005-0000-0000-00004A020000}"/>
    <cellStyle name="20% - Accent4 3 3 3 2" xfId="14273" xr:uid="{72B7803D-8AAC-49CC-95A6-1B3CCE325A0C}"/>
    <cellStyle name="20% - Accent4 3 3 3 3" xfId="22720" xr:uid="{9252D9A3-B48F-4643-916F-CEEC0CC2DEBC}"/>
    <cellStyle name="20% - Accent4 3 3 3 4" xfId="31167" xr:uid="{549A6F89-B843-473C-A651-70C89ADFD33A}"/>
    <cellStyle name="20% - Accent4 3 3 4" xfId="9292" xr:uid="{E33AB5E9-A8F9-45CB-AD95-0E461E901C30}"/>
    <cellStyle name="20% - Accent4 3 3 5" xfId="10056" xr:uid="{34D4685D-7B24-47EB-97A8-C964CA6933FE}"/>
    <cellStyle name="20% - Accent4 3 3 6" xfId="18503" xr:uid="{97BDBA88-D784-41F1-B223-D288724C96A1}"/>
    <cellStyle name="20% - Accent4 3 3 7" xfId="26950" xr:uid="{632D3FCA-6DA3-44EA-B515-99EAE5BD8796}"/>
    <cellStyle name="20% - Accent4 3 4" xfId="1052" xr:uid="{00000000-0005-0000-0000-00004B020000}"/>
    <cellStyle name="20% - Accent4 3 4 2" xfId="3283" xr:uid="{00000000-0005-0000-0000-00004C020000}"/>
    <cellStyle name="20% - Accent4 3 4 2 2" xfId="7505" xr:uid="{00000000-0005-0000-0000-00004D020000}"/>
    <cellStyle name="20% - Accent4 3 4 2 2 2" xfId="16831" xr:uid="{E1B0BBFE-9A9A-4836-8016-43FEF17636B1}"/>
    <cellStyle name="20% - Accent4 3 4 2 2 3" xfId="25278" xr:uid="{A16456A2-FDF3-44BD-91AE-8505311248D7}"/>
    <cellStyle name="20% - Accent4 3 4 2 2 4" xfId="33725" xr:uid="{967CFA9F-924B-47CD-8A34-FF04562030F8}"/>
    <cellStyle name="20% - Accent4 3 4 2 3" xfId="12614" xr:uid="{D383E0CA-71C8-4E4A-94C8-63859324DB38}"/>
    <cellStyle name="20% - Accent4 3 4 2 4" xfId="21061" xr:uid="{289E97A1-78C0-44D0-9DD3-29A46BA23E83}"/>
    <cellStyle name="20% - Accent4 3 4 2 5" xfId="29508" xr:uid="{448C2CED-4899-4988-89B6-998C0AD60419}"/>
    <cellStyle name="20% - Accent4 3 4 3" xfId="5360" xr:uid="{00000000-0005-0000-0000-00004E020000}"/>
    <cellStyle name="20% - Accent4 3 4 3 2" xfId="14686" xr:uid="{6C985767-3127-4853-AB5B-71239B92C79E}"/>
    <cellStyle name="20% - Accent4 3 4 3 3" xfId="23133" xr:uid="{7EE781CA-C993-402B-A1D4-6B8C6DF786BA}"/>
    <cellStyle name="20% - Accent4 3 4 3 4" xfId="31580" xr:uid="{32664603-C28C-4E5C-8192-990F1B42503C}"/>
    <cellStyle name="20% - Accent4 3 4 4" xfId="10469" xr:uid="{37B48381-1377-4A12-9C05-C4771A153B1A}"/>
    <cellStyle name="20% - Accent4 3 4 5" xfId="18916" xr:uid="{A01C8286-5B7D-4A01-98F1-2C82C904BACA}"/>
    <cellStyle name="20% - Accent4 3 4 6" xfId="27363" xr:uid="{103CBC7B-0BD6-453F-94D6-2BC16585D9DE}"/>
    <cellStyle name="20% - Accent4 3 5" xfId="1466" xr:uid="{00000000-0005-0000-0000-00004F020000}"/>
    <cellStyle name="20% - Accent4 3 5 2" xfId="3696" xr:uid="{00000000-0005-0000-0000-000050020000}"/>
    <cellStyle name="20% - Accent4 3 5 2 2" xfId="7918" xr:uid="{00000000-0005-0000-0000-000051020000}"/>
    <cellStyle name="20% - Accent4 3 5 2 2 2" xfId="17244" xr:uid="{5F5F3D5B-186F-4DE6-AF82-82640CCD9EFA}"/>
    <cellStyle name="20% - Accent4 3 5 2 2 3" xfId="25691" xr:uid="{D8E5097B-8CD4-4092-97D9-C9F427870F35}"/>
    <cellStyle name="20% - Accent4 3 5 2 2 4" xfId="34138" xr:uid="{E81FC1B4-1033-4323-BA16-92D22B27DDAA}"/>
    <cellStyle name="20% - Accent4 3 5 2 3" xfId="13027" xr:uid="{F891B318-37F0-42AB-9B78-502CCB41C93F}"/>
    <cellStyle name="20% - Accent4 3 5 2 4" xfId="21474" xr:uid="{7DA53517-F8B5-4A7C-8CC6-CF16E6B6AA63}"/>
    <cellStyle name="20% - Accent4 3 5 2 5" xfId="29921" xr:uid="{D2307233-9586-4C6B-A0CB-FB3FF57496D2}"/>
    <cellStyle name="20% - Accent4 3 5 3" xfId="5773" xr:uid="{00000000-0005-0000-0000-000052020000}"/>
    <cellStyle name="20% - Accent4 3 5 3 2" xfId="15099" xr:uid="{80628FD8-9AB2-4A06-8464-69B91339EE8F}"/>
    <cellStyle name="20% - Accent4 3 5 3 3" xfId="23546" xr:uid="{F7265E9B-5EF4-451F-86A9-3D484A279A75}"/>
    <cellStyle name="20% - Accent4 3 5 3 4" xfId="31993" xr:uid="{57BCE0E8-F34A-428D-921B-AC0F5E5EF766}"/>
    <cellStyle name="20% - Accent4 3 5 4" xfId="10882" xr:uid="{467EFF5F-350A-4A6B-9DBD-F1E456C4CDB5}"/>
    <cellStyle name="20% - Accent4 3 5 5" xfId="19329" xr:uid="{54B2238A-7FD9-4D8C-B8E1-4E4BB2C09E51}"/>
    <cellStyle name="20% - Accent4 3 5 6" xfId="27776" xr:uid="{219ACF73-4C99-4293-AD30-B2DF1647E874}"/>
    <cellStyle name="20% - Accent4 3 6" xfId="1880" xr:uid="{00000000-0005-0000-0000-000053020000}"/>
    <cellStyle name="20% - Accent4 3 6 2" xfId="4109" xr:uid="{00000000-0005-0000-0000-000054020000}"/>
    <cellStyle name="20% - Accent4 3 6 2 2" xfId="8331" xr:uid="{00000000-0005-0000-0000-000055020000}"/>
    <cellStyle name="20% - Accent4 3 6 2 2 2" xfId="17657" xr:uid="{B8374979-9A90-4508-BE25-4E32D4AE6E16}"/>
    <cellStyle name="20% - Accent4 3 6 2 2 3" xfId="26104" xr:uid="{CABB5F1F-3BD5-4941-A963-B3FF835D29DE}"/>
    <cellStyle name="20% - Accent4 3 6 2 2 4" xfId="34551" xr:uid="{80D87D9F-40D8-4409-8191-AAB548BF2621}"/>
    <cellStyle name="20% - Accent4 3 6 2 3" xfId="13440" xr:uid="{F0876B0E-61BF-441D-8EBF-7DE268178F4E}"/>
    <cellStyle name="20% - Accent4 3 6 2 4" xfId="21887" xr:uid="{B1E39CEC-75DA-4769-A40B-79B779251109}"/>
    <cellStyle name="20% - Accent4 3 6 2 5" xfId="30334" xr:uid="{F14F9F5B-6226-4536-A68E-C4A15AE351B8}"/>
    <cellStyle name="20% - Accent4 3 6 3" xfId="6186" xr:uid="{00000000-0005-0000-0000-000056020000}"/>
    <cellStyle name="20% - Accent4 3 6 3 2" xfId="15512" xr:uid="{F8067BD9-D2B3-47D7-B16E-6C105A94EEDE}"/>
    <cellStyle name="20% - Accent4 3 6 3 3" xfId="23959" xr:uid="{B24D9C3A-7C0D-4FDE-BA63-997A93AF582F}"/>
    <cellStyle name="20% - Accent4 3 6 3 4" xfId="32406" xr:uid="{85F18602-3F19-4D08-BF04-2CD16B86B580}"/>
    <cellStyle name="20% - Accent4 3 6 4" xfId="11295" xr:uid="{D3175A58-5B94-4C12-ABBB-2DE23ADE6663}"/>
    <cellStyle name="20% - Accent4 3 6 5" xfId="19742" xr:uid="{C3F0F249-EEF3-42D1-8D5E-B6A7CC3852D7}"/>
    <cellStyle name="20% - Accent4 3 6 6" xfId="28189" xr:uid="{09F81B7D-C40E-4DE3-8FF4-B835D28C70C1}"/>
    <cellStyle name="20% - Accent4 3 7" xfId="2293" xr:uid="{00000000-0005-0000-0000-000057020000}"/>
    <cellStyle name="20% - Accent4 3 7 2" xfId="6599" xr:uid="{00000000-0005-0000-0000-000058020000}"/>
    <cellStyle name="20% - Accent4 3 7 2 2" xfId="15925" xr:uid="{C07A8F5D-19EC-40A7-B864-8F5FCC7113DE}"/>
    <cellStyle name="20% - Accent4 3 7 2 3" xfId="24372" xr:uid="{E5BC4635-302F-443A-85E4-1FE7DF4095D8}"/>
    <cellStyle name="20% - Accent4 3 7 2 4" xfId="32819" xr:uid="{2F5B9FB7-A417-449D-BE5F-C0A68E917674}"/>
    <cellStyle name="20% - Accent4 3 7 3" xfId="11708" xr:uid="{40888C70-48AF-4624-89CF-C3C8D7D5198B}"/>
    <cellStyle name="20% - Accent4 3 7 4" xfId="20155" xr:uid="{A9FDBA58-96CD-4000-A80F-CC3DD3557A92}"/>
    <cellStyle name="20% - Accent4 3 7 5" xfId="28602" xr:uid="{BC54C4CF-AC37-44E0-B09E-43F5C2F265AD}"/>
    <cellStyle name="20% - Accent4 3 8" xfId="4533" xr:uid="{00000000-0005-0000-0000-000059020000}"/>
    <cellStyle name="20% - Accent4 3 8 2" xfId="13859" xr:uid="{891D406F-2512-46CA-8923-2388CF40C39A}"/>
    <cellStyle name="20% - Accent4 3 8 3" xfId="22306" xr:uid="{C23B2F8A-6597-4DD8-A557-B84C99A195B4}"/>
    <cellStyle name="20% - Accent4 3 8 4" xfId="30753" xr:uid="{189210E9-F4D0-40A2-A56B-E153EC9E662C}"/>
    <cellStyle name="20% - Accent4 3 9" xfId="8867" xr:uid="{27FB4CEF-7F56-4AEC-B5AC-6B6A1477FBD8}"/>
    <cellStyle name="20% - Accent4 4" xfId="32" xr:uid="{00000000-0005-0000-0000-00005A020000}"/>
    <cellStyle name="20% - Accent4 4 10" xfId="18091" xr:uid="{4D7D2966-F386-4E28-8EA2-D2C9B0F2BC6E}"/>
    <cellStyle name="20% - Accent4 4 11" xfId="26538" xr:uid="{21C1FDF7-E9C5-4F8D-AC85-1A99A5E331F2}"/>
    <cellStyle name="20% - Accent4 4 2" xfId="601" xr:uid="{00000000-0005-0000-0000-00005B020000}"/>
    <cellStyle name="20% - Accent4 4 2 2" xfId="2872" xr:uid="{00000000-0005-0000-0000-00005C020000}"/>
    <cellStyle name="20% - Accent4 4 2 2 2" xfId="7094" xr:uid="{00000000-0005-0000-0000-00005D020000}"/>
    <cellStyle name="20% - Accent4 4 2 2 2 2" xfId="16420" xr:uid="{34D84DFF-67E9-4FE4-8C5E-B8FEAB0C588D}"/>
    <cellStyle name="20% - Accent4 4 2 2 2 3" xfId="24867" xr:uid="{598A5985-591A-4807-AEBD-64C6E0C6F20A}"/>
    <cellStyle name="20% - Accent4 4 2 2 2 4" xfId="33314" xr:uid="{976BA434-11E3-4C81-AC7A-A6244DEF6614}"/>
    <cellStyle name="20% - Accent4 4 2 2 3" xfId="12203" xr:uid="{ACD30AFC-7970-4556-A161-496EEE82720F}"/>
    <cellStyle name="20% - Accent4 4 2 2 4" xfId="20650" xr:uid="{EFFA9426-B2F6-493A-A94A-DD6729C9BCA5}"/>
    <cellStyle name="20% - Accent4 4 2 2 5" xfId="29097" xr:uid="{4D372077-0A8E-4053-A984-683050E4782B}"/>
    <cellStyle name="20% - Accent4 4 2 3" xfId="4949" xr:uid="{00000000-0005-0000-0000-00005E020000}"/>
    <cellStyle name="20% - Accent4 4 2 3 2" xfId="14275" xr:uid="{945F746A-3456-4E01-825C-FC0BB26CF008}"/>
    <cellStyle name="20% - Accent4 4 2 3 3" xfId="22722" xr:uid="{DA88DC87-DF31-4355-8694-A9B31446DE07}"/>
    <cellStyle name="20% - Accent4 4 2 3 4" xfId="31169" xr:uid="{B6A44CC4-B837-44BF-A1F9-7125A3665A68}"/>
    <cellStyle name="20% - Accent4 4 2 4" xfId="9378" xr:uid="{761B3D4A-2751-4646-8A50-05A0DD408525}"/>
    <cellStyle name="20% - Accent4 4 2 5" xfId="10058" xr:uid="{30F4E969-6D05-4516-88FB-7A6920CFC8BE}"/>
    <cellStyle name="20% - Accent4 4 2 6" xfId="18505" xr:uid="{7A8E8894-6553-45E2-AF6E-07C6B80E0D81}"/>
    <cellStyle name="20% - Accent4 4 2 7" xfId="26952" xr:uid="{78A57D12-14B0-491B-A334-49CA0A02E419}"/>
    <cellStyle name="20% - Accent4 4 3" xfId="1054" xr:uid="{00000000-0005-0000-0000-00005F020000}"/>
    <cellStyle name="20% - Accent4 4 3 2" xfId="3285" xr:uid="{00000000-0005-0000-0000-000060020000}"/>
    <cellStyle name="20% - Accent4 4 3 2 2" xfId="7507" xr:uid="{00000000-0005-0000-0000-000061020000}"/>
    <cellStyle name="20% - Accent4 4 3 2 2 2" xfId="16833" xr:uid="{B32F8F97-4F11-4D7A-9D1F-CDAAC7A21A6F}"/>
    <cellStyle name="20% - Accent4 4 3 2 2 3" xfId="25280" xr:uid="{C48A56FF-670A-44C4-8977-7A2510DFBA59}"/>
    <cellStyle name="20% - Accent4 4 3 2 2 4" xfId="33727" xr:uid="{2E9FE3D0-E595-404A-BDC4-8D85B531ACDC}"/>
    <cellStyle name="20% - Accent4 4 3 2 3" xfId="12616" xr:uid="{B2A9C063-BEF0-40FA-8613-D094F3E01B34}"/>
    <cellStyle name="20% - Accent4 4 3 2 4" xfId="21063" xr:uid="{65902098-D1D3-4710-8027-F05BF86726C3}"/>
    <cellStyle name="20% - Accent4 4 3 2 5" xfId="29510" xr:uid="{A4A5A9BB-BDA2-4845-9FB6-6212DF6303C0}"/>
    <cellStyle name="20% - Accent4 4 3 3" xfId="5362" xr:uid="{00000000-0005-0000-0000-000062020000}"/>
    <cellStyle name="20% - Accent4 4 3 3 2" xfId="14688" xr:uid="{C3738E33-6D8C-41EE-B7A9-6921D87995EE}"/>
    <cellStyle name="20% - Accent4 4 3 3 3" xfId="23135" xr:uid="{CC1A7BED-C9DF-45B3-A016-34DC1B530B4D}"/>
    <cellStyle name="20% - Accent4 4 3 3 4" xfId="31582" xr:uid="{3FC0149D-6052-4196-B08C-E975C26C270E}"/>
    <cellStyle name="20% - Accent4 4 3 4" xfId="10471" xr:uid="{4CACB794-38B5-4058-B48C-24E3D5871543}"/>
    <cellStyle name="20% - Accent4 4 3 5" xfId="18918" xr:uid="{D8420103-5080-4CFC-9467-244FDABB5313}"/>
    <cellStyle name="20% - Accent4 4 3 6" xfId="27365" xr:uid="{575A5371-F7AA-494A-B28C-5C6EA2F264B5}"/>
    <cellStyle name="20% - Accent4 4 4" xfId="1468" xr:uid="{00000000-0005-0000-0000-000063020000}"/>
    <cellStyle name="20% - Accent4 4 4 2" xfId="3698" xr:uid="{00000000-0005-0000-0000-000064020000}"/>
    <cellStyle name="20% - Accent4 4 4 2 2" xfId="7920" xr:uid="{00000000-0005-0000-0000-000065020000}"/>
    <cellStyle name="20% - Accent4 4 4 2 2 2" xfId="17246" xr:uid="{BE6B8B43-8945-4462-80FB-5B1B3F42F040}"/>
    <cellStyle name="20% - Accent4 4 4 2 2 3" xfId="25693" xr:uid="{88C502CD-E55B-49DB-8503-F778FE9C5C04}"/>
    <cellStyle name="20% - Accent4 4 4 2 2 4" xfId="34140" xr:uid="{41C1C156-9A19-4D7D-9D6E-A36B6DD834CC}"/>
    <cellStyle name="20% - Accent4 4 4 2 3" xfId="13029" xr:uid="{05A778C6-0F7F-4B0C-8DFB-A5393E37BC8B}"/>
    <cellStyle name="20% - Accent4 4 4 2 4" xfId="21476" xr:uid="{BDB31A09-20C4-4F3A-A7FE-644329D604E2}"/>
    <cellStyle name="20% - Accent4 4 4 2 5" xfId="29923" xr:uid="{E9C77081-3A50-4BB6-B007-6DEF57C14C4C}"/>
    <cellStyle name="20% - Accent4 4 4 3" xfId="5775" xr:uid="{00000000-0005-0000-0000-000066020000}"/>
    <cellStyle name="20% - Accent4 4 4 3 2" xfId="15101" xr:uid="{BFCF106E-21CD-47DF-B61E-0658CE01096C}"/>
    <cellStyle name="20% - Accent4 4 4 3 3" xfId="23548" xr:uid="{038B12C3-330C-44B5-9A74-C28BDB306F94}"/>
    <cellStyle name="20% - Accent4 4 4 3 4" xfId="31995" xr:uid="{3AE71D6D-021C-42EB-AE40-B4B32E2BD96C}"/>
    <cellStyle name="20% - Accent4 4 4 4" xfId="10884" xr:uid="{783EB8DC-0CE0-4AC9-AE3D-D2F3BCB28D91}"/>
    <cellStyle name="20% - Accent4 4 4 5" xfId="19331" xr:uid="{D7D4DFA9-3F62-44FC-BCEC-9F3F449B68C2}"/>
    <cellStyle name="20% - Accent4 4 4 6" xfId="27778" xr:uid="{BC90F138-455E-4335-9786-94C9C2B7DCD0}"/>
    <cellStyle name="20% - Accent4 4 5" xfId="1882" xr:uid="{00000000-0005-0000-0000-000067020000}"/>
    <cellStyle name="20% - Accent4 4 5 2" xfId="4111" xr:uid="{00000000-0005-0000-0000-000068020000}"/>
    <cellStyle name="20% - Accent4 4 5 2 2" xfId="8333" xr:uid="{00000000-0005-0000-0000-000069020000}"/>
    <cellStyle name="20% - Accent4 4 5 2 2 2" xfId="17659" xr:uid="{22E57250-D3CF-42D3-A2A8-6BEF5F2E21CC}"/>
    <cellStyle name="20% - Accent4 4 5 2 2 3" xfId="26106" xr:uid="{F22F2BBA-1C99-46A6-9B05-4F2FAC1946E3}"/>
    <cellStyle name="20% - Accent4 4 5 2 2 4" xfId="34553" xr:uid="{5434C47B-78F5-49C7-AD63-7953EF8D60DA}"/>
    <cellStyle name="20% - Accent4 4 5 2 3" xfId="13442" xr:uid="{F6B05F1D-B302-4A38-8C34-5AA33FF058CF}"/>
    <cellStyle name="20% - Accent4 4 5 2 4" xfId="21889" xr:uid="{24EBA567-477C-4CA6-93BF-C34CE34F1C73}"/>
    <cellStyle name="20% - Accent4 4 5 2 5" xfId="30336" xr:uid="{9ACD1235-5558-48F7-A2BF-277F90ADFBC3}"/>
    <cellStyle name="20% - Accent4 4 5 3" xfId="6188" xr:uid="{00000000-0005-0000-0000-00006A020000}"/>
    <cellStyle name="20% - Accent4 4 5 3 2" xfId="15514" xr:uid="{C2053DF2-D1EF-4F78-AE00-06CD09738F43}"/>
    <cellStyle name="20% - Accent4 4 5 3 3" xfId="23961" xr:uid="{759CBBA1-9B38-444F-A22A-9B34BCD734E4}"/>
    <cellStyle name="20% - Accent4 4 5 3 4" xfId="32408" xr:uid="{F5ADA381-59CB-4ABB-9EAA-DA0F75F48CF2}"/>
    <cellStyle name="20% - Accent4 4 5 4" xfId="11297" xr:uid="{F7C753D9-6B70-4FB9-AB02-001EF0B59957}"/>
    <cellStyle name="20% - Accent4 4 5 5" xfId="19744" xr:uid="{A57ADD17-DA26-487C-B07A-2567EDA07482}"/>
    <cellStyle name="20% - Accent4 4 5 6" xfId="28191" xr:uid="{7EF316D1-DCBF-4159-8A3C-A88510E826D1}"/>
    <cellStyle name="20% - Accent4 4 6" xfId="2295" xr:uid="{00000000-0005-0000-0000-00006B020000}"/>
    <cellStyle name="20% - Accent4 4 6 2" xfId="6601" xr:uid="{00000000-0005-0000-0000-00006C020000}"/>
    <cellStyle name="20% - Accent4 4 6 2 2" xfId="15927" xr:uid="{0C6392FE-AFB8-4D38-8D5B-8A14B42E2C1E}"/>
    <cellStyle name="20% - Accent4 4 6 2 3" xfId="24374" xr:uid="{35D08F1D-AF26-4236-9EBF-2326DEBB7679}"/>
    <cellStyle name="20% - Accent4 4 6 2 4" xfId="32821" xr:uid="{9C9B2844-87D6-4EC5-8471-FFFB7E00A23D}"/>
    <cellStyle name="20% - Accent4 4 6 3" xfId="11710" xr:uid="{01228432-8B29-4D76-BE82-90512D51342F}"/>
    <cellStyle name="20% - Accent4 4 6 4" xfId="20157" xr:uid="{53DDBBFC-0168-4BE0-AD84-B8696C227D83}"/>
    <cellStyle name="20% - Accent4 4 6 5" xfId="28604" xr:uid="{7FB1B7A1-DC13-4506-9B1F-DB54E9220626}"/>
    <cellStyle name="20% - Accent4 4 7" xfId="4535" xr:uid="{00000000-0005-0000-0000-00006D020000}"/>
    <cellStyle name="20% - Accent4 4 7 2" xfId="13861" xr:uid="{930B4619-E075-4A7F-B4E6-AAF5BF9DB7C7}"/>
    <cellStyle name="20% - Accent4 4 7 3" xfId="22308" xr:uid="{18D93B19-69FB-4BC9-8485-A743901EC063}"/>
    <cellStyle name="20% - Accent4 4 7 4" xfId="30755" xr:uid="{A5541569-E4E3-4F02-987E-7C41ECCD8F0C}"/>
    <cellStyle name="20% - Accent4 4 8" xfId="8953" xr:uid="{66D1590A-BB3A-4B79-BA94-169F97E79370}"/>
    <cellStyle name="20% - Accent4 4 9" xfId="9644" xr:uid="{91DFADB4-5C01-43D9-A778-F7F9B2690CFA}"/>
    <cellStyle name="20% - Accent4 5" xfId="594" xr:uid="{00000000-0005-0000-0000-00006E020000}"/>
    <cellStyle name="20% - Accent4 5 2" xfId="2865" xr:uid="{00000000-0005-0000-0000-00006F020000}"/>
    <cellStyle name="20% - Accent4 5 2 2" xfId="7087" xr:uid="{00000000-0005-0000-0000-000070020000}"/>
    <cellStyle name="20% - Accent4 5 2 2 2" xfId="16413" xr:uid="{90B926BD-BE2E-4FD5-B970-72CEE21BEBF8}"/>
    <cellStyle name="20% - Accent4 5 2 2 3" xfId="24860" xr:uid="{F8CC1545-7F60-4CE2-969F-7E0E33E185E8}"/>
    <cellStyle name="20% - Accent4 5 2 2 4" xfId="33307" xr:uid="{6CA50588-3DC8-491A-94E5-1F392210ED5B}"/>
    <cellStyle name="20% - Accent4 5 2 3" xfId="12196" xr:uid="{E15652C3-1BF7-451B-AFE0-50BDC10F01B1}"/>
    <cellStyle name="20% - Accent4 5 2 4" xfId="20643" xr:uid="{0E40A58E-1929-4C25-A454-4E820706C490}"/>
    <cellStyle name="20% - Accent4 5 2 5" xfId="29090" xr:uid="{1DC07367-D0F8-413B-86B5-43A33E59E359}"/>
    <cellStyle name="20% - Accent4 5 3" xfId="4942" xr:uid="{00000000-0005-0000-0000-000071020000}"/>
    <cellStyle name="20% - Accent4 5 3 2" xfId="14268" xr:uid="{E1ACF632-D4DD-4A0A-865A-AE2513414F96}"/>
    <cellStyle name="20% - Accent4 5 3 3" xfId="22715" xr:uid="{236894AC-F85B-44C9-BBD4-8CB142A5FE04}"/>
    <cellStyle name="20% - Accent4 5 3 4" xfId="31162" xr:uid="{FCA02E67-1703-4835-B2A4-6411584FB89B}"/>
    <cellStyle name="20% - Accent4 5 4" xfId="9186" xr:uid="{E62ED282-F767-404B-ADA1-4F8E5B4D01EB}"/>
    <cellStyle name="20% - Accent4 5 5" xfId="10051" xr:uid="{D5B8AA6B-DA27-4F28-8132-D3B441A9E97C}"/>
    <cellStyle name="20% - Accent4 5 6" xfId="18498" xr:uid="{825CFA37-7B52-486E-9917-E581160AEF5E}"/>
    <cellStyle name="20% - Accent4 5 7" xfId="26945" xr:uid="{1E996169-BF1D-4D10-88C4-78E89D652520}"/>
    <cellStyle name="20% - Accent4 6" xfId="1047" xr:uid="{00000000-0005-0000-0000-000072020000}"/>
    <cellStyle name="20% - Accent4 6 2" xfId="3278" xr:uid="{00000000-0005-0000-0000-000073020000}"/>
    <cellStyle name="20% - Accent4 6 2 2" xfId="7500" xr:uid="{00000000-0005-0000-0000-000074020000}"/>
    <cellStyle name="20% - Accent4 6 2 2 2" xfId="16826" xr:uid="{8C6E4B34-0113-48F6-A48F-8482503DD4CD}"/>
    <cellStyle name="20% - Accent4 6 2 2 3" xfId="25273" xr:uid="{31B7E81C-E299-4818-BF31-54FD66C1DF30}"/>
    <cellStyle name="20% - Accent4 6 2 2 4" xfId="33720" xr:uid="{57DEFC29-6D23-4D71-A097-385D1A3B4367}"/>
    <cellStyle name="20% - Accent4 6 2 3" xfId="12609" xr:uid="{5B48D366-B0AE-426A-939D-33FC85A2A029}"/>
    <cellStyle name="20% - Accent4 6 2 4" xfId="21056" xr:uid="{214E0C1B-ED26-47A2-A017-974A09B4A50A}"/>
    <cellStyle name="20% - Accent4 6 2 5" xfId="29503" xr:uid="{E95AEBA3-3790-43C4-842F-C84819B0ECBF}"/>
    <cellStyle name="20% - Accent4 6 3" xfId="5355" xr:uid="{00000000-0005-0000-0000-000075020000}"/>
    <cellStyle name="20% - Accent4 6 3 2" xfId="14681" xr:uid="{33D127FF-BAAC-442B-977D-0788A797764F}"/>
    <cellStyle name="20% - Accent4 6 3 3" xfId="23128" xr:uid="{E1438101-6BCE-4978-B4A9-171520CD8C08}"/>
    <cellStyle name="20% - Accent4 6 3 4" xfId="31575" xr:uid="{A3814C09-5A93-4BC2-8130-6CC5FBD4B850}"/>
    <cellStyle name="20% - Accent4 6 4" xfId="10464" xr:uid="{8A60B240-2557-4A5F-B0D2-ADD50CBC53AA}"/>
    <cellStyle name="20% - Accent4 6 5" xfId="18911" xr:uid="{4A8C4A73-B07F-4822-9223-0E3AA4636D2F}"/>
    <cellStyle name="20% - Accent4 6 6" xfId="27358" xr:uid="{40113D55-4D4E-4564-9BA2-4F412CCD798C}"/>
    <cellStyle name="20% - Accent4 7" xfId="1461" xr:uid="{00000000-0005-0000-0000-000076020000}"/>
    <cellStyle name="20% - Accent4 7 2" xfId="3691" xr:uid="{00000000-0005-0000-0000-000077020000}"/>
    <cellStyle name="20% - Accent4 7 2 2" xfId="7913" xr:uid="{00000000-0005-0000-0000-000078020000}"/>
    <cellStyle name="20% - Accent4 7 2 2 2" xfId="17239" xr:uid="{AD2D8754-038D-4231-9C68-F6BAB0AE2489}"/>
    <cellStyle name="20% - Accent4 7 2 2 3" xfId="25686" xr:uid="{D27B297F-AB9A-4C2D-A5A0-E4B11898AAEA}"/>
    <cellStyle name="20% - Accent4 7 2 2 4" xfId="34133" xr:uid="{C76A9840-2957-4B07-A785-EAB617212600}"/>
    <cellStyle name="20% - Accent4 7 2 3" xfId="13022" xr:uid="{98E7D9D3-32A5-42DB-9272-05C3CC962DC7}"/>
    <cellStyle name="20% - Accent4 7 2 4" xfId="21469" xr:uid="{51DCAB47-4D47-4CA7-86E7-A01DEBC188B6}"/>
    <cellStyle name="20% - Accent4 7 2 5" xfId="29916" xr:uid="{E44223AF-43A4-44D4-95D2-4052315AF4EA}"/>
    <cellStyle name="20% - Accent4 7 3" xfId="5768" xr:uid="{00000000-0005-0000-0000-000079020000}"/>
    <cellStyle name="20% - Accent4 7 3 2" xfId="15094" xr:uid="{9CD1FFDD-7F8F-4360-BEE3-37058D6009DC}"/>
    <cellStyle name="20% - Accent4 7 3 3" xfId="23541" xr:uid="{AB2F07B6-A640-4679-B504-CBEF9D19CBD0}"/>
    <cellStyle name="20% - Accent4 7 3 4" xfId="31988" xr:uid="{58FB942C-75FC-4E54-AB2C-76201EA3B250}"/>
    <cellStyle name="20% - Accent4 7 4" xfId="10877" xr:uid="{12E479BF-4BC8-493E-8982-A44ADFBFAB9E}"/>
    <cellStyle name="20% - Accent4 7 5" xfId="19324" xr:uid="{3F270575-96F5-4F95-8E79-A152B0BDFEA7}"/>
    <cellStyle name="20% - Accent4 7 6" xfId="27771" xr:uid="{E6FD4176-56BF-4E29-A0FA-3C9E736A4BCB}"/>
    <cellStyle name="20% - Accent4 8" xfId="1875" xr:uid="{00000000-0005-0000-0000-00007A020000}"/>
    <cellStyle name="20% - Accent4 8 2" xfId="4104" xr:uid="{00000000-0005-0000-0000-00007B020000}"/>
    <cellStyle name="20% - Accent4 8 2 2" xfId="8326" xr:uid="{00000000-0005-0000-0000-00007C020000}"/>
    <cellStyle name="20% - Accent4 8 2 2 2" xfId="17652" xr:uid="{A0F96D88-290F-4500-A1C0-80D9E6141D83}"/>
    <cellStyle name="20% - Accent4 8 2 2 3" xfId="26099" xr:uid="{FD4DFEDB-0CC4-4839-9A9C-42AC1DDA0DC1}"/>
    <cellStyle name="20% - Accent4 8 2 2 4" xfId="34546" xr:uid="{C74DD0EC-9AF6-4D9A-9C2C-5156A8A7481C}"/>
    <cellStyle name="20% - Accent4 8 2 3" xfId="13435" xr:uid="{109FFC3E-A0C3-4586-BBAE-FD83D60B55E8}"/>
    <cellStyle name="20% - Accent4 8 2 4" xfId="21882" xr:uid="{E765D90F-923C-467D-ACF5-545577647A41}"/>
    <cellStyle name="20% - Accent4 8 2 5" xfId="30329" xr:uid="{31C72EBB-D078-4A21-8813-54BA243493A8}"/>
    <cellStyle name="20% - Accent4 8 3" xfId="6181" xr:uid="{00000000-0005-0000-0000-00007D020000}"/>
    <cellStyle name="20% - Accent4 8 3 2" xfId="15507" xr:uid="{6400B21B-7FC4-4DAD-BE3E-43AC789C4322}"/>
    <cellStyle name="20% - Accent4 8 3 3" xfId="23954" xr:uid="{53A8F7E7-779E-4BBD-BF04-B5CD6BDE48F0}"/>
    <cellStyle name="20% - Accent4 8 3 4" xfId="32401" xr:uid="{C5DCE81E-1A87-4F50-B567-7A231C22BE67}"/>
    <cellStyle name="20% - Accent4 8 4" xfId="11290" xr:uid="{E75FB889-4284-4815-B083-743C4B62411B}"/>
    <cellStyle name="20% - Accent4 8 5" xfId="19737" xr:uid="{8F7B502D-BEF5-4E30-A76C-7676302D063C}"/>
    <cellStyle name="20% - Accent4 8 6" xfId="28184" xr:uid="{CA22305E-9C02-4DEA-8587-5EA96CDBE55F}"/>
    <cellStyle name="20% - Accent4 9" xfId="2288" xr:uid="{00000000-0005-0000-0000-00007E020000}"/>
    <cellStyle name="20% - Accent4 9 2" xfId="6594" xr:uid="{00000000-0005-0000-0000-00007F020000}"/>
    <cellStyle name="20% - Accent4 9 2 2" xfId="15920" xr:uid="{3C600C11-1D05-491F-AA3E-39068CBB61BE}"/>
    <cellStyle name="20% - Accent4 9 2 3" xfId="24367" xr:uid="{3562E08A-6EEE-4A75-A666-D90A08EDD837}"/>
    <cellStyle name="20% - Accent4 9 2 4" xfId="32814" xr:uid="{9E2BC1B1-E2BC-4289-A775-A10EA8BAB4D3}"/>
    <cellStyle name="20% - Accent4 9 3" xfId="11703" xr:uid="{543EFCC9-1DF3-42C0-A356-106AB901A600}"/>
    <cellStyle name="20% - Accent4 9 4" xfId="20150" xr:uid="{0F4088E8-3029-43BC-B3CF-825A3B7523EB}"/>
    <cellStyle name="20% - Accent4 9 5" xfId="28597" xr:uid="{B6E9219A-C69D-4B59-A0E3-C78B3FC03AD7}"/>
    <cellStyle name="20% - Accent5" xfId="33" builtinId="46" customBuiltin="1"/>
    <cellStyle name="20% - Accent5 10" xfId="4536" xr:uid="{00000000-0005-0000-0000-000081020000}"/>
    <cellStyle name="20% - Accent5 10 2" xfId="13862" xr:uid="{F48FDB78-3CDC-47F4-8264-4A7A1399E52D}"/>
    <cellStyle name="20% - Accent5 10 3" xfId="22309" xr:uid="{B1D37773-5B89-4039-9257-CFA00C1914B0}"/>
    <cellStyle name="20% - Accent5 10 4" xfId="30756" xr:uid="{7819633D-A7E2-46DB-B6C1-C779F8351C50}"/>
    <cellStyle name="20% - Accent5 11" xfId="8766" xr:uid="{A87C980D-48BC-4AA3-98F7-53B2F02F228C}"/>
    <cellStyle name="20% - Accent5 12" xfId="9645" xr:uid="{8AE5D34F-8AF5-488E-A3A6-33DD0BBDB3E7}"/>
    <cellStyle name="20% - Accent5 13" xfId="18092" xr:uid="{B3C73529-6F67-44AA-8A07-16AD41DA45BD}"/>
    <cellStyle name="20% - Accent5 14" xfId="26539" xr:uid="{43342505-3B71-4E78-89E3-C30BDA8B69BC}"/>
    <cellStyle name="20% - Accent5 2" xfId="34" xr:uid="{00000000-0005-0000-0000-000082020000}"/>
    <cellStyle name="20% - Accent5 2 10" xfId="8796" xr:uid="{5BBF4372-A7B1-47A0-AC3D-4A60EDC1A5F8}"/>
    <cellStyle name="20% - Accent5 2 11" xfId="9646" xr:uid="{50BD52F6-CB77-485E-B584-E51D05D7717C}"/>
    <cellStyle name="20% - Accent5 2 12" xfId="18093" xr:uid="{EEC6AADE-522D-42D9-9BF2-146AD1D9305B}"/>
    <cellStyle name="20% - Accent5 2 13" xfId="26540" xr:uid="{F76813B2-6D68-4E19-BBAE-56FB375E8455}"/>
    <cellStyle name="20% - Accent5 2 2" xfId="35" xr:uid="{00000000-0005-0000-0000-000083020000}"/>
    <cellStyle name="20% - Accent5 2 2 10" xfId="9647" xr:uid="{5BEEE2FE-B4C1-4CF4-A8CD-2854F558C9B9}"/>
    <cellStyle name="20% - Accent5 2 2 11" xfId="18094" xr:uid="{5F0FEF0C-5BC1-492C-9962-4248A18D67A8}"/>
    <cellStyle name="20% - Accent5 2 2 12" xfId="26541" xr:uid="{5083C30E-B9A4-4C4A-9A8F-F1F9F89874AB}"/>
    <cellStyle name="20% - Accent5 2 2 2" xfId="36" xr:uid="{00000000-0005-0000-0000-000084020000}"/>
    <cellStyle name="20% - Accent5 2 2 2 10" xfId="18095" xr:uid="{84220405-7C5E-4A1C-8E41-1E5FBE2EF676}"/>
    <cellStyle name="20% - Accent5 2 2 2 11" xfId="26542" xr:uid="{4B0C9A88-B79F-4BF1-B8CA-4E9F0AF9ED2B}"/>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16424" xr:uid="{E13DA7F8-05D2-4E68-9E19-0BC9CD5E55AA}"/>
    <cellStyle name="20% - Accent5 2 2 2 2 2 2 3" xfId="24871" xr:uid="{FC113559-4628-4462-B745-796CE283D774}"/>
    <cellStyle name="20% - Accent5 2 2 2 2 2 2 4" xfId="33318" xr:uid="{7F30D984-4AAA-4395-AF41-751B224228A7}"/>
    <cellStyle name="20% - Accent5 2 2 2 2 2 3" xfId="12207" xr:uid="{CF43E61F-FE48-4F28-AD00-C8368A7503AD}"/>
    <cellStyle name="20% - Accent5 2 2 2 2 2 4" xfId="20654" xr:uid="{E1F23776-FA83-4D37-B16B-0919727BCFA2}"/>
    <cellStyle name="20% - Accent5 2 2 2 2 2 5" xfId="29101" xr:uid="{F2C3F7D8-B433-4AE1-BF81-4D448EE2DF71}"/>
    <cellStyle name="20% - Accent5 2 2 2 2 3" xfId="4953" xr:uid="{00000000-0005-0000-0000-000088020000}"/>
    <cellStyle name="20% - Accent5 2 2 2 2 3 2" xfId="14279" xr:uid="{99D582E4-57D1-4EDB-A009-6ED61361EEAB}"/>
    <cellStyle name="20% - Accent5 2 2 2 2 3 3" xfId="22726" xr:uid="{4EF6D5C1-B776-4949-BDD1-1DE2F0EA3ED2}"/>
    <cellStyle name="20% - Accent5 2 2 2 2 3 4" xfId="31173" xr:uid="{FD734751-D832-442A-8840-7F0C239FC7B6}"/>
    <cellStyle name="20% - Accent5 2 2 2 2 4" xfId="9531" xr:uid="{5DC5F027-F767-49FB-B9DE-2ACABCF8AC5A}"/>
    <cellStyle name="20% - Accent5 2 2 2 2 5" xfId="10062" xr:uid="{02CAB5B7-FC41-4478-9054-25AF91AEA3E3}"/>
    <cellStyle name="20% - Accent5 2 2 2 2 6" xfId="18509" xr:uid="{7595FEFA-A9AE-47DB-AE46-7D7849A262C4}"/>
    <cellStyle name="20% - Accent5 2 2 2 2 7" xfId="26956" xr:uid="{5FBB3292-2359-4AFC-8CCD-5FAA325D0FAD}"/>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16837" xr:uid="{2EA54FE6-F308-4306-AF18-A154B10069E9}"/>
    <cellStyle name="20% - Accent5 2 2 2 3 2 2 3" xfId="25284" xr:uid="{12959690-C844-415B-94A2-091672706D39}"/>
    <cellStyle name="20% - Accent5 2 2 2 3 2 2 4" xfId="33731" xr:uid="{72F17877-9A7E-4E90-8EA4-E9EDC4400BB2}"/>
    <cellStyle name="20% - Accent5 2 2 2 3 2 3" xfId="12620" xr:uid="{7E6D711C-6F9B-4555-8958-9EBAC5FE67D0}"/>
    <cellStyle name="20% - Accent5 2 2 2 3 2 4" xfId="21067" xr:uid="{F032045F-F936-4E58-929E-1C7D845D666C}"/>
    <cellStyle name="20% - Accent5 2 2 2 3 2 5" xfId="29514" xr:uid="{DAE563B0-2E7E-4F0D-82C9-96731F7DB74D}"/>
    <cellStyle name="20% - Accent5 2 2 2 3 3" xfId="5366" xr:uid="{00000000-0005-0000-0000-00008C020000}"/>
    <cellStyle name="20% - Accent5 2 2 2 3 3 2" xfId="14692" xr:uid="{4DA6D727-5419-4A85-8C70-C18D5EEE574A}"/>
    <cellStyle name="20% - Accent5 2 2 2 3 3 3" xfId="23139" xr:uid="{C96C98EC-036A-4EBD-B60C-64898ABB546E}"/>
    <cellStyle name="20% - Accent5 2 2 2 3 3 4" xfId="31586" xr:uid="{2ADC5403-449B-4C3A-B909-37C2E772D246}"/>
    <cellStyle name="20% - Accent5 2 2 2 3 4" xfId="10475" xr:uid="{34AB65DE-C688-4F00-8EAE-D9BB194D1192}"/>
    <cellStyle name="20% - Accent5 2 2 2 3 5" xfId="18922" xr:uid="{1659FF4D-D28D-4A7C-B7DA-47A910DA403F}"/>
    <cellStyle name="20% - Accent5 2 2 2 3 6" xfId="27369" xr:uid="{F870C122-F9DA-4D2E-8429-4CAC17A5397B}"/>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17250" xr:uid="{419CE3BD-3A89-4E2E-917F-D0602AA1F5A7}"/>
    <cellStyle name="20% - Accent5 2 2 2 4 2 2 3" xfId="25697" xr:uid="{EE3F3FE9-5B67-462E-B836-6B8614EA1F51}"/>
    <cellStyle name="20% - Accent5 2 2 2 4 2 2 4" xfId="34144" xr:uid="{D848ED60-31B6-473C-9C67-9AFDF5E27226}"/>
    <cellStyle name="20% - Accent5 2 2 2 4 2 3" xfId="13033" xr:uid="{5D39D62B-1B1D-4437-998D-E0BDEFA93F42}"/>
    <cellStyle name="20% - Accent5 2 2 2 4 2 4" xfId="21480" xr:uid="{063EC8CC-3D36-4032-B313-154ACEF3D02D}"/>
    <cellStyle name="20% - Accent5 2 2 2 4 2 5" xfId="29927" xr:uid="{5C1B4C0A-3FC8-41C6-A715-255C35421984}"/>
    <cellStyle name="20% - Accent5 2 2 2 4 3" xfId="5779" xr:uid="{00000000-0005-0000-0000-000090020000}"/>
    <cellStyle name="20% - Accent5 2 2 2 4 3 2" xfId="15105" xr:uid="{94A8E0C9-1A02-4396-8F58-CC8BC5CA8047}"/>
    <cellStyle name="20% - Accent5 2 2 2 4 3 3" xfId="23552" xr:uid="{E2591DF3-A024-4ACC-B0BC-A1D7DAF8D0CE}"/>
    <cellStyle name="20% - Accent5 2 2 2 4 3 4" xfId="31999" xr:uid="{8A1EB39A-AED0-4429-BDC6-C101A59FD024}"/>
    <cellStyle name="20% - Accent5 2 2 2 4 4" xfId="10888" xr:uid="{49461685-6BE9-46BF-A7E2-970AB9014ED4}"/>
    <cellStyle name="20% - Accent5 2 2 2 4 5" xfId="19335" xr:uid="{098F55EC-4C26-428B-810E-66497B5D17F5}"/>
    <cellStyle name="20% - Accent5 2 2 2 4 6" xfId="27782" xr:uid="{72065148-5B2A-4E35-B3A4-9BA02DC7D8E7}"/>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17663" xr:uid="{75315FE5-A5F5-4F38-9AAD-ADDD375568B4}"/>
    <cellStyle name="20% - Accent5 2 2 2 5 2 2 3" xfId="26110" xr:uid="{DB93AE50-6EA4-4F76-874B-F484F1F22DE0}"/>
    <cellStyle name="20% - Accent5 2 2 2 5 2 2 4" xfId="34557" xr:uid="{9C17756F-B727-44A0-A2A8-6F51D94734A8}"/>
    <cellStyle name="20% - Accent5 2 2 2 5 2 3" xfId="13446" xr:uid="{E15A29F4-676C-4033-9A41-93E0BEE3B2EA}"/>
    <cellStyle name="20% - Accent5 2 2 2 5 2 4" xfId="21893" xr:uid="{94EF9CE6-FE14-4FDC-839B-A0E2DA628AF0}"/>
    <cellStyle name="20% - Accent5 2 2 2 5 2 5" xfId="30340" xr:uid="{9DB1B2DD-C9FB-44B9-A1CF-A3BABBA92E11}"/>
    <cellStyle name="20% - Accent5 2 2 2 5 3" xfId="6192" xr:uid="{00000000-0005-0000-0000-000094020000}"/>
    <cellStyle name="20% - Accent5 2 2 2 5 3 2" xfId="15518" xr:uid="{7292783B-AD35-4B91-938D-A60532534EB0}"/>
    <cellStyle name="20% - Accent5 2 2 2 5 3 3" xfId="23965" xr:uid="{6EA3AB0A-CA0D-4ACA-A254-D10F40EB1F5A}"/>
    <cellStyle name="20% - Accent5 2 2 2 5 3 4" xfId="32412" xr:uid="{5EC4D1A8-3F26-4889-BA06-1B7BA34A0494}"/>
    <cellStyle name="20% - Accent5 2 2 2 5 4" xfId="11301" xr:uid="{E80B4443-8223-4D48-95E6-38344D06FFC3}"/>
    <cellStyle name="20% - Accent5 2 2 2 5 5" xfId="19748" xr:uid="{D5C4D2EC-1C58-4C43-BC48-8681A330D5A1}"/>
    <cellStyle name="20% - Accent5 2 2 2 5 6" xfId="28195" xr:uid="{CECD2E51-0967-4CAC-BC89-D0ED6A07FFB8}"/>
    <cellStyle name="20% - Accent5 2 2 2 6" xfId="2299" xr:uid="{00000000-0005-0000-0000-000095020000}"/>
    <cellStyle name="20% - Accent5 2 2 2 6 2" xfId="6605" xr:uid="{00000000-0005-0000-0000-000096020000}"/>
    <cellStyle name="20% - Accent5 2 2 2 6 2 2" xfId="15931" xr:uid="{137F9BB5-31C4-4282-97F8-B2703C5F6148}"/>
    <cellStyle name="20% - Accent5 2 2 2 6 2 3" xfId="24378" xr:uid="{49DF2AE6-A612-4C86-8F4C-6F02BD1298D0}"/>
    <cellStyle name="20% - Accent5 2 2 2 6 2 4" xfId="32825" xr:uid="{67A68F95-79F8-4B95-95E8-08BF634887D6}"/>
    <cellStyle name="20% - Accent5 2 2 2 6 3" xfId="11714" xr:uid="{F19E31DF-3EBD-4E58-9DE7-C9B92A6E8614}"/>
    <cellStyle name="20% - Accent5 2 2 2 6 4" xfId="20161" xr:uid="{9C817E5D-8E29-4480-9B46-4F6C2BA576AF}"/>
    <cellStyle name="20% - Accent5 2 2 2 6 5" xfId="28608" xr:uid="{CB3C0414-7467-4192-857F-372834584E1C}"/>
    <cellStyle name="20% - Accent5 2 2 2 7" xfId="4539" xr:uid="{00000000-0005-0000-0000-000097020000}"/>
    <cellStyle name="20% - Accent5 2 2 2 7 2" xfId="13865" xr:uid="{751C8075-5759-4342-A973-D47426BB3764}"/>
    <cellStyle name="20% - Accent5 2 2 2 7 3" xfId="22312" xr:uid="{1CFE471E-E8A9-401E-BDAB-F6CB93EDD6A3}"/>
    <cellStyle name="20% - Accent5 2 2 2 7 4" xfId="30759" xr:uid="{C58A5611-CDFA-49FE-97DA-DCDA75254677}"/>
    <cellStyle name="20% - Accent5 2 2 2 8" xfId="9106" xr:uid="{E7B219CB-83A9-494A-83ED-783719A0F1D9}"/>
    <cellStyle name="20% - Accent5 2 2 2 9" xfId="9648" xr:uid="{879BE650-2483-4030-96BA-88745E1F66A9}"/>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16423" xr:uid="{FCC70A81-8052-4CCD-ACC9-1D9993AA831B}"/>
    <cellStyle name="20% - Accent5 2 2 3 2 2 3" xfId="24870" xr:uid="{641903C7-4A8C-4AA3-820B-C4C57FADDFAD}"/>
    <cellStyle name="20% - Accent5 2 2 3 2 2 4" xfId="33317" xr:uid="{33DEB659-2EFF-47BD-9A1C-3EA8D9DF9390}"/>
    <cellStyle name="20% - Accent5 2 2 3 2 3" xfId="12206" xr:uid="{A20F8FA2-760A-46B7-8AF6-82AA862A9CEC}"/>
    <cellStyle name="20% - Accent5 2 2 3 2 4" xfId="20653" xr:uid="{AC7EF143-773C-44DF-B4A5-EA072DC84D35}"/>
    <cellStyle name="20% - Accent5 2 2 3 2 5" xfId="29100" xr:uid="{10B73413-A9BF-460F-9ADA-29B929E5C468}"/>
    <cellStyle name="20% - Accent5 2 2 3 3" xfId="4952" xr:uid="{00000000-0005-0000-0000-00009B020000}"/>
    <cellStyle name="20% - Accent5 2 2 3 3 2" xfId="14278" xr:uid="{ECC33C9C-34A6-43D3-960D-D1CE6E931558}"/>
    <cellStyle name="20% - Accent5 2 2 3 3 3" xfId="22725" xr:uid="{4E488E5B-94AE-479E-B92E-61BC285BCF6D}"/>
    <cellStyle name="20% - Accent5 2 2 3 3 4" xfId="31172" xr:uid="{569D5FBC-1214-440B-83A0-A8801C997AE0}"/>
    <cellStyle name="20% - Accent5 2 2 3 4" xfId="9324" xr:uid="{6094FEE1-8E2A-466F-9CDF-43EB9EE581FF}"/>
    <cellStyle name="20% - Accent5 2 2 3 5" xfId="10061" xr:uid="{C23CE300-391A-4281-8D8E-1BB839D148F4}"/>
    <cellStyle name="20% - Accent5 2 2 3 6" xfId="18508" xr:uid="{670EE47B-B865-4E5A-AD84-6C596223CA1C}"/>
    <cellStyle name="20% - Accent5 2 2 3 7" xfId="26955" xr:uid="{6B1A971E-852A-4CD7-B2B2-E3EBBE617CFD}"/>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16836" xr:uid="{4FA6393F-C957-46C8-ADB1-F49F479BFB38}"/>
    <cellStyle name="20% - Accent5 2 2 4 2 2 3" xfId="25283" xr:uid="{A203E201-00FB-40D5-A176-D9B092BC0333}"/>
    <cellStyle name="20% - Accent5 2 2 4 2 2 4" xfId="33730" xr:uid="{B892A8B0-8CC0-4209-8F90-C7308BD5ABB5}"/>
    <cellStyle name="20% - Accent5 2 2 4 2 3" xfId="12619" xr:uid="{772AD3E8-0A99-4F3C-AE88-AF6EF1ED3F33}"/>
    <cellStyle name="20% - Accent5 2 2 4 2 4" xfId="21066" xr:uid="{AC02800D-296A-4E86-8E73-F1AD87353EE5}"/>
    <cellStyle name="20% - Accent5 2 2 4 2 5" xfId="29513" xr:uid="{CD72C16D-2623-47F5-BAD7-41D91B56D5F7}"/>
    <cellStyle name="20% - Accent5 2 2 4 3" xfId="5365" xr:uid="{00000000-0005-0000-0000-00009F020000}"/>
    <cellStyle name="20% - Accent5 2 2 4 3 2" xfId="14691" xr:uid="{F368D08F-E5A0-45EC-BFAC-3291837248DB}"/>
    <cellStyle name="20% - Accent5 2 2 4 3 3" xfId="23138" xr:uid="{405E0522-3695-4F6C-8233-6FC5D14688D2}"/>
    <cellStyle name="20% - Accent5 2 2 4 3 4" xfId="31585" xr:uid="{EEBA6ADD-9381-4A11-AEB9-0E9DABE66B6D}"/>
    <cellStyle name="20% - Accent5 2 2 4 4" xfId="10474" xr:uid="{D5592D16-EE4B-4956-A597-A6D5F4DB9047}"/>
    <cellStyle name="20% - Accent5 2 2 4 5" xfId="18921" xr:uid="{360B027D-F7DD-400D-8A38-529A036D5702}"/>
    <cellStyle name="20% - Accent5 2 2 4 6" xfId="27368" xr:uid="{DEE2146B-3EF3-4589-8E03-CAFEDF5A049F}"/>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17249" xr:uid="{4C8D1E4A-0341-40A1-AE3A-B8AC06FD08C8}"/>
    <cellStyle name="20% - Accent5 2 2 5 2 2 3" xfId="25696" xr:uid="{296FC5ED-B727-4556-BDC0-F15F19898CF8}"/>
    <cellStyle name="20% - Accent5 2 2 5 2 2 4" xfId="34143" xr:uid="{F17550DA-7547-4E6F-B965-A0C0AF065E6E}"/>
    <cellStyle name="20% - Accent5 2 2 5 2 3" xfId="13032" xr:uid="{34DD4820-920E-4083-848D-32A39C6A1EC9}"/>
    <cellStyle name="20% - Accent5 2 2 5 2 4" xfId="21479" xr:uid="{DDD8B075-F2C3-465A-8E4E-DFD0423B82D3}"/>
    <cellStyle name="20% - Accent5 2 2 5 2 5" xfId="29926" xr:uid="{D7E33A3D-3289-4699-89A7-688505A6E40F}"/>
    <cellStyle name="20% - Accent5 2 2 5 3" xfId="5778" xr:uid="{00000000-0005-0000-0000-0000A3020000}"/>
    <cellStyle name="20% - Accent5 2 2 5 3 2" xfId="15104" xr:uid="{61C92CEA-1F47-411D-8811-A5C7A26F2688}"/>
    <cellStyle name="20% - Accent5 2 2 5 3 3" xfId="23551" xr:uid="{1180AACA-04E2-459D-AC1B-154E9F36FF45}"/>
    <cellStyle name="20% - Accent5 2 2 5 3 4" xfId="31998" xr:uid="{C3B2832C-E89B-4A68-9F42-43FA7968635E}"/>
    <cellStyle name="20% - Accent5 2 2 5 4" xfId="10887" xr:uid="{2C60BBCE-0A58-4252-A680-9428FD202A0B}"/>
    <cellStyle name="20% - Accent5 2 2 5 5" xfId="19334" xr:uid="{F6FB740B-A997-4FE1-BDCA-A70C4EBA4080}"/>
    <cellStyle name="20% - Accent5 2 2 5 6" xfId="27781" xr:uid="{64C22089-ABB1-4C5D-B6BE-A538BC95E74B}"/>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17662" xr:uid="{F10E371B-9E60-410E-BD80-6B4326EE3583}"/>
    <cellStyle name="20% - Accent5 2 2 6 2 2 3" xfId="26109" xr:uid="{F72A172E-D1D2-4371-98E3-EEC56F1A8DFB}"/>
    <cellStyle name="20% - Accent5 2 2 6 2 2 4" xfId="34556" xr:uid="{7FB8C26E-F901-4F25-B8D2-E2110D12278C}"/>
    <cellStyle name="20% - Accent5 2 2 6 2 3" xfId="13445" xr:uid="{61AF8AA7-E2D8-4B6E-B2BC-B55A4F2D4BEB}"/>
    <cellStyle name="20% - Accent5 2 2 6 2 4" xfId="21892" xr:uid="{D83C8E40-63BE-46AA-9069-F2DC9B7D1B12}"/>
    <cellStyle name="20% - Accent5 2 2 6 2 5" xfId="30339" xr:uid="{D53B8F57-4AFB-4DB3-80C8-BF0123C0C796}"/>
    <cellStyle name="20% - Accent5 2 2 6 3" xfId="6191" xr:uid="{00000000-0005-0000-0000-0000A7020000}"/>
    <cellStyle name="20% - Accent5 2 2 6 3 2" xfId="15517" xr:uid="{2D2238EB-D164-426A-ADA9-7D3A9BF012EE}"/>
    <cellStyle name="20% - Accent5 2 2 6 3 3" xfId="23964" xr:uid="{F6F1AE84-0B06-4D51-AE7E-2A328B85D9F0}"/>
    <cellStyle name="20% - Accent5 2 2 6 3 4" xfId="32411" xr:uid="{C2FAD1C9-C360-460D-8681-D1465281E4C0}"/>
    <cellStyle name="20% - Accent5 2 2 6 4" xfId="11300" xr:uid="{238C3407-B715-4EE5-AA59-57ADE785715A}"/>
    <cellStyle name="20% - Accent5 2 2 6 5" xfId="19747" xr:uid="{C902C5F5-E902-4DEA-93F1-D1380FCBA891}"/>
    <cellStyle name="20% - Accent5 2 2 6 6" xfId="28194" xr:uid="{1663C402-978F-477C-AE43-AA511CAD38EC}"/>
    <cellStyle name="20% - Accent5 2 2 7" xfId="2298" xr:uid="{00000000-0005-0000-0000-0000A8020000}"/>
    <cellStyle name="20% - Accent5 2 2 7 2" xfId="6604" xr:uid="{00000000-0005-0000-0000-0000A9020000}"/>
    <cellStyle name="20% - Accent5 2 2 7 2 2" xfId="15930" xr:uid="{D9E98E9B-1BDC-4294-B7D4-E1190B8FFDCE}"/>
    <cellStyle name="20% - Accent5 2 2 7 2 3" xfId="24377" xr:uid="{3328DA3F-CA9C-42CC-AB3E-92C2C4A1AF69}"/>
    <cellStyle name="20% - Accent5 2 2 7 2 4" xfId="32824" xr:uid="{05F2F969-305F-4BBD-87ED-26EA2E920C27}"/>
    <cellStyle name="20% - Accent5 2 2 7 3" xfId="11713" xr:uid="{D463BACE-EE84-482B-9FC1-B8EA058B1CB8}"/>
    <cellStyle name="20% - Accent5 2 2 7 4" xfId="20160" xr:uid="{ED43A058-913A-41D7-B15B-1E1CBDEDA36D}"/>
    <cellStyle name="20% - Accent5 2 2 7 5" xfId="28607" xr:uid="{98CC025E-F265-4110-9EFB-686199237E13}"/>
    <cellStyle name="20% - Accent5 2 2 8" xfId="4538" xr:uid="{00000000-0005-0000-0000-0000AA020000}"/>
    <cellStyle name="20% - Accent5 2 2 8 2" xfId="13864" xr:uid="{3C932153-7D2F-4C85-ACB8-F78477BADD1E}"/>
    <cellStyle name="20% - Accent5 2 2 8 3" xfId="22311" xr:uid="{586924EF-2AC1-4F64-AA98-0C57DA3537FE}"/>
    <cellStyle name="20% - Accent5 2 2 8 4" xfId="30758" xr:uid="{F2EDA354-7F01-4F1F-BB34-200A9A00E669}"/>
    <cellStyle name="20% - Accent5 2 2 9" xfId="8899" xr:uid="{0E8F9EC8-D565-41C9-B716-FF597FFF35B9}"/>
    <cellStyle name="20% - Accent5 2 3" xfId="37" xr:uid="{00000000-0005-0000-0000-0000AB020000}"/>
    <cellStyle name="20% - Accent5 2 3 10" xfId="18096" xr:uid="{7E9CC9D3-31FB-4B4B-81DB-8FD6B11BAF60}"/>
    <cellStyle name="20% - Accent5 2 3 11" xfId="26543" xr:uid="{722E252E-47FC-4168-B2FB-50A842865A1E}"/>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16425" xr:uid="{B08B3E68-E28E-44AC-8538-FCFBED39F833}"/>
    <cellStyle name="20% - Accent5 2 3 2 2 2 3" xfId="24872" xr:uid="{CEF04820-0895-4CC1-9F79-176727CA0AF5}"/>
    <cellStyle name="20% - Accent5 2 3 2 2 2 4" xfId="33319" xr:uid="{CAA3A255-BBCE-4AAC-A5F8-134DB4C58AA8}"/>
    <cellStyle name="20% - Accent5 2 3 2 2 3" xfId="12208" xr:uid="{3337FA51-E152-4688-BE0E-465BA6BA269D}"/>
    <cellStyle name="20% - Accent5 2 3 2 2 4" xfId="20655" xr:uid="{4A67A39F-BD51-4AFD-9514-916012E3D98F}"/>
    <cellStyle name="20% - Accent5 2 3 2 2 5" xfId="29102" xr:uid="{F7F934E6-4AB9-4811-B00E-653AFE783569}"/>
    <cellStyle name="20% - Accent5 2 3 2 3" xfId="4954" xr:uid="{00000000-0005-0000-0000-0000AF020000}"/>
    <cellStyle name="20% - Accent5 2 3 2 3 2" xfId="14280" xr:uid="{C85E4C95-2C66-482B-9FED-FCD448E85398}"/>
    <cellStyle name="20% - Accent5 2 3 2 3 3" xfId="22727" xr:uid="{1DACA769-C38F-4EAC-9902-3D4AC92A4459}"/>
    <cellStyle name="20% - Accent5 2 3 2 3 4" xfId="31174" xr:uid="{4F5E2FA8-56AE-4795-857C-CC18483F2AF1}"/>
    <cellStyle name="20% - Accent5 2 3 2 4" xfId="9428" xr:uid="{B7820ACF-E1F3-4653-B5DD-FD829B169E84}"/>
    <cellStyle name="20% - Accent5 2 3 2 5" xfId="10063" xr:uid="{B70F6582-905C-4802-AC48-F50955068472}"/>
    <cellStyle name="20% - Accent5 2 3 2 6" xfId="18510" xr:uid="{6CA2BFCF-48E4-4441-BC8B-124D5DF8451A}"/>
    <cellStyle name="20% - Accent5 2 3 2 7" xfId="26957" xr:uid="{DBC945E8-917A-4431-8388-75CAB52867B2}"/>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16838" xr:uid="{1A088616-3D27-46E7-A593-8F01079950EA}"/>
    <cellStyle name="20% - Accent5 2 3 3 2 2 3" xfId="25285" xr:uid="{A3048AD9-7440-4803-BAA8-A4BDAD8A4F88}"/>
    <cellStyle name="20% - Accent5 2 3 3 2 2 4" xfId="33732" xr:uid="{479028D7-F7B2-405B-A8B0-602DA447C04E}"/>
    <cellStyle name="20% - Accent5 2 3 3 2 3" xfId="12621" xr:uid="{9E661CF4-C5A7-49F6-867B-3FD0F72BA7F9}"/>
    <cellStyle name="20% - Accent5 2 3 3 2 4" xfId="21068" xr:uid="{907FB1C0-617E-42D9-A85E-4F561C52F97E}"/>
    <cellStyle name="20% - Accent5 2 3 3 2 5" xfId="29515" xr:uid="{2404CD66-9E13-4231-B827-0FBFFAFC031A}"/>
    <cellStyle name="20% - Accent5 2 3 3 3" xfId="5367" xr:uid="{00000000-0005-0000-0000-0000B3020000}"/>
    <cellStyle name="20% - Accent5 2 3 3 3 2" xfId="14693" xr:uid="{6617289C-76E1-4A13-9A3A-3799E1F5853C}"/>
    <cellStyle name="20% - Accent5 2 3 3 3 3" xfId="23140" xr:uid="{74B06E53-D1EA-47EC-A072-FAB7520B2627}"/>
    <cellStyle name="20% - Accent5 2 3 3 3 4" xfId="31587" xr:uid="{A762480D-0DF8-497C-8E7D-B4B6F53CAFA6}"/>
    <cellStyle name="20% - Accent5 2 3 3 4" xfId="10476" xr:uid="{FE72C3D9-70A5-4555-B332-AEE3EE23E854}"/>
    <cellStyle name="20% - Accent5 2 3 3 5" xfId="18923" xr:uid="{6BB841BF-96A0-46D6-9E67-A31D5934F3E4}"/>
    <cellStyle name="20% - Accent5 2 3 3 6" xfId="27370" xr:uid="{1460B350-293C-4586-BF86-A785A2B1F9BA}"/>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17251" xr:uid="{1663EBDC-5EC7-482F-A02D-AD0A573E3F26}"/>
    <cellStyle name="20% - Accent5 2 3 4 2 2 3" xfId="25698" xr:uid="{82ED77AA-8C51-4AD8-A0BC-75EA190B21A5}"/>
    <cellStyle name="20% - Accent5 2 3 4 2 2 4" xfId="34145" xr:uid="{EC87F220-1898-4F64-BA8A-5E71151ADB4C}"/>
    <cellStyle name="20% - Accent5 2 3 4 2 3" xfId="13034" xr:uid="{D1264BE1-A768-44B5-A9C5-BA835BACDE36}"/>
    <cellStyle name="20% - Accent5 2 3 4 2 4" xfId="21481" xr:uid="{EC3A08E4-EEC7-4331-A020-0CB17A37922F}"/>
    <cellStyle name="20% - Accent5 2 3 4 2 5" xfId="29928" xr:uid="{1631392D-0A01-468E-A1BE-1CEAD49B3845}"/>
    <cellStyle name="20% - Accent5 2 3 4 3" xfId="5780" xr:uid="{00000000-0005-0000-0000-0000B7020000}"/>
    <cellStyle name="20% - Accent5 2 3 4 3 2" xfId="15106" xr:uid="{F4D7F183-7289-4E81-B50A-B67710864879}"/>
    <cellStyle name="20% - Accent5 2 3 4 3 3" xfId="23553" xr:uid="{430CBF1A-A9C6-4A82-BB65-8F9CCBB34BBD}"/>
    <cellStyle name="20% - Accent5 2 3 4 3 4" xfId="32000" xr:uid="{33097630-2736-429C-93A6-DA7C4E737FBB}"/>
    <cellStyle name="20% - Accent5 2 3 4 4" xfId="10889" xr:uid="{A86A7884-ADC1-4324-BA4E-98D8F5946235}"/>
    <cellStyle name="20% - Accent5 2 3 4 5" xfId="19336" xr:uid="{7F79E6E8-EA5A-4C8C-9B18-059E5F4197CB}"/>
    <cellStyle name="20% - Accent5 2 3 4 6" xfId="27783" xr:uid="{41496504-217C-4DBF-8195-49FC62B64299}"/>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17664" xr:uid="{4110FE1D-8F58-4130-AE34-7086124A7418}"/>
    <cellStyle name="20% - Accent5 2 3 5 2 2 3" xfId="26111" xr:uid="{A975867C-1220-4439-B6FC-F50DEBA38265}"/>
    <cellStyle name="20% - Accent5 2 3 5 2 2 4" xfId="34558" xr:uid="{34EB6E8D-C7EA-4CC4-A06F-B7FA891428FF}"/>
    <cellStyle name="20% - Accent5 2 3 5 2 3" xfId="13447" xr:uid="{93E8608F-7FE0-41A1-8031-0D22BBD8C539}"/>
    <cellStyle name="20% - Accent5 2 3 5 2 4" xfId="21894" xr:uid="{2E75A89D-DAC4-47FB-8238-D7CF38F2F6B7}"/>
    <cellStyle name="20% - Accent5 2 3 5 2 5" xfId="30341" xr:uid="{38F00A3D-BBE0-4C5F-9968-48AA58D97E02}"/>
    <cellStyle name="20% - Accent5 2 3 5 3" xfId="6193" xr:uid="{00000000-0005-0000-0000-0000BB020000}"/>
    <cellStyle name="20% - Accent5 2 3 5 3 2" xfId="15519" xr:uid="{05384FE8-EAE9-47A9-9D73-22DA1163AB29}"/>
    <cellStyle name="20% - Accent5 2 3 5 3 3" xfId="23966" xr:uid="{98916F0D-AE42-412F-AC39-E9387318967D}"/>
    <cellStyle name="20% - Accent5 2 3 5 3 4" xfId="32413" xr:uid="{A0B066D1-3474-499E-B2EE-FA4CDB2CACE3}"/>
    <cellStyle name="20% - Accent5 2 3 5 4" xfId="11302" xr:uid="{AD3CF95F-FD07-43D2-B1EE-43CBD2B5D9D9}"/>
    <cellStyle name="20% - Accent5 2 3 5 5" xfId="19749" xr:uid="{3B829122-1D61-4831-AB87-46A36CCE64B6}"/>
    <cellStyle name="20% - Accent5 2 3 5 6" xfId="28196" xr:uid="{ADE8DC91-67E3-4737-8411-9427D2314F3B}"/>
    <cellStyle name="20% - Accent5 2 3 6" xfId="2300" xr:uid="{00000000-0005-0000-0000-0000BC020000}"/>
    <cellStyle name="20% - Accent5 2 3 6 2" xfId="6606" xr:uid="{00000000-0005-0000-0000-0000BD020000}"/>
    <cellStyle name="20% - Accent5 2 3 6 2 2" xfId="15932" xr:uid="{AEE05940-A378-43E9-96D5-52BE176CC116}"/>
    <cellStyle name="20% - Accent5 2 3 6 2 3" xfId="24379" xr:uid="{2C13FB07-42C5-4158-ADBB-F90A85917514}"/>
    <cellStyle name="20% - Accent5 2 3 6 2 4" xfId="32826" xr:uid="{03DBC1AB-03BE-49E6-BB22-66DC0A0992E9}"/>
    <cellStyle name="20% - Accent5 2 3 6 3" xfId="11715" xr:uid="{86C3E2BC-276D-477F-A13D-4C32A7C6AFAC}"/>
    <cellStyle name="20% - Accent5 2 3 6 4" xfId="20162" xr:uid="{5AF94B46-671D-4519-9D6B-D98FAF616EF4}"/>
    <cellStyle name="20% - Accent5 2 3 6 5" xfId="28609" xr:uid="{6A38676D-AF10-45D7-BC57-A0B471F4A51B}"/>
    <cellStyle name="20% - Accent5 2 3 7" xfId="4540" xr:uid="{00000000-0005-0000-0000-0000BE020000}"/>
    <cellStyle name="20% - Accent5 2 3 7 2" xfId="13866" xr:uid="{38AD1427-EEDD-4277-8FB9-8F291F9F035D}"/>
    <cellStyle name="20% - Accent5 2 3 7 3" xfId="22313" xr:uid="{446C7C7F-4090-4A4D-9F91-2B41CE8C87AA}"/>
    <cellStyle name="20% - Accent5 2 3 7 4" xfId="30760" xr:uid="{F1636DDE-D327-4163-AA66-28C7E392B174}"/>
    <cellStyle name="20% - Accent5 2 3 8" xfId="9003" xr:uid="{9830E7D1-E361-4BA3-A986-3DCE647EEF8E}"/>
    <cellStyle name="20% - Accent5 2 3 9" xfId="9649" xr:uid="{C3C5AB12-E78B-4198-89D2-3D8C6C202477}"/>
    <cellStyle name="20% - Accent5 2 4" xfId="603" xr:uid="{00000000-0005-0000-0000-0000BF020000}"/>
    <cellStyle name="20% - Accent5 2 4 2" xfId="2874" xr:uid="{00000000-0005-0000-0000-0000C0020000}"/>
    <cellStyle name="20% - Accent5 2 4 2 2" xfId="7096" xr:uid="{00000000-0005-0000-0000-0000C1020000}"/>
    <cellStyle name="20% - Accent5 2 4 2 2 2" xfId="16422" xr:uid="{8DF7EEA7-ED53-4E33-B585-A58045C41E60}"/>
    <cellStyle name="20% - Accent5 2 4 2 2 3" xfId="24869" xr:uid="{91852B73-A0D0-4AD3-9D68-00C5F4E59C89}"/>
    <cellStyle name="20% - Accent5 2 4 2 2 4" xfId="33316" xr:uid="{3D872327-042C-436A-9029-A359E20A4FB1}"/>
    <cellStyle name="20% - Accent5 2 4 2 3" xfId="12205" xr:uid="{DEE14FCA-C0AD-4BE9-B3E9-0123CB0C3CA1}"/>
    <cellStyle name="20% - Accent5 2 4 2 4" xfId="20652" xr:uid="{20ED53EF-87AF-45E0-B218-214BA8E45C74}"/>
    <cellStyle name="20% - Accent5 2 4 2 5" xfId="29099" xr:uid="{802845A2-7721-4B06-BFE3-0018339CEABF}"/>
    <cellStyle name="20% - Accent5 2 4 3" xfId="4951" xr:uid="{00000000-0005-0000-0000-0000C2020000}"/>
    <cellStyle name="20% - Accent5 2 4 3 2" xfId="14277" xr:uid="{FBDEAD72-54A4-4EC2-B130-28D63B71F955}"/>
    <cellStyle name="20% - Accent5 2 4 3 3" xfId="22724" xr:uid="{5726D7F4-1070-4812-A55E-3D46AEB2719F}"/>
    <cellStyle name="20% - Accent5 2 4 3 4" xfId="31171" xr:uid="{F22CA02F-BA31-4655-B101-A16F88486E42}"/>
    <cellStyle name="20% - Accent5 2 4 4" xfId="9220" xr:uid="{A7B88928-FE72-4C1B-B74E-3CA76DBA84CC}"/>
    <cellStyle name="20% - Accent5 2 4 5" xfId="10060" xr:uid="{A5FE63AB-E9D2-4A84-BDDE-CE80B4CC47E0}"/>
    <cellStyle name="20% - Accent5 2 4 6" xfId="18507" xr:uid="{6B08D801-0165-4E3D-A1D5-433F8730A410}"/>
    <cellStyle name="20% - Accent5 2 4 7" xfId="26954" xr:uid="{B31FE05B-D0BC-42B7-A287-D8D21B7F4B66}"/>
    <cellStyle name="20% - Accent5 2 5" xfId="1056" xr:uid="{00000000-0005-0000-0000-0000C3020000}"/>
    <cellStyle name="20% - Accent5 2 5 2" xfId="3287" xr:uid="{00000000-0005-0000-0000-0000C4020000}"/>
    <cellStyle name="20% - Accent5 2 5 2 2" xfId="7509" xr:uid="{00000000-0005-0000-0000-0000C5020000}"/>
    <cellStyle name="20% - Accent5 2 5 2 2 2" xfId="16835" xr:uid="{CB517F57-AC6B-4F0C-A8F1-9B54D55F8695}"/>
    <cellStyle name="20% - Accent5 2 5 2 2 3" xfId="25282" xr:uid="{3DF2512D-4372-4403-8A49-4807FFC65C45}"/>
    <cellStyle name="20% - Accent5 2 5 2 2 4" xfId="33729" xr:uid="{C9965829-5162-4C98-9A75-183DBD4C8A36}"/>
    <cellStyle name="20% - Accent5 2 5 2 3" xfId="12618" xr:uid="{9AF25E0E-C91C-4082-8FDD-91424AC815DE}"/>
    <cellStyle name="20% - Accent5 2 5 2 4" xfId="21065" xr:uid="{FE96E638-E637-4EEB-AADB-6D6795BD3A3D}"/>
    <cellStyle name="20% - Accent5 2 5 2 5" xfId="29512" xr:uid="{8D4EE163-8F83-409F-8202-A86993248462}"/>
    <cellStyle name="20% - Accent5 2 5 3" xfId="5364" xr:uid="{00000000-0005-0000-0000-0000C6020000}"/>
    <cellStyle name="20% - Accent5 2 5 3 2" xfId="14690" xr:uid="{A623DD9E-9C8D-4D6C-A92F-30817FF1EDAA}"/>
    <cellStyle name="20% - Accent5 2 5 3 3" xfId="23137" xr:uid="{ABA724FD-C4D7-4C1C-B7BC-F15611565DDC}"/>
    <cellStyle name="20% - Accent5 2 5 3 4" xfId="31584" xr:uid="{A736FDC2-EFDE-40DE-A35E-BCDFCF057E28}"/>
    <cellStyle name="20% - Accent5 2 5 4" xfId="10473" xr:uid="{64B2B231-632B-48CB-AE4B-7A3EC7C66731}"/>
    <cellStyle name="20% - Accent5 2 5 5" xfId="18920" xr:uid="{855B6F8E-13B7-4C47-ABFC-4829DD01D9F1}"/>
    <cellStyle name="20% - Accent5 2 5 6" xfId="27367" xr:uid="{CFB66820-9A7F-4341-83EE-2E2E25FB6E6D}"/>
    <cellStyle name="20% - Accent5 2 6" xfId="1470" xr:uid="{00000000-0005-0000-0000-0000C7020000}"/>
    <cellStyle name="20% - Accent5 2 6 2" xfId="3700" xr:uid="{00000000-0005-0000-0000-0000C8020000}"/>
    <cellStyle name="20% - Accent5 2 6 2 2" xfId="7922" xr:uid="{00000000-0005-0000-0000-0000C9020000}"/>
    <cellStyle name="20% - Accent5 2 6 2 2 2" xfId="17248" xr:uid="{A84787CB-E2A2-4A9A-BD9E-37282B0EC639}"/>
    <cellStyle name="20% - Accent5 2 6 2 2 3" xfId="25695" xr:uid="{06BE241C-6C67-4F8E-A5F0-D8116F910E27}"/>
    <cellStyle name="20% - Accent5 2 6 2 2 4" xfId="34142" xr:uid="{4C6FC7CE-1A9B-4E86-94E7-705991C7DB42}"/>
    <cellStyle name="20% - Accent5 2 6 2 3" xfId="13031" xr:uid="{3049691D-EA76-4CA7-87F0-1C97282D25CB}"/>
    <cellStyle name="20% - Accent5 2 6 2 4" xfId="21478" xr:uid="{831D5533-3FC0-4793-BC3C-555A13D55FB0}"/>
    <cellStyle name="20% - Accent5 2 6 2 5" xfId="29925" xr:uid="{32070926-BB7A-49C1-B640-FC06C9493687}"/>
    <cellStyle name="20% - Accent5 2 6 3" xfId="5777" xr:uid="{00000000-0005-0000-0000-0000CA020000}"/>
    <cellStyle name="20% - Accent5 2 6 3 2" xfId="15103" xr:uid="{F8678AD7-18DA-4F8E-9AD0-682E8A97A15A}"/>
    <cellStyle name="20% - Accent5 2 6 3 3" xfId="23550" xr:uid="{DD48CEE3-9D45-4F0B-A609-AAF1FA9C5D6E}"/>
    <cellStyle name="20% - Accent5 2 6 3 4" xfId="31997" xr:uid="{58F696EB-34C6-49DC-AF1A-5AC9CEED0E65}"/>
    <cellStyle name="20% - Accent5 2 6 4" xfId="10886" xr:uid="{3E122CF3-60A8-415D-B052-9B55B2A86DF8}"/>
    <cellStyle name="20% - Accent5 2 6 5" xfId="19333" xr:uid="{B637892A-566B-4DF5-ADDA-FA5256C60C4E}"/>
    <cellStyle name="20% - Accent5 2 6 6" xfId="27780" xr:uid="{269D3458-843B-468A-BAC6-9512E1D7153F}"/>
    <cellStyle name="20% - Accent5 2 7" xfId="1884" xr:uid="{00000000-0005-0000-0000-0000CB020000}"/>
    <cellStyle name="20% - Accent5 2 7 2" xfId="4113" xr:uid="{00000000-0005-0000-0000-0000CC020000}"/>
    <cellStyle name="20% - Accent5 2 7 2 2" xfId="8335" xr:uid="{00000000-0005-0000-0000-0000CD020000}"/>
    <cellStyle name="20% - Accent5 2 7 2 2 2" xfId="17661" xr:uid="{600E7D21-1504-45DF-8600-088D72C31842}"/>
    <cellStyle name="20% - Accent5 2 7 2 2 3" xfId="26108" xr:uid="{2DE1ADC2-DD87-4A74-9438-B9E27A3F4933}"/>
    <cellStyle name="20% - Accent5 2 7 2 2 4" xfId="34555" xr:uid="{5A383759-FFA7-4BE2-AD1B-CD846A64A624}"/>
    <cellStyle name="20% - Accent5 2 7 2 3" xfId="13444" xr:uid="{CACAF742-0E25-402E-AC70-AF18230D68B1}"/>
    <cellStyle name="20% - Accent5 2 7 2 4" xfId="21891" xr:uid="{AC501B48-7D3E-4DC2-80D1-9B661EF5554B}"/>
    <cellStyle name="20% - Accent5 2 7 2 5" xfId="30338" xr:uid="{6FAAC929-0828-4C5A-A4F0-726531DD9F5B}"/>
    <cellStyle name="20% - Accent5 2 7 3" xfId="6190" xr:uid="{00000000-0005-0000-0000-0000CE020000}"/>
    <cellStyle name="20% - Accent5 2 7 3 2" xfId="15516" xr:uid="{2DEFF167-25C1-4D03-AF49-674C8CB8D605}"/>
    <cellStyle name="20% - Accent5 2 7 3 3" xfId="23963" xr:uid="{8151F0D3-56F4-4392-9BD7-4F54ADE65267}"/>
    <cellStyle name="20% - Accent5 2 7 3 4" xfId="32410" xr:uid="{7E8ADA44-5655-4EB3-BDE3-725B1BD6F23F}"/>
    <cellStyle name="20% - Accent5 2 7 4" xfId="11299" xr:uid="{33BF2E42-1070-4BD5-A1D4-FBF5CC80F859}"/>
    <cellStyle name="20% - Accent5 2 7 5" xfId="19746" xr:uid="{30184076-3CDC-4563-9791-15F729661CEB}"/>
    <cellStyle name="20% - Accent5 2 7 6" xfId="28193" xr:uid="{C4EBDC18-AB4E-41DB-99BB-044F9CD69F4D}"/>
    <cellStyle name="20% - Accent5 2 8" xfId="2297" xr:uid="{00000000-0005-0000-0000-0000CF020000}"/>
    <cellStyle name="20% - Accent5 2 8 2" xfId="6603" xr:uid="{00000000-0005-0000-0000-0000D0020000}"/>
    <cellStyle name="20% - Accent5 2 8 2 2" xfId="15929" xr:uid="{7C8762DF-47E1-4E28-927F-6DAA32821376}"/>
    <cellStyle name="20% - Accent5 2 8 2 3" xfId="24376" xr:uid="{D2FB5FBC-0902-48D1-9495-B5A416294004}"/>
    <cellStyle name="20% - Accent5 2 8 2 4" xfId="32823" xr:uid="{BA3039E3-1875-48EB-AD0B-13E3F4E8970D}"/>
    <cellStyle name="20% - Accent5 2 8 3" xfId="11712" xr:uid="{3353A664-D1EB-4526-9EB1-2FD110688068}"/>
    <cellStyle name="20% - Accent5 2 8 4" xfId="20159" xr:uid="{3323C0F1-8ACC-4037-B07A-6119BF0C606D}"/>
    <cellStyle name="20% - Accent5 2 8 5" xfId="28606" xr:uid="{B6E956D6-F880-4401-8B10-351132244A70}"/>
    <cellStyle name="20% - Accent5 2 9" xfId="4537" xr:uid="{00000000-0005-0000-0000-0000D1020000}"/>
    <cellStyle name="20% - Accent5 2 9 2" xfId="13863" xr:uid="{AD6DB0CA-1184-4591-902C-8B11FE41B43A}"/>
    <cellStyle name="20% - Accent5 2 9 3" xfId="22310" xr:uid="{F99E9B0F-FB1C-4D04-9A20-F7CF2FFB3487}"/>
    <cellStyle name="20% - Accent5 2 9 4" xfId="30757" xr:uid="{D2743E26-EDB6-4DA0-95F2-1212CEEB62EC}"/>
    <cellStyle name="20% - Accent5 3" xfId="38" xr:uid="{00000000-0005-0000-0000-0000D2020000}"/>
    <cellStyle name="20% - Accent5 3 10" xfId="9650" xr:uid="{29BDC2DC-83B8-471E-89F0-685D756EA181}"/>
    <cellStyle name="20% - Accent5 3 11" xfId="18097" xr:uid="{F085B0E7-3DB6-4945-BD46-41D10EBD9A1A}"/>
    <cellStyle name="20% - Accent5 3 12" xfId="26544" xr:uid="{5EC851E3-57F1-40C9-A091-BD34E58D9222}"/>
    <cellStyle name="20% - Accent5 3 2" xfId="39" xr:uid="{00000000-0005-0000-0000-0000D3020000}"/>
    <cellStyle name="20% - Accent5 3 2 10" xfId="18098" xr:uid="{6133AAF5-B01A-4D39-AC76-5042C639D683}"/>
    <cellStyle name="20% - Accent5 3 2 11" xfId="26545" xr:uid="{C63AF304-9B67-4C5E-8FF7-CE49E614F787}"/>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16427" xr:uid="{402CCB2B-F49C-4FB8-818D-4EC596892BE3}"/>
    <cellStyle name="20% - Accent5 3 2 2 2 2 3" xfId="24874" xr:uid="{537848F3-55D5-4D90-AF40-B514D8D26591}"/>
    <cellStyle name="20% - Accent5 3 2 2 2 2 4" xfId="33321" xr:uid="{8FC81931-8EB1-4F0B-9563-768B4B409081}"/>
    <cellStyle name="20% - Accent5 3 2 2 2 3" xfId="12210" xr:uid="{2BDAF21A-D81C-445A-AE67-625A13EEC554}"/>
    <cellStyle name="20% - Accent5 3 2 2 2 4" xfId="20657" xr:uid="{035746FE-EF0F-4766-AD00-0746D524877A}"/>
    <cellStyle name="20% - Accent5 3 2 2 2 5" xfId="29104" xr:uid="{311DA683-DCBD-4CB8-9F59-E163761B9CD4}"/>
    <cellStyle name="20% - Accent5 3 2 2 3" xfId="4956" xr:uid="{00000000-0005-0000-0000-0000D7020000}"/>
    <cellStyle name="20% - Accent5 3 2 2 3 2" xfId="14282" xr:uid="{8DA4167D-57EC-4C49-B9A0-BCD88EE4950F}"/>
    <cellStyle name="20% - Accent5 3 2 2 3 3" xfId="22729" xr:uid="{21B772E3-CF1F-46C6-AF04-86E7431D4E89}"/>
    <cellStyle name="20% - Accent5 3 2 2 3 4" xfId="31176" xr:uid="{BA3F2277-A768-4F30-A9C6-145D1E304B6E}"/>
    <cellStyle name="20% - Accent5 3 2 2 4" xfId="9501" xr:uid="{82A590A5-96D4-476E-8E6F-D81EEE08C409}"/>
    <cellStyle name="20% - Accent5 3 2 2 5" xfId="10065" xr:uid="{A3C5510F-AD1A-4215-A9A7-F866A222289D}"/>
    <cellStyle name="20% - Accent5 3 2 2 6" xfId="18512" xr:uid="{88205EDC-F978-435F-AF79-353849019664}"/>
    <cellStyle name="20% - Accent5 3 2 2 7" xfId="26959" xr:uid="{AD4C07CC-9948-4A8A-86FE-CD0F5E6C17A2}"/>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16840" xr:uid="{9C4F7E65-5F54-4326-8671-2D39965B4D68}"/>
    <cellStyle name="20% - Accent5 3 2 3 2 2 3" xfId="25287" xr:uid="{A8BB9CC3-E5C6-4818-B3CA-8E937C96E62B}"/>
    <cellStyle name="20% - Accent5 3 2 3 2 2 4" xfId="33734" xr:uid="{E9E6F736-CA60-4B9C-85EA-8869FF98B5F1}"/>
    <cellStyle name="20% - Accent5 3 2 3 2 3" xfId="12623" xr:uid="{FA66AB13-BF74-4D55-9334-85A2353DA863}"/>
    <cellStyle name="20% - Accent5 3 2 3 2 4" xfId="21070" xr:uid="{C262FF57-9C43-4AA2-AD7C-A151FAB5B6A1}"/>
    <cellStyle name="20% - Accent5 3 2 3 2 5" xfId="29517" xr:uid="{C29D0B59-3505-4D8C-92EA-0A9E39CD71CB}"/>
    <cellStyle name="20% - Accent5 3 2 3 3" xfId="5369" xr:uid="{00000000-0005-0000-0000-0000DB020000}"/>
    <cellStyle name="20% - Accent5 3 2 3 3 2" xfId="14695" xr:uid="{266755A9-B937-43A5-8349-2494318EEA06}"/>
    <cellStyle name="20% - Accent5 3 2 3 3 3" xfId="23142" xr:uid="{5A0B4ACD-BB1C-4418-BAD4-DE71DB1EE497}"/>
    <cellStyle name="20% - Accent5 3 2 3 3 4" xfId="31589" xr:uid="{83D0C10A-9EFA-449E-B8E3-6516B0F2B2A9}"/>
    <cellStyle name="20% - Accent5 3 2 3 4" xfId="10478" xr:uid="{30FFE31E-1A92-41F3-9B35-327244412CE8}"/>
    <cellStyle name="20% - Accent5 3 2 3 5" xfId="18925" xr:uid="{525F533B-33A8-4E1F-907C-54B1535B8AE9}"/>
    <cellStyle name="20% - Accent5 3 2 3 6" xfId="27372" xr:uid="{F4A3C437-37D0-4330-A25E-D2ACB7F98E96}"/>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17253" xr:uid="{7778391D-19DF-46B0-8D14-ECC027E1F61A}"/>
    <cellStyle name="20% - Accent5 3 2 4 2 2 3" xfId="25700" xr:uid="{31361DE4-3EE9-455F-B0A2-DB26185809A4}"/>
    <cellStyle name="20% - Accent5 3 2 4 2 2 4" xfId="34147" xr:uid="{ED09D8FD-D943-4996-9C83-284455770A3E}"/>
    <cellStyle name="20% - Accent5 3 2 4 2 3" xfId="13036" xr:uid="{238584AD-86A1-40D9-ACA5-5B0018B824E8}"/>
    <cellStyle name="20% - Accent5 3 2 4 2 4" xfId="21483" xr:uid="{658600CB-B7A7-49E2-B4F0-21129C86D749}"/>
    <cellStyle name="20% - Accent5 3 2 4 2 5" xfId="29930" xr:uid="{07072151-B2BB-4A09-8625-344C7DB5B2DF}"/>
    <cellStyle name="20% - Accent5 3 2 4 3" xfId="5782" xr:uid="{00000000-0005-0000-0000-0000DF020000}"/>
    <cellStyle name="20% - Accent5 3 2 4 3 2" xfId="15108" xr:uid="{B9E6F18A-78E2-42F6-9094-3005E8FC9577}"/>
    <cellStyle name="20% - Accent5 3 2 4 3 3" xfId="23555" xr:uid="{72D4B0DF-970A-435C-81C6-D6A8DB975262}"/>
    <cellStyle name="20% - Accent5 3 2 4 3 4" xfId="32002" xr:uid="{7ADF05F6-A999-4C30-A8AC-78560493A03C}"/>
    <cellStyle name="20% - Accent5 3 2 4 4" xfId="10891" xr:uid="{1373D33B-0EE2-451B-A5B4-5D7779C87F37}"/>
    <cellStyle name="20% - Accent5 3 2 4 5" xfId="19338" xr:uid="{F9EF61DE-F712-4251-A244-F2ECFD4FD210}"/>
    <cellStyle name="20% - Accent5 3 2 4 6" xfId="27785" xr:uid="{CCFFCC46-423C-4CEC-86E5-207C8D074BAE}"/>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17666" xr:uid="{F765F539-A8E0-4342-AEAB-9863F44F47E4}"/>
    <cellStyle name="20% - Accent5 3 2 5 2 2 3" xfId="26113" xr:uid="{140A1147-3AE3-432B-A3A0-FA80DDCAFF49}"/>
    <cellStyle name="20% - Accent5 3 2 5 2 2 4" xfId="34560" xr:uid="{1EA2BA86-F9A5-4051-B0DA-3E143469A0B7}"/>
    <cellStyle name="20% - Accent5 3 2 5 2 3" xfId="13449" xr:uid="{EA9CF4BA-A3BA-4965-9D48-099984D58774}"/>
    <cellStyle name="20% - Accent5 3 2 5 2 4" xfId="21896" xr:uid="{03C75FA3-4E07-47C7-BEFA-92264018DF4C}"/>
    <cellStyle name="20% - Accent5 3 2 5 2 5" xfId="30343" xr:uid="{3CD5421B-4F3D-4C20-A2C1-36E3CE094131}"/>
    <cellStyle name="20% - Accent5 3 2 5 3" xfId="6195" xr:uid="{00000000-0005-0000-0000-0000E3020000}"/>
    <cellStyle name="20% - Accent5 3 2 5 3 2" xfId="15521" xr:uid="{DCAFF5F1-F677-4BB9-867F-B33664155272}"/>
    <cellStyle name="20% - Accent5 3 2 5 3 3" xfId="23968" xr:uid="{F11A4EF2-595E-495C-B19F-703D1B971D0A}"/>
    <cellStyle name="20% - Accent5 3 2 5 3 4" xfId="32415" xr:uid="{63CDA6D3-94CD-4487-BF2A-E5734BD80637}"/>
    <cellStyle name="20% - Accent5 3 2 5 4" xfId="11304" xr:uid="{76F0C254-358D-4394-8E56-C757C0EAE9A5}"/>
    <cellStyle name="20% - Accent5 3 2 5 5" xfId="19751" xr:uid="{F2D4D4B4-2712-407C-BFB3-0B09FAA3BC9E}"/>
    <cellStyle name="20% - Accent5 3 2 5 6" xfId="28198" xr:uid="{4B66CAB7-73A2-4372-8C2A-20D85095073D}"/>
    <cellStyle name="20% - Accent5 3 2 6" xfId="2302" xr:uid="{00000000-0005-0000-0000-0000E4020000}"/>
    <cellStyle name="20% - Accent5 3 2 6 2" xfId="6608" xr:uid="{00000000-0005-0000-0000-0000E5020000}"/>
    <cellStyle name="20% - Accent5 3 2 6 2 2" xfId="15934" xr:uid="{21F70B44-0420-4434-BF8F-51AB575C56BD}"/>
    <cellStyle name="20% - Accent5 3 2 6 2 3" xfId="24381" xr:uid="{112DB2A3-AC7E-4FC0-97E8-786DFD1E4B3B}"/>
    <cellStyle name="20% - Accent5 3 2 6 2 4" xfId="32828" xr:uid="{07B3F6DA-33E5-4D86-8EBB-225413A922D5}"/>
    <cellStyle name="20% - Accent5 3 2 6 3" xfId="11717" xr:uid="{50A3B89C-A7EE-4827-AA99-CE639244A8D1}"/>
    <cellStyle name="20% - Accent5 3 2 6 4" xfId="20164" xr:uid="{E670C770-8D10-46F8-8F0F-C24E66140C4B}"/>
    <cellStyle name="20% - Accent5 3 2 6 5" xfId="28611" xr:uid="{51512124-59F9-4274-A92C-2C748914ED85}"/>
    <cellStyle name="20% - Accent5 3 2 7" xfId="4542" xr:uid="{00000000-0005-0000-0000-0000E6020000}"/>
    <cellStyle name="20% - Accent5 3 2 7 2" xfId="13868" xr:uid="{BCD0CEA6-D621-49E5-800D-A85978C3C35C}"/>
    <cellStyle name="20% - Accent5 3 2 7 3" xfId="22315" xr:uid="{F5981D7E-BA80-458C-BB5B-5BB58BB3EC16}"/>
    <cellStyle name="20% - Accent5 3 2 7 4" xfId="30762" xr:uid="{9971BF06-D593-46D2-8639-735D914342A1}"/>
    <cellStyle name="20% - Accent5 3 2 8" xfId="9076" xr:uid="{BEDF1D01-35A3-4513-9363-9C1AFC748168}"/>
    <cellStyle name="20% - Accent5 3 2 9" xfId="9651" xr:uid="{13646568-26D0-41BE-B469-A3D8CCCCEA5E}"/>
    <cellStyle name="20% - Accent5 3 3" xfId="607" xr:uid="{00000000-0005-0000-0000-0000E7020000}"/>
    <cellStyle name="20% - Accent5 3 3 2" xfId="2878" xr:uid="{00000000-0005-0000-0000-0000E8020000}"/>
    <cellStyle name="20% - Accent5 3 3 2 2" xfId="7100" xr:uid="{00000000-0005-0000-0000-0000E9020000}"/>
    <cellStyle name="20% - Accent5 3 3 2 2 2" xfId="16426" xr:uid="{96278507-D988-46F1-9622-B3BD39FF6BFB}"/>
    <cellStyle name="20% - Accent5 3 3 2 2 3" xfId="24873" xr:uid="{B2BAAA1D-0C62-4D80-8DD1-D26436BC7B17}"/>
    <cellStyle name="20% - Accent5 3 3 2 2 4" xfId="33320" xr:uid="{53B4156F-ABA5-48A3-A538-F936286DAA6C}"/>
    <cellStyle name="20% - Accent5 3 3 2 3" xfId="12209" xr:uid="{35038FBA-81F8-45D2-BFF2-46DE49536B12}"/>
    <cellStyle name="20% - Accent5 3 3 2 4" xfId="20656" xr:uid="{8470DE0F-30AC-4A69-9784-EC72CB8F1C4F}"/>
    <cellStyle name="20% - Accent5 3 3 2 5" xfId="29103" xr:uid="{EFCF9B24-EE79-48DD-80C3-DF10D9862433}"/>
    <cellStyle name="20% - Accent5 3 3 3" xfId="4955" xr:uid="{00000000-0005-0000-0000-0000EA020000}"/>
    <cellStyle name="20% - Accent5 3 3 3 2" xfId="14281" xr:uid="{E293CBC1-C13E-4983-8C33-8E6557434F6E}"/>
    <cellStyle name="20% - Accent5 3 3 3 3" xfId="22728" xr:uid="{CF09AEAA-4C68-4DBF-9B51-426496594B82}"/>
    <cellStyle name="20% - Accent5 3 3 3 4" xfId="31175" xr:uid="{B9B733E2-A064-4EBC-8861-52E78FC7BEDE}"/>
    <cellStyle name="20% - Accent5 3 3 4" xfId="9294" xr:uid="{124960EA-C7A4-4686-BF67-47D6C57F7EEB}"/>
    <cellStyle name="20% - Accent5 3 3 5" xfId="10064" xr:uid="{13B6E4E3-EE1D-4943-B9DC-11E2C2310F7A}"/>
    <cellStyle name="20% - Accent5 3 3 6" xfId="18511" xr:uid="{615EFED1-9A75-40DF-AF9B-9650BE74E955}"/>
    <cellStyle name="20% - Accent5 3 3 7" xfId="26958" xr:uid="{1F9A921F-C01A-4260-B0B5-368463534163}"/>
    <cellStyle name="20% - Accent5 3 4" xfId="1060" xr:uid="{00000000-0005-0000-0000-0000EB020000}"/>
    <cellStyle name="20% - Accent5 3 4 2" xfId="3291" xr:uid="{00000000-0005-0000-0000-0000EC020000}"/>
    <cellStyle name="20% - Accent5 3 4 2 2" xfId="7513" xr:uid="{00000000-0005-0000-0000-0000ED020000}"/>
    <cellStyle name="20% - Accent5 3 4 2 2 2" xfId="16839" xr:uid="{E98BEB47-BB4E-4111-9307-903A8EA72EE7}"/>
    <cellStyle name="20% - Accent5 3 4 2 2 3" xfId="25286" xr:uid="{3AA33BC8-4535-4E97-8A48-E09295290748}"/>
    <cellStyle name="20% - Accent5 3 4 2 2 4" xfId="33733" xr:uid="{39756551-09DF-492B-B4C8-D3CF0F1B9E95}"/>
    <cellStyle name="20% - Accent5 3 4 2 3" xfId="12622" xr:uid="{35A84C88-19B2-4C6C-BD04-1D2F6927FE35}"/>
    <cellStyle name="20% - Accent5 3 4 2 4" xfId="21069" xr:uid="{31A2C172-39A7-434C-A2CE-2C22AC0E3475}"/>
    <cellStyle name="20% - Accent5 3 4 2 5" xfId="29516" xr:uid="{C3F18A14-DD85-4904-B357-9CD1DE7EC371}"/>
    <cellStyle name="20% - Accent5 3 4 3" xfId="5368" xr:uid="{00000000-0005-0000-0000-0000EE020000}"/>
    <cellStyle name="20% - Accent5 3 4 3 2" xfId="14694" xr:uid="{6DD42A28-84B2-4FDF-A81A-D2D937FB7A2E}"/>
    <cellStyle name="20% - Accent5 3 4 3 3" xfId="23141" xr:uid="{6B3B1A6F-BF40-44AB-8137-C304A0D2FD07}"/>
    <cellStyle name="20% - Accent5 3 4 3 4" xfId="31588" xr:uid="{5F6875B1-D5A9-4643-92E5-08DCC2F80A68}"/>
    <cellStyle name="20% - Accent5 3 4 4" xfId="10477" xr:uid="{5A13FDB9-4974-45C0-931E-DAC67C2B0334}"/>
    <cellStyle name="20% - Accent5 3 4 5" xfId="18924" xr:uid="{8014459F-10DA-4678-BBDC-D944E762769A}"/>
    <cellStyle name="20% - Accent5 3 4 6" xfId="27371" xr:uid="{C2FF9142-E377-41AF-94EC-F6D512006BCB}"/>
    <cellStyle name="20% - Accent5 3 5" xfId="1474" xr:uid="{00000000-0005-0000-0000-0000EF020000}"/>
    <cellStyle name="20% - Accent5 3 5 2" xfId="3704" xr:uid="{00000000-0005-0000-0000-0000F0020000}"/>
    <cellStyle name="20% - Accent5 3 5 2 2" xfId="7926" xr:uid="{00000000-0005-0000-0000-0000F1020000}"/>
    <cellStyle name="20% - Accent5 3 5 2 2 2" xfId="17252" xr:uid="{5447ED8E-770A-490F-B09D-8938817CCE4B}"/>
    <cellStyle name="20% - Accent5 3 5 2 2 3" xfId="25699" xr:uid="{E46D7D98-AC3E-47EB-A213-F5E706CBD5C4}"/>
    <cellStyle name="20% - Accent5 3 5 2 2 4" xfId="34146" xr:uid="{544CA17E-F51C-403C-B2B8-64F9B77DB3C9}"/>
    <cellStyle name="20% - Accent5 3 5 2 3" xfId="13035" xr:uid="{BE006954-09D1-4242-93A4-F80A69F100B0}"/>
    <cellStyle name="20% - Accent5 3 5 2 4" xfId="21482" xr:uid="{B2D4FDCE-8847-4776-8690-A577685D165C}"/>
    <cellStyle name="20% - Accent5 3 5 2 5" xfId="29929" xr:uid="{6806EE56-73A3-4523-B71C-196B4028CBB7}"/>
    <cellStyle name="20% - Accent5 3 5 3" xfId="5781" xr:uid="{00000000-0005-0000-0000-0000F2020000}"/>
    <cellStyle name="20% - Accent5 3 5 3 2" xfId="15107" xr:uid="{AC489713-A6C0-4451-BD38-254C7CD8D1AD}"/>
    <cellStyle name="20% - Accent5 3 5 3 3" xfId="23554" xr:uid="{E7E3B4F5-EF42-41F3-910F-3AA680F2E73A}"/>
    <cellStyle name="20% - Accent5 3 5 3 4" xfId="32001" xr:uid="{D48EDD6F-97BE-4A80-9CB1-2FE4F35FFB45}"/>
    <cellStyle name="20% - Accent5 3 5 4" xfId="10890" xr:uid="{A0D31636-48DE-4157-9AE7-FDA8AE67EDB3}"/>
    <cellStyle name="20% - Accent5 3 5 5" xfId="19337" xr:uid="{87ADB84C-EBE0-42DE-A0F4-836D8A94A6A4}"/>
    <cellStyle name="20% - Accent5 3 5 6" xfId="27784" xr:uid="{7C0D4676-44C9-4BCF-84B0-EC3FF03240C3}"/>
    <cellStyle name="20% - Accent5 3 6" xfId="1888" xr:uid="{00000000-0005-0000-0000-0000F3020000}"/>
    <cellStyle name="20% - Accent5 3 6 2" xfId="4117" xr:uid="{00000000-0005-0000-0000-0000F4020000}"/>
    <cellStyle name="20% - Accent5 3 6 2 2" xfId="8339" xr:uid="{00000000-0005-0000-0000-0000F5020000}"/>
    <cellStyle name="20% - Accent5 3 6 2 2 2" xfId="17665" xr:uid="{5BCBA6C3-5C98-4D65-9FF5-42D502C41089}"/>
    <cellStyle name="20% - Accent5 3 6 2 2 3" xfId="26112" xr:uid="{3CCA0729-F1BA-4645-A17C-D9DA4286F70D}"/>
    <cellStyle name="20% - Accent5 3 6 2 2 4" xfId="34559" xr:uid="{ED264F94-23E8-404D-9E37-208D10A96DBC}"/>
    <cellStyle name="20% - Accent5 3 6 2 3" xfId="13448" xr:uid="{085422C8-A61B-433B-9B1C-E4E2426F2ADC}"/>
    <cellStyle name="20% - Accent5 3 6 2 4" xfId="21895" xr:uid="{68655B06-E3DC-4E42-A9FC-DBEF234A1969}"/>
    <cellStyle name="20% - Accent5 3 6 2 5" xfId="30342" xr:uid="{2D978879-491C-49B7-94E9-404D09308E0F}"/>
    <cellStyle name="20% - Accent5 3 6 3" xfId="6194" xr:uid="{00000000-0005-0000-0000-0000F6020000}"/>
    <cellStyle name="20% - Accent5 3 6 3 2" xfId="15520" xr:uid="{C6D17580-4186-47EA-98CE-90A181CC068C}"/>
    <cellStyle name="20% - Accent5 3 6 3 3" xfId="23967" xr:uid="{F7A2B69E-83F3-4B0C-A1E2-8956413ED585}"/>
    <cellStyle name="20% - Accent5 3 6 3 4" xfId="32414" xr:uid="{BEDF67C4-3CF0-47F6-A01F-A50D69A09385}"/>
    <cellStyle name="20% - Accent5 3 6 4" xfId="11303" xr:uid="{9F059330-9102-4F06-99E5-17A3FF8943F4}"/>
    <cellStyle name="20% - Accent5 3 6 5" xfId="19750" xr:uid="{DB9B9C72-2463-4A4C-8F43-39B0AAAADB0B}"/>
    <cellStyle name="20% - Accent5 3 6 6" xfId="28197" xr:uid="{E75A6395-0A21-480B-BE71-CFBF602AAAE2}"/>
    <cellStyle name="20% - Accent5 3 7" xfId="2301" xr:uid="{00000000-0005-0000-0000-0000F7020000}"/>
    <cellStyle name="20% - Accent5 3 7 2" xfId="6607" xr:uid="{00000000-0005-0000-0000-0000F8020000}"/>
    <cellStyle name="20% - Accent5 3 7 2 2" xfId="15933" xr:uid="{DCD39232-5634-40E5-8A7E-5D93DEED4B27}"/>
    <cellStyle name="20% - Accent5 3 7 2 3" xfId="24380" xr:uid="{0D0C018D-B9D8-46E5-88EB-0B7929BDDC2A}"/>
    <cellStyle name="20% - Accent5 3 7 2 4" xfId="32827" xr:uid="{A5746B81-E176-4208-A60E-0D190ACBE7C4}"/>
    <cellStyle name="20% - Accent5 3 7 3" xfId="11716" xr:uid="{ED1FA058-2A4E-4077-A589-06D45873822A}"/>
    <cellStyle name="20% - Accent5 3 7 4" xfId="20163" xr:uid="{F3DA884D-BFB0-49C4-B8E0-7BEEF5C72AC0}"/>
    <cellStyle name="20% - Accent5 3 7 5" xfId="28610" xr:uid="{CC099E90-B57B-48EB-8D1E-1B9D7061657A}"/>
    <cellStyle name="20% - Accent5 3 8" xfId="4541" xr:uid="{00000000-0005-0000-0000-0000F9020000}"/>
    <cellStyle name="20% - Accent5 3 8 2" xfId="13867" xr:uid="{F901F419-643C-4617-A3FE-ECFEF139C562}"/>
    <cellStyle name="20% - Accent5 3 8 3" xfId="22314" xr:uid="{2C0B1E1B-DD81-45C1-BB7F-9F26E758A445}"/>
    <cellStyle name="20% - Accent5 3 8 4" xfId="30761" xr:uid="{61CB87F7-DDCB-43A7-BC90-04B24AFFDCA3}"/>
    <cellStyle name="20% - Accent5 3 9" xfId="8869" xr:uid="{43CC8A87-AEEB-4E51-98E7-F8AE8D86AD2B}"/>
    <cellStyle name="20% - Accent5 4" xfId="40" xr:uid="{00000000-0005-0000-0000-0000FA020000}"/>
    <cellStyle name="20% - Accent5 4 10" xfId="18099" xr:uid="{65AFEE6F-7459-4519-9D4B-6AD694E35E73}"/>
    <cellStyle name="20% - Accent5 4 11" xfId="26546" xr:uid="{A0944413-660F-40CE-B59B-F84549DDB164}"/>
    <cellStyle name="20% - Accent5 4 2" xfId="609" xr:uid="{00000000-0005-0000-0000-0000FB020000}"/>
    <cellStyle name="20% - Accent5 4 2 2" xfId="2880" xr:uid="{00000000-0005-0000-0000-0000FC020000}"/>
    <cellStyle name="20% - Accent5 4 2 2 2" xfId="7102" xr:uid="{00000000-0005-0000-0000-0000FD020000}"/>
    <cellStyle name="20% - Accent5 4 2 2 2 2" xfId="16428" xr:uid="{ED59956E-DB64-43FC-9A43-87326CABDAB2}"/>
    <cellStyle name="20% - Accent5 4 2 2 2 3" xfId="24875" xr:uid="{78C92EAA-6A67-430A-96C6-FE15EE0A3C50}"/>
    <cellStyle name="20% - Accent5 4 2 2 2 4" xfId="33322" xr:uid="{28A58191-E31C-4816-8F9F-621A2DC7D357}"/>
    <cellStyle name="20% - Accent5 4 2 2 3" xfId="12211" xr:uid="{EEE74778-15BB-4E74-B2E0-13388F3DB9ED}"/>
    <cellStyle name="20% - Accent5 4 2 2 4" xfId="20658" xr:uid="{71C74BB8-4425-4207-9C82-C86EC480D9CA}"/>
    <cellStyle name="20% - Accent5 4 2 2 5" xfId="29105" xr:uid="{C9B47C97-C66B-4DD2-8508-F66A0312FB2A}"/>
    <cellStyle name="20% - Accent5 4 2 3" xfId="4957" xr:uid="{00000000-0005-0000-0000-0000FE020000}"/>
    <cellStyle name="20% - Accent5 4 2 3 2" xfId="14283" xr:uid="{3F42C134-92FB-4671-B3FB-6AB2FCA47711}"/>
    <cellStyle name="20% - Accent5 4 2 3 3" xfId="22730" xr:uid="{C3EFE106-082D-4B60-A110-06A47205F5E6}"/>
    <cellStyle name="20% - Accent5 4 2 3 4" xfId="31177" xr:uid="{590DC796-EC1A-425B-9E90-F1406C590583}"/>
    <cellStyle name="20% - Accent5 4 2 4" xfId="9380" xr:uid="{1C764D65-D71C-4646-AD86-15F83BDBF498}"/>
    <cellStyle name="20% - Accent5 4 2 5" xfId="10066" xr:uid="{41FC386E-6813-412A-B4FD-EFE5FF8708EC}"/>
    <cellStyle name="20% - Accent5 4 2 6" xfId="18513" xr:uid="{6BAAE6E1-BAED-4DFB-9C82-845FF1FE30CF}"/>
    <cellStyle name="20% - Accent5 4 2 7" xfId="26960" xr:uid="{591ED026-77E4-47AB-9E7E-44BA3E3BCCAC}"/>
    <cellStyle name="20% - Accent5 4 3" xfId="1062" xr:uid="{00000000-0005-0000-0000-0000FF020000}"/>
    <cellStyle name="20% - Accent5 4 3 2" xfId="3293" xr:uid="{00000000-0005-0000-0000-000000030000}"/>
    <cellStyle name="20% - Accent5 4 3 2 2" xfId="7515" xr:uid="{00000000-0005-0000-0000-000001030000}"/>
    <cellStyle name="20% - Accent5 4 3 2 2 2" xfId="16841" xr:uid="{81DC94E1-FDBF-4ECC-86E3-37633A67075A}"/>
    <cellStyle name="20% - Accent5 4 3 2 2 3" xfId="25288" xr:uid="{686A8D52-A7D2-407E-B970-07D1805D5336}"/>
    <cellStyle name="20% - Accent5 4 3 2 2 4" xfId="33735" xr:uid="{7F738DC3-CF41-4524-831E-A14B8FCC8424}"/>
    <cellStyle name="20% - Accent5 4 3 2 3" xfId="12624" xr:uid="{CEAF4D79-DD95-46B0-9B06-9E93075019F3}"/>
    <cellStyle name="20% - Accent5 4 3 2 4" xfId="21071" xr:uid="{DDDBCA0E-4007-47D4-9A93-3654F77459BD}"/>
    <cellStyle name="20% - Accent5 4 3 2 5" xfId="29518" xr:uid="{E99B8113-21D2-404F-9E93-421B71BF9648}"/>
    <cellStyle name="20% - Accent5 4 3 3" xfId="5370" xr:uid="{00000000-0005-0000-0000-000002030000}"/>
    <cellStyle name="20% - Accent5 4 3 3 2" xfId="14696" xr:uid="{99F81458-022F-43F4-A57C-FD4787582867}"/>
    <cellStyle name="20% - Accent5 4 3 3 3" xfId="23143" xr:uid="{447EB2B8-64E8-4680-B08E-9ABCBB407B14}"/>
    <cellStyle name="20% - Accent5 4 3 3 4" xfId="31590" xr:uid="{8121FA60-805A-41A5-8F64-08EC227FF73F}"/>
    <cellStyle name="20% - Accent5 4 3 4" xfId="10479" xr:uid="{C54111B6-0D0E-4886-9D9D-41BEA2061199}"/>
    <cellStyle name="20% - Accent5 4 3 5" xfId="18926" xr:uid="{880797A7-D28D-4B30-BD30-55BB052582CB}"/>
    <cellStyle name="20% - Accent5 4 3 6" xfId="27373" xr:uid="{C17756CC-4B7D-44D3-A465-1D10371BBF31}"/>
    <cellStyle name="20% - Accent5 4 4" xfId="1476" xr:uid="{00000000-0005-0000-0000-000003030000}"/>
    <cellStyle name="20% - Accent5 4 4 2" xfId="3706" xr:uid="{00000000-0005-0000-0000-000004030000}"/>
    <cellStyle name="20% - Accent5 4 4 2 2" xfId="7928" xr:uid="{00000000-0005-0000-0000-000005030000}"/>
    <cellStyle name="20% - Accent5 4 4 2 2 2" xfId="17254" xr:uid="{2C31F7DD-2D65-4548-949E-60BC6647EC44}"/>
    <cellStyle name="20% - Accent5 4 4 2 2 3" xfId="25701" xr:uid="{1CD667BD-690E-4CD4-ADD6-BE1ACEA36654}"/>
    <cellStyle name="20% - Accent5 4 4 2 2 4" xfId="34148" xr:uid="{EF857270-94FB-4955-BF51-089B1EA945B3}"/>
    <cellStyle name="20% - Accent5 4 4 2 3" xfId="13037" xr:uid="{E88380C6-AB7F-4F07-BE76-B273B7FA0D58}"/>
    <cellStyle name="20% - Accent5 4 4 2 4" xfId="21484" xr:uid="{DF55BE51-1BD9-46C7-9E16-30CE515C8BDD}"/>
    <cellStyle name="20% - Accent5 4 4 2 5" xfId="29931" xr:uid="{0DB607A6-5417-4E57-8D94-341B1E2ED68F}"/>
    <cellStyle name="20% - Accent5 4 4 3" xfId="5783" xr:uid="{00000000-0005-0000-0000-000006030000}"/>
    <cellStyle name="20% - Accent5 4 4 3 2" xfId="15109" xr:uid="{2EA839D9-C7C2-4C9A-AD2C-198719914093}"/>
    <cellStyle name="20% - Accent5 4 4 3 3" xfId="23556" xr:uid="{2CFA9362-E191-45F0-8C5B-0A85B9B7E337}"/>
    <cellStyle name="20% - Accent5 4 4 3 4" xfId="32003" xr:uid="{5206870E-03BB-402F-902B-4DFE4A2CDFCB}"/>
    <cellStyle name="20% - Accent5 4 4 4" xfId="10892" xr:uid="{ABE35470-362B-40B4-995A-EC332BCCDCDE}"/>
    <cellStyle name="20% - Accent5 4 4 5" xfId="19339" xr:uid="{A30D49E5-8E85-46BD-A56C-B127A5DB757D}"/>
    <cellStyle name="20% - Accent5 4 4 6" xfId="27786" xr:uid="{B0D39A67-8AE7-434B-9A92-6A5ADE9C005C}"/>
    <cellStyle name="20% - Accent5 4 5" xfId="1890" xr:uid="{00000000-0005-0000-0000-000007030000}"/>
    <cellStyle name="20% - Accent5 4 5 2" xfId="4119" xr:uid="{00000000-0005-0000-0000-000008030000}"/>
    <cellStyle name="20% - Accent5 4 5 2 2" xfId="8341" xr:uid="{00000000-0005-0000-0000-000009030000}"/>
    <cellStyle name="20% - Accent5 4 5 2 2 2" xfId="17667" xr:uid="{97075267-2D66-49C6-82FE-516317232E36}"/>
    <cellStyle name="20% - Accent5 4 5 2 2 3" xfId="26114" xr:uid="{75343FD9-2BD8-46EC-9917-76011346C32A}"/>
    <cellStyle name="20% - Accent5 4 5 2 2 4" xfId="34561" xr:uid="{BE21336E-D967-4446-B38F-82BFA2A80496}"/>
    <cellStyle name="20% - Accent5 4 5 2 3" xfId="13450" xr:uid="{2E571C99-B311-4E72-A0CA-59DF736A5062}"/>
    <cellStyle name="20% - Accent5 4 5 2 4" xfId="21897" xr:uid="{159993FA-A844-4791-A6DA-986922B283FF}"/>
    <cellStyle name="20% - Accent5 4 5 2 5" xfId="30344" xr:uid="{05022A86-89BF-4927-9C37-B2C5E8B3B716}"/>
    <cellStyle name="20% - Accent5 4 5 3" xfId="6196" xr:uid="{00000000-0005-0000-0000-00000A030000}"/>
    <cellStyle name="20% - Accent5 4 5 3 2" xfId="15522" xr:uid="{1ACAF4E4-FADF-45CD-A2BD-26F465BEC5C1}"/>
    <cellStyle name="20% - Accent5 4 5 3 3" xfId="23969" xr:uid="{5747B196-297C-4C24-A757-4F00BD1091C2}"/>
    <cellStyle name="20% - Accent5 4 5 3 4" xfId="32416" xr:uid="{596C0630-515B-43FA-A942-2D91F3731E86}"/>
    <cellStyle name="20% - Accent5 4 5 4" xfId="11305" xr:uid="{4E10D6BD-5B98-4A1B-B994-84D750B4615B}"/>
    <cellStyle name="20% - Accent5 4 5 5" xfId="19752" xr:uid="{5464D13F-52AE-4EF4-B4F3-E98FE970E02A}"/>
    <cellStyle name="20% - Accent5 4 5 6" xfId="28199" xr:uid="{C01EDAC0-B5DF-463D-8D79-F6D5040D8104}"/>
    <cellStyle name="20% - Accent5 4 6" xfId="2303" xr:uid="{00000000-0005-0000-0000-00000B030000}"/>
    <cellStyle name="20% - Accent5 4 6 2" xfId="6609" xr:uid="{00000000-0005-0000-0000-00000C030000}"/>
    <cellStyle name="20% - Accent5 4 6 2 2" xfId="15935" xr:uid="{AFF91BE9-D038-4FF7-9B25-BE741DAFF630}"/>
    <cellStyle name="20% - Accent5 4 6 2 3" xfId="24382" xr:uid="{2C31D9A1-C5DD-49E3-9702-2B625CAB8F82}"/>
    <cellStyle name="20% - Accent5 4 6 2 4" xfId="32829" xr:uid="{43336F65-337F-44FA-A789-77613D935B81}"/>
    <cellStyle name="20% - Accent5 4 6 3" xfId="11718" xr:uid="{F79F43AF-7E5F-479A-867A-323447C6E0E9}"/>
    <cellStyle name="20% - Accent5 4 6 4" xfId="20165" xr:uid="{293C0B8F-660C-42CF-8A0F-010A8FDDA3BA}"/>
    <cellStyle name="20% - Accent5 4 6 5" xfId="28612" xr:uid="{32F7D433-7F04-4CC7-8742-E89F1A22CA92}"/>
    <cellStyle name="20% - Accent5 4 7" xfId="4543" xr:uid="{00000000-0005-0000-0000-00000D030000}"/>
    <cellStyle name="20% - Accent5 4 7 2" xfId="13869" xr:uid="{46BC9708-02AF-4074-8A75-4E36302F5407}"/>
    <cellStyle name="20% - Accent5 4 7 3" xfId="22316" xr:uid="{1854F4C2-B334-4293-B5BE-B5DB8EF01650}"/>
    <cellStyle name="20% - Accent5 4 7 4" xfId="30763" xr:uid="{14CCDC1A-0640-4A56-A77D-CB84F5531012}"/>
    <cellStyle name="20% - Accent5 4 8" xfId="8955" xr:uid="{8AD43D76-8747-44EC-8D3B-2720ADF9D1B1}"/>
    <cellStyle name="20% - Accent5 4 9" xfId="9652" xr:uid="{EDDF2EC0-5F1A-422C-A1EA-9AF917BEFE9C}"/>
    <cellStyle name="20% - Accent5 5" xfId="602" xr:uid="{00000000-0005-0000-0000-00000E030000}"/>
    <cellStyle name="20% - Accent5 5 2" xfId="2873" xr:uid="{00000000-0005-0000-0000-00000F030000}"/>
    <cellStyle name="20% - Accent5 5 2 2" xfId="7095" xr:uid="{00000000-0005-0000-0000-000010030000}"/>
    <cellStyle name="20% - Accent5 5 2 2 2" xfId="16421" xr:uid="{A2AC7D5A-F601-410E-B8EF-1E69BD83CE4A}"/>
    <cellStyle name="20% - Accent5 5 2 2 3" xfId="24868" xr:uid="{FB405ED0-245E-4545-B87C-CD4EAB280128}"/>
    <cellStyle name="20% - Accent5 5 2 2 4" xfId="33315" xr:uid="{297BCC32-58AC-4F8F-AFDC-9D509B8889A7}"/>
    <cellStyle name="20% - Accent5 5 2 3" xfId="12204" xr:uid="{99CEB1B8-F2A2-42CF-9EB8-BC33403A9151}"/>
    <cellStyle name="20% - Accent5 5 2 4" xfId="20651" xr:uid="{37C13099-8A57-4730-99AC-4A4BA5B09031}"/>
    <cellStyle name="20% - Accent5 5 2 5" xfId="29098" xr:uid="{B41FD36F-2FF4-4A7D-ACEF-59E36EEAB5B6}"/>
    <cellStyle name="20% - Accent5 5 3" xfId="4950" xr:uid="{00000000-0005-0000-0000-000011030000}"/>
    <cellStyle name="20% - Accent5 5 3 2" xfId="14276" xr:uid="{F7945A8C-AA5B-4410-9EB7-ADB08D5A92D7}"/>
    <cellStyle name="20% - Accent5 5 3 3" xfId="22723" xr:uid="{C2043587-253C-4B4C-8046-8EACA0443E07}"/>
    <cellStyle name="20% - Accent5 5 3 4" xfId="31170" xr:uid="{417B5851-AF80-400C-BD2D-144DB244F11A}"/>
    <cellStyle name="20% - Accent5 5 4" xfId="9188" xr:uid="{164CF7CE-7706-426C-90AA-4867A06E28BD}"/>
    <cellStyle name="20% - Accent5 5 5" xfId="10059" xr:uid="{0C297876-923D-4752-8DA4-1C687D990D12}"/>
    <cellStyle name="20% - Accent5 5 6" xfId="18506" xr:uid="{C0EE4822-3D97-4E9D-981E-C8673176911D}"/>
    <cellStyle name="20% - Accent5 5 7" xfId="26953" xr:uid="{EF5D8085-D47E-4196-9BE3-BA532C22935A}"/>
    <cellStyle name="20% - Accent5 6" xfId="1055" xr:uid="{00000000-0005-0000-0000-000012030000}"/>
    <cellStyle name="20% - Accent5 6 2" xfId="3286" xr:uid="{00000000-0005-0000-0000-000013030000}"/>
    <cellStyle name="20% - Accent5 6 2 2" xfId="7508" xr:uid="{00000000-0005-0000-0000-000014030000}"/>
    <cellStyle name="20% - Accent5 6 2 2 2" xfId="16834" xr:uid="{02FD377E-699A-40C2-B6DD-CBCA28671E35}"/>
    <cellStyle name="20% - Accent5 6 2 2 3" xfId="25281" xr:uid="{FFBEA8B8-F0D9-4D3D-ADC6-BDDEFC3A1490}"/>
    <cellStyle name="20% - Accent5 6 2 2 4" xfId="33728" xr:uid="{67927DEC-389D-47B9-8FDC-51F34B0FB959}"/>
    <cellStyle name="20% - Accent5 6 2 3" xfId="12617" xr:uid="{D57EDD69-D9CA-4882-AADA-906DC323CC23}"/>
    <cellStyle name="20% - Accent5 6 2 4" xfId="21064" xr:uid="{8F7F9497-C58D-4B8E-934B-4DA63EEF1855}"/>
    <cellStyle name="20% - Accent5 6 2 5" xfId="29511" xr:uid="{1BD81778-B7C1-43CE-AC27-CEDE0568E22E}"/>
    <cellStyle name="20% - Accent5 6 3" xfId="5363" xr:uid="{00000000-0005-0000-0000-000015030000}"/>
    <cellStyle name="20% - Accent5 6 3 2" xfId="14689" xr:uid="{1AEC93F5-BD32-4073-8A34-73953BA68942}"/>
    <cellStyle name="20% - Accent5 6 3 3" xfId="23136" xr:uid="{B027BDFC-9691-4FEC-A376-4A934B9BAE68}"/>
    <cellStyle name="20% - Accent5 6 3 4" xfId="31583" xr:uid="{42D1486C-5022-4FD6-8B81-D7D79B8DE775}"/>
    <cellStyle name="20% - Accent5 6 4" xfId="10472" xr:uid="{083957B8-BB10-4630-A82B-D9614E3B5C94}"/>
    <cellStyle name="20% - Accent5 6 5" xfId="18919" xr:uid="{D8DC6782-DBD4-4BC1-BEEB-42B8BDE8474A}"/>
    <cellStyle name="20% - Accent5 6 6" xfId="27366" xr:uid="{750BE906-2B0F-4EE7-89DF-9E935B695619}"/>
    <cellStyle name="20% - Accent5 7" xfId="1469" xr:uid="{00000000-0005-0000-0000-000016030000}"/>
    <cellStyle name="20% - Accent5 7 2" xfId="3699" xr:uid="{00000000-0005-0000-0000-000017030000}"/>
    <cellStyle name="20% - Accent5 7 2 2" xfId="7921" xr:uid="{00000000-0005-0000-0000-000018030000}"/>
    <cellStyle name="20% - Accent5 7 2 2 2" xfId="17247" xr:uid="{8638E510-E744-46B1-B227-67E3774F4CDF}"/>
    <cellStyle name="20% - Accent5 7 2 2 3" xfId="25694" xr:uid="{46DA2615-9CF4-49A7-8B76-77BAE91DFA5C}"/>
    <cellStyle name="20% - Accent5 7 2 2 4" xfId="34141" xr:uid="{BD588C26-10A0-4F29-ABD1-DFE45CE118C5}"/>
    <cellStyle name="20% - Accent5 7 2 3" xfId="13030" xr:uid="{737CD741-945B-4BF9-9EA4-8FB35F1C5EF4}"/>
    <cellStyle name="20% - Accent5 7 2 4" xfId="21477" xr:uid="{F2390348-2D2F-444D-AB69-218D9F0112C2}"/>
    <cellStyle name="20% - Accent5 7 2 5" xfId="29924" xr:uid="{ED222AE1-2645-4A6F-87EF-B720C66D7870}"/>
    <cellStyle name="20% - Accent5 7 3" xfId="5776" xr:uid="{00000000-0005-0000-0000-000019030000}"/>
    <cellStyle name="20% - Accent5 7 3 2" xfId="15102" xr:uid="{99CB6903-DB25-4110-B998-77694E973239}"/>
    <cellStyle name="20% - Accent5 7 3 3" xfId="23549" xr:uid="{901E0112-DBD3-4185-8635-CD7454DDB74A}"/>
    <cellStyle name="20% - Accent5 7 3 4" xfId="31996" xr:uid="{A0458B98-CFD8-433E-84B2-DBB3B2E653A2}"/>
    <cellStyle name="20% - Accent5 7 4" xfId="10885" xr:uid="{24ADE861-77EC-4353-8D40-F27548244C66}"/>
    <cellStyle name="20% - Accent5 7 5" xfId="19332" xr:uid="{E01E5F1D-8C0A-4464-BF25-F36997076B7C}"/>
    <cellStyle name="20% - Accent5 7 6" xfId="27779" xr:uid="{D7FE7CA0-C682-423A-B0B4-83B0034BEDB4}"/>
    <cellStyle name="20% - Accent5 8" xfId="1883" xr:uid="{00000000-0005-0000-0000-00001A030000}"/>
    <cellStyle name="20% - Accent5 8 2" xfId="4112" xr:uid="{00000000-0005-0000-0000-00001B030000}"/>
    <cellStyle name="20% - Accent5 8 2 2" xfId="8334" xr:uid="{00000000-0005-0000-0000-00001C030000}"/>
    <cellStyle name="20% - Accent5 8 2 2 2" xfId="17660" xr:uid="{35C80BE8-5902-4939-A29B-087092972726}"/>
    <cellStyle name="20% - Accent5 8 2 2 3" xfId="26107" xr:uid="{4F70397B-744A-4FB1-8621-9095307B68AF}"/>
    <cellStyle name="20% - Accent5 8 2 2 4" xfId="34554" xr:uid="{A306B9F3-3696-46DC-9ACF-44F55F0C86A2}"/>
    <cellStyle name="20% - Accent5 8 2 3" xfId="13443" xr:uid="{283F180F-FFD1-418C-A904-4702D4C447D3}"/>
    <cellStyle name="20% - Accent5 8 2 4" xfId="21890" xr:uid="{0097A207-554E-41B2-AC6E-60DDA751E9D1}"/>
    <cellStyle name="20% - Accent5 8 2 5" xfId="30337" xr:uid="{C134F9D5-440E-42FC-AAA6-E0CDC60AAB1D}"/>
    <cellStyle name="20% - Accent5 8 3" xfId="6189" xr:uid="{00000000-0005-0000-0000-00001D030000}"/>
    <cellStyle name="20% - Accent5 8 3 2" xfId="15515" xr:uid="{BC8F28B0-F291-44A4-AAF3-1B13CD9D6E6F}"/>
    <cellStyle name="20% - Accent5 8 3 3" xfId="23962" xr:uid="{743CC1AC-1111-42EF-AC1A-B4995A610D36}"/>
    <cellStyle name="20% - Accent5 8 3 4" xfId="32409" xr:uid="{1F3EF5BD-D3F8-4E84-BD2F-E108BF322F01}"/>
    <cellStyle name="20% - Accent5 8 4" xfId="11298" xr:uid="{E3790FA4-8A30-4CC0-B697-93BCB14FFF79}"/>
    <cellStyle name="20% - Accent5 8 5" xfId="19745" xr:uid="{070CC827-BDB3-45A6-A9AA-9A0B1A42BC2F}"/>
    <cellStyle name="20% - Accent5 8 6" xfId="28192" xr:uid="{75E1112E-CF20-447F-B60A-EAC3847D8378}"/>
    <cellStyle name="20% - Accent5 9" xfId="2296" xr:uid="{00000000-0005-0000-0000-00001E030000}"/>
    <cellStyle name="20% - Accent5 9 2" xfId="6602" xr:uid="{00000000-0005-0000-0000-00001F030000}"/>
    <cellStyle name="20% - Accent5 9 2 2" xfId="15928" xr:uid="{65A37045-45DC-4C39-BBE2-D629ED463DD4}"/>
    <cellStyle name="20% - Accent5 9 2 3" xfId="24375" xr:uid="{6D800BAF-2639-42CD-8B98-CED6F42D315A}"/>
    <cellStyle name="20% - Accent5 9 2 4" xfId="32822" xr:uid="{E96CC96B-61D6-4B5E-9553-58474C6CC89C}"/>
    <cellStyle name="20% - Accent5 9 3" xfId="11711" xr:uid="{AB862B15-C59D-4C37-9272-C21DC069DC88}"/>
    <cellStyle name="20% - Accent5 9 4" xfId="20158" xr:uid="{3B64CA73-B2E6-4944-9EFB-4A55DE5392D4}"/>
    <cellStyle name="20% - Accent5 9 5" xfId="28605" xr:uid="{EBE5CAB4-3821-4D76-864B-D42C3E559234}"/>
    <cellStyle name="20% - Accent6" xfId="41" builtinId="50" customBuiltin="1"/>
    <cellStyle name="20% - Accent6 10" xfId="4544" xr:uid="{00000000-0005-0000-0000-000021030000}"/>
    <cellStyle name="20% - Accent6 10 2" xfId="13870" xr:uid="{2BB9C120-C52A-4D41-854B-5602E878A18F}"/>
    <cellStyle name="20% - Accent6 10 3" xfId="22317" xr:uid="{34887C8E-7E0C-41AF-9680-70FA4940DDBD}"/>
    <cellStyle name="20% - Accent6 10 4" xfId="30764" xr:uid="{BC3A0EDD-433D-4C73-B528-BB0F7569095D}"/>
    <cellStyle name="20% - Accent6 11" xfId="8768" xr:uid="{5A1F1293-A19F-445F-908A-D9DBB6265CA0}"/>
    <cellStyle name="20% - Accent6 12" xfId="9653" xr:uid="{BE3FA989-83C3-4305-97F5-A9B6892315B0}"/>
    <cellStyle name="20% - Accent6 13" xfId="18100" xr:uid="{9CD7F675-ED0F-448D-896D-A3D3ADCB6706}"/>
    <cellStyle name="20% - Accent6 14" xfId="26547" xr:uid="{F641C31C-2A00-4356-ABC0-AA879CA11BE7}"/>
    <cellStyle name="20% - Accent6 2" xfId="42" xr:uid="{00000000-0005-0000-0000-000022030000}"/>
    <cellStyle name="20% - Accent6 2 10" xfId="8795" xr:uid="{9A35B19E-8802-437A-ABDC-7B06A4E07F58}"/>
    <cellStyle name="20% - Accent6 2 11" xfId="9654" xr:uid="{76537F63-1891-4B8B-99C8-5B6665FE95F2}"/>
    <cellStyle name="20% - Accent6 2 12" xfId="18101" xr:uid="{1E6C6075-C2D8-4B05-B3CB-4EA0A3AAB62F}"/>
    <cellStyle name="20% - Accent6 2 13" xfId="26548" xr:uid="{E42C61C7-A69D-4942-AC03-427A8A3AF6E6}"/>
    <cellStyle name="20% - Accent6 2 2" xfId="43" xr:uid="{00000000-0005-0000-0000-000023030000}"/>
    <cellStyle name="20% - Accent6 2 2 10" xfId="9655" xr:uid="{E94BE1E6-1D32-4927-A087-398AB9813634}"/>
    <cellStyle name="20% - Accent6 2 2 11" xfId="18102" xr:uid="{6FDDBB38-8812-41E6-B5E0-FC3CA70C08A1}"/>
    <cellStyle name="20% - Accent6 2 2 12" xfId="26549" xr:uid="{180C34F6-ED99-475A-A206-E1837CFE46DC}"/>
    <cellStyle name="20% - Accent6 2 2 2" xfId="44" xr:uid="{00000000-0005-0000-0000-000024030000}"/>
    <cellStyle name="20% - Accent6 2 2 2 10" xfId="18103" xr:uid="{4149258F-322B-4D49-8950-7729B1505E47}"/>
    <cellStyle name="20% - Accent6 2 2 2 11" xfId="26550" xr:uid="{B369B340-540B-4EEB-928D-F874E348F4C3}"/>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16432" xr:uid="{7585F095-6819-46D4-949E-4D9F796BDF75}"/>
    <cellStyle name="20% - Accent6 2 2 2 2 2 2 3" xfId="24879" xr:uid="{4DA5356E-D18E-49FB-B446-F3E37AE470EC}"/>
    <cellStyle name="20% - Accent6 2 2 2 2 2 2 4" xfId="33326" xr:uid="{68D56285-62CA-4D6E-87ED-866A32660E4A}"/>
    <cellStyle name="20% - Accent6 2 2 2 2 2 3" xfId="12215" xr:uid="{4B7BFFEB-175C-40F4-BBC7-72F1C5A2A6B4}"/>
    <cellStyle name="20% - Accent6 2 2 2 2 2 4" xfId="20662" xr:uid="{FFC5DF2B-7C08-4E68-AABB-59965E6E7E70}"/>
    <cellStyle name="20% - Accent6 2 2 2 2 2 5" xfId="29109" xr:uid="{0D781CFA-2677-4849-B875-28095931B570}"/>
    <cellStyle name="20% - Accent6 2 2 2 2 3" xfId="4961" xr:uid="{00000000-0005-0000-0000-000028030000}"/>
    <cellStyle name="20% - Accent6 2 2 2 2 3 2" xfId="14287" xr:uid="{E668E0B6-034A-4A31-91BB-A03857279B46}"/>
    <cellStyle name="20% - Accent6 2 2 2 2 3 3" xfId="22734" xr:uid="{08F56C8C-8BE9-4058-AAC5-89E70BAE9F63}"/>
    <cellStyle name="20% - Accent6 2 2 2 2 3 4" xfId="31181" xr:uid="{E5A9FD4D-9009-46C3-8C14-B82F614909DA}"/>
    <cellStyle name="20% - Accent6 2 2 2 2 4" xfId="9530" xr:uid="{AFD3EE0E-70EF-4C1B-B994-7B8E7E8187BC}"/>
    <cellStyle name="20% - Accent6 2 2 2 2 5" xfId="10070" xr:uid="{8369A292-8165-49DB-BA8E-14DDBA286647}"/>
    <cellStyle name="20% - Accent6 2 2 2 2 6" xfId="18517" xr:uid="{4896FFEA-CC3D-4986-A4AD-2300F74E2F02}"/>
    <cellStyle name="20% - Accent6 2 2 2 2 7" xfId="26964" xr:uid="{6C36F3DE-B004-47E9-A02C-3C5C20153842}"/>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16845" xr:uid="{4F5F2FAB-4194-47E7-8B2A-CB19D0DBDF0E}"/>
    <cellStyle name="20% - Accent6 2 2 2 3 2 2 3" xfId="25292" xr:uid="{7E798632-C921-4F1A-95EB-B8F2907CE6A6}"/>
    <cellStyle name="20% - Accent6 2 2 2 3 2 2 4" xfId="33739" xr:uid="{A154B672-3CC9-4F4B-BE99-F957F1524527}"/>
    <cellStyle name="20% - Accent6 2 2 2 3 2 3" xfId="12628" xr:uid="{5D9B6756-19CA-482A-B961-29EF45FEE8FE}"/>
    <cellStyle name="20% - Accent6 2 2 2 3 2 4" xfId="21075" xr:uid="{5BDB0952-6A6E-4178-8F35-0DD20962CB71}"/>
    <cellStyle name="20% - Accent6 2 2 2 3 2 5" xfId="29522" xr:uid="{3339D059-5EAC-4D70-A4FB-5B7D26E146A6}"/>
    <cellStyle name="20% - Accent6 2 2 2 3 3" xfId="5374" xr:uid="{00000000-0005-0000-0000-00002C030000}"/>
    <cellStyle name="20% - Accent6 2 2 2 3 3 2" xfId="14700" xr:uid="{4D414FA4-36A4-4F8C-851B-ADA184BCCD8C}"/>
    <cellStyle name="20% - Accent6 2 2 2 3 3 3" xfId="23147" xr:uid="{B3100989-02FD-4E55-A03A-9D4BB6FECCF1}"/>
    <cellStyle name="20% - Accent6 2 2 2 3 3 4" xfId="31594" xr:uid="{279C0A6F-AC5A-44F3-9860-6CF93586BEB0}"/>
    <cellStyle name="20% - Accent6 2 2 2 3 4" xfId="10483" xr:uid="{B15814C6-ACFE-4A01-9F96-15B87DA87C32}"/>
    <cellStyle name="20% - Accent6 2 2 2 3 5" xfId="18930" xr:uid="{FD4E46BA-AA00-4049-B834-3B44719E509B}"/>
    <cellStyle name="20% - Accent6 2 2 2 3 6" xfId="27377" xr:uid="{DC7E3843-E6A1-4EF7-9CB5-5AE27BF0803E}"/>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17258" xr:uid="{43073B08-4BDD-4FF0-AFFD-11A5CC15CC79}"/>
    <cellStyle name="20% - Accent6 2 2 2 4 2 2 3" xfId="25705" xr:uid="{13648779-565D-437C-BF61-D78F6333B14E}"/>
    <cellStyle name="20% - Accent6 2 2 2 4 2 2 4" xfId="34152" xr:uid="{52AA55B0-0B02-4F51-9725-75486AD5602F}"/>
    <cellStyle name="20% - Accent6 2 2 2 4 2 3" xfId="13041" xr:uid="{5E8901A2-B25E-451D-B532-48DDF74D7A7D}"/>
    <cellStyle name="20% - Accent6 2 2 2 4 2 4" xfId="21488" xr:uid="{7D546972-7EB7-4254-AD0D-E49DC4136CF3}"/>
    <cellStyle name="20% - Accent6 2 2 2 4 2 5" xfId="29935" xr:uid="{D6DE1B9C-C906-42FB-BE59-5B8D2B05383F}"/>
    <cellStyle name="20% - Accent6 2 2 2 4 3" xfId="5787" xr:uid="{00000000-0005-0000-0000-000030030000}"/>
    <cellStyle name="20% - Accent6 2 2 2 4 3 2" xfId="15113" xr:uid="{44C625AA-B786-418C-8769-AE85AB5207B7}"/>
    <cellStyle name="20% - Accent6 2 2 2 4 3 3" xfId="23560" xr:uid="{731CF644-750E-4F03-B812-3478AEBC2000}"/>
    <cellStyle name="20% - Accent6 2 2 2 4 3 4" xfId="32007" xr:uid="{3D477E9D-4FAE-4C61-BB07-B179A07F8C27}"/>
    <cellStyle name="20% - Accent6 2 2 2 4 4" xfId="10896" xr:uid="{D325EA61-37B8-486D-8B51-BA2A5BB68A69}"/>
    <cellStyle name="20% - Accent6 2 2 2 4 5" xfId="19343" xr:uid="{240C3BD9-3F9C-43CF-93A6-C2AAEC4B467B}"/>
    <cellStyle name="20% - Accent6 2 2 2 4 6" xfId="27790" xr:uid="{82A0B202-95E8-4BA8-B5EA-28865DFC3DF9}"/>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17671" xr:uid="{8B3D7621-1C1F-4C04-9027-217F309EAC66}"/>
    <cellStyle name="20% - Accent6 2 2 2 5 2 2 3" xfId="26118" xr:uid="{BC5F534F-6246-4FEA-9BA3-7A7A80F03DF5}"/>
    <cellStyle name="20% - Accent6 2 2 2 5 2 2 4" xfId="34565" xr:uid="{31F9A598-24CC-4401-9058-2D5344CB6525}"/>
    <cellStyle name="20% - Accent6 2 2 2 5 2 3" xfId="13454" xr:uid="{ABD3CC6D-BA4F-4A20-80FD-4F483B353B96}"/>
    <cellStyle name="20% - Accent6 2 2 2 5 2 4" xfId="21901" xr:uid="{708569BB-7211-46BE-96C3-31B628F11203}"/>
    <cellStyle name="20% - Accent6 2 2 2 5 2 5" xfId="30348" xr:uid="{299A2182-78A4-485A-BB26-644137A1C114}"/>
    <cellStyle name="20% - Accent6 2 2 2 5 3" xfId="6200" xr:uid="{00000000-0005-0000-0000-000034030000}"/>
    <cellStyle name="20% - Accent6 2 2 2 5 3 2" xfId="15526" xr:uid="{7E7041E7-441D-4945-9B4F-945085C081A9}"/>
    <cellStyle name="20% - Accent6 2 2 2 5 3 3" xfId="23973" xr:uid="{F207ABCC-F6B9-41B5-BF36-AFC0B4514041}"/>
    <cellStyle name="20% - Accent6 2 2 2 5 3 4" xfId="32420" xr:uid="{2825EC71-EF3C-4BC8-8798-C4CB22C56740}"/>
    <cellStyle name="20% - Accent6 2 2 2 5 4" xfId="11309" xr:uid="{2F862EEB-6646-4509-8F38-CDE1BBC5B0AF}"/>
    <cellStyle name="20% - Accent6 2 2 2 5 5" xfId="19756" xr:uid="{7A777A8F-9DC0-466C-A007-5CC9F566E782}"/>
    <cellStyle name="20% - Accent6 2 2 2 5 6" xfId="28203" xr:uid="{88BF57E8-85E9-45A6-A29F-398516175063}"/>
    <cellStyle name="20% - Accent6 2 2 2 6" xfId="2307" xr:uid="{00000000-0005-0000-0000-000035030000}"/>
    <cellStyle name="20% - Accent6 2 2 2 6 2" xfId="6613" xr:uid="{00000000-0005-0000-0000-000036030000}"/>
    <cellStyle name="20% - Accent6 2 2 2 6 2 2" xfId="15939" xr:uid="{C0980AE8-C452-433A-86BD-A07743EA97A1}"/>
    <cellStyle name="20% - Accent6 2 2 2 6 2 3" xfId="24386" xr:uid="{BC7AB84D-DB89-4492-B3FF-0DEF1623AE1C}"/>
    <cellStyle name="20% - Accent6 2 2 2 6 2 4" xfId="32833" xr:uid="{DC605827-A548-4758-A503-D3E673C30C30}"/>
    <cellStyle name="20% - Accent6 2 2 2 6 3" xfId="11722" xr:uid="{A2FD778D-A5B0-49F8-99C8-36DC66552165}"/>
    <cellStyle name="20% - Accent6 2 2 2 6 4" xfId="20169" xr:uid="{32A73084-C2BD-4B8C-ACAA-ED5D1F274DDE}"/>
    <cellStyle name="20% - Accent6 2 2 2 6 5" xfId="28616" xr:uid="{88433C82-D166-42C7-B08D-C540AEDCA92A}"/>
    <cellStyle name="20% - Accent6 2 2 2 7" xfId="4547" xr:uid="{00000000-0005-0000-0000-000037030000}"/>
    <cellStyle name="20% - Accent6 2 2 2 7 2" xfId="13873" xr:uid="{1F2700FB-4901-4E56-BAA7-AB59265A555D}"/>
    <cellStyle name="20% - Accent6 2 2 2 7 3" xfId="22320" xr:uid="{814E8E65-E93C-4F33-A12E-26375DD5E0B5}"/>
    <cellStyle name="20% - Accent6 2 2 2 7 4" xfId="30767" xr:uid="{6F27DED7-1AB1-4BC0-90E7-E5103851F87D}"/>
    <cellStyle name="20% - Accent6 2 2 2 8" xfId="9105" xr:uid="{2D3B6B01-F2FB-4D08-A7F9-9902961EFB46}"/>
    <cellStyle name="20% - Accent6 2 2 2 9" xfId="9656" xr:uid="{2BE075E0-1FFB-497D-953F-7BC187234AB6}"/>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16431" xr:uid="{A954DF0D-4567-4737-BEB6-044FC9B6097D}"/>
    <cellStyle name="20% - Accent6 2 2 3 2 2 3" xfId="24878" xr:uid="{80E14D39-58CF-445E-8683-9E5A787823D9}"/>
    <cellStyle name="20% - Accent6 2 2 3 2 2 4" xfId="33325" xr:uid="{75E40E08-0352-4217-86B7-CC95C18DE9C9}"/>
    <cellStyle name="20% - Accent6 2 2 3 2 3" xfId="12214" xr:uid="{70FB5DDB-BA5B-46BB-98F7-3482BEA5089E}"/>
    <cellStyle name="20% - Accent6 2 2 3 2 4" xfId="20661" xr:uid="{7D0FA50A-1851-474E-BF93-C1D3F0DD6631}"/>
    <cellStyle name="20% - Accent6 2 2 3 2 5" xfId="29108" xr:uid="{2189D67C-575B-4ACA-AA9B-42F2187D3080}"/>
    <cellStyle name="20% - Accent6 2 2 3 3" xfId="4960" xr:uid="{00000000-0005-0000-0000-00003B030000}"/>
    <cellStyle name="20% - Accent6 2 2 3 3 2" xfId="14286" xr:uid="{41610DB0-199E-41DF-952B-17B4D92ACAE0}"/>
    <cellStyle name="20% - Accent6 2 2 3 3 3" xfId="22733" xr:uid="{8DD2211E-BA0D-40E0-B1ED-742C0DBA335F}"/>
    <cellStyle name="20% - Accent6 2 2 3 3 4" xfId="31180" xr:uid="{51A0F214-ABF3-489F-A5F1-EB6550106151}"/>
    <cellStyle name="20% - Accent6 2 2 3 4" xfId="9323" xr:uid="{93CC3C58-EC1C-4AC6-8D02-E00EFD80A494}"/>
    <cellStyle name="20% - Accent6 2 2 3 5" xfId="10069" xr:uid="{0FC6EC55-06E3-44E4-8D10-1510D7D107B6}"/>
    <cellStyle name="20% - Accent6 2 2 3 6" xfId="18516" xr:uid="{47CA21B3-36AD-4592-866B-4FBA832712D7}"/>
    <cellStyle name="20% - Accent6 2 2 3 7" xfId="26963" xr:uid="{D7663E2D-9989-4D71-A34D-933A8F3C1F81}"/>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16844" xr:uid="{361EF99C-0633-459E-A437-43E70A220DE5}"/>
    <cellStyle name="20% - Accent6 2 2 4 2 2 3" xfId="25291" xr:uid="{90E51949-2751-4EF2-A22E-B6BAC23D22DE}"/>
    <cellStyle name="20% - Accent6 2 2 4 2 2 4" xfId="33738" xr:uid="{DC0A8A7E-9EB6-4AF1-95C3-063A5B0972D9}"/>
    <cellStyle name="20% - Accent6 2 2 4 2 3" xfId="12627" xr:uid="{F822567C-80C3-45F5-92E5-CE831FD3E8AD}"/>
    <cellStyle name="20% - Accent6 2 2 4 2 4" xfId="21074" xr:uid="{D22ECB7E-ACEC-4CB5-AB60-FC1A36143017}"/>
    <cellStyle name="20% - Accent6 2 2 4 2 5" xfId="29521" xr:uid="{9CBCDFE0-1249-43A2-9473-C1C9E76C5B7E}"/>
    <cellStyle name="20% - Accent6 2 2 4 3" xfId="5373" xr:uid="{00000000-0005-0000-0000-00003F030000}"/>
    <cellStyle name="20% - Accent6 2 2 4 3 2" xfId="14699" xr:uid="{97C3BFEE-C5A8-4BDD-AB8C-220EA7F878B5}"/>
    <cellStyle name="20% - Accent6 2 2 4 3 3" xfId="23146" xr:uid="{A3011E17-8285-49FD-B0C1-EE3515A5A420}"/>
    <cellStyle name="20% - Accent6 2 2 4 3 4" xfId="31593" xr:uid="{26FFE531-C2F8-421A-9412-F04D4788829F}"/>
    <cellStyle name="20% - Accent6 2 2 4 4" xfId="10482" xr:uid="{71898A0E-9F95-43BE-B1F3-35EAB4946B5F}"/>
    <cellStyle name="20% - Accent6 2 2 4 5" xfId="18929" xr:uid="{F73B761D-3E23-4C52-8A0F-3A0B21742303}"/>
    <cellStyle name="20% - Accent6 2 2 4 6" xfId="27376" xr:uid="{CEB68CF7-C93C-432B-BD62-03BF20F73F1A}"/>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17257" xr:uid="{59BBC191-73EF-4A86-9180-52DFD3667F93}"/>
    <cellStyle name="20% - Accent6 2 2 5 2 2 3" xfId="25704" xr:uid="{A7398061-EA87-4497-A2CE-16C146F7DC05}"/>
    <cellStyle name="20% - Accent6 2 2 5 2 2 4" xfId="34151" xr:uid="{483470E8-B78D-4CF7-B6D7-E3131C79794E}"/>
    <cellStyle name="20% - Accent6 2 2 5 2 3" xfId="13040" xr:uid="{3C45E818-3599-4247-ADFF-98AA9B820368}"/>
    <cellStyle name="20% - Accent6 2 2 5 2 4" xfId="21487" xr:uid="{1C92F725-7B6E-44E5-A250-9A8E86AD23C7}"/>
    <cellStyle name="20% - Accent6 2 2 5 2 5" xfId="29934" xr:uid="{DD38BFB6-05A0-4BEE-A754-9844D714491B}"/>
    <cellStyle name="20% - Accent6 2 2 5 3" xfId="5786" xr:uid="{00000000-0005-0000-0000-000043030000}"/>
    <cellStyle name="20% - Accent6 2 2 5 3 2" xfId="15112" xr:uid="{86238A10-8299-4E01-B5A9-43F24B34F85A}"/>
    <cellStyle name="20% - Accent6 2 2 5 3 3" xfId="23559" xr:uid="{8598138C-65CC-4743-9F34-29E4988DC5D4}"/>
    <cellStyle name="20% - Accent6 2 2 5 3 4" xfId="32006" xr:uid="{409F94C0-01D6-4B29-9B1B-BA7F40C1EA1D}"/>
    <cellStyle name="20% - Accent6 2 2 5 4" xfId="10895" xr:uid="{FEEF7D8D-F2D8-4456-95B2-7DAA25CF2BE0}"/>
    <cellStyle name="20% - Accent6 2 2 5 5" xfId="19342" xr:uid="{4CCC44A1-AA86-4A58-81F6-43306E4098FB}"/>
    <cellStyle name="20% - Accent6 2 2 5 6" xfId="27789" xr:uid="{CD245E34-644F-47AF-937B-B1327511B883}"/>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17670" xr:uid="{02B7C3C2-A8CE-405C-B50D-A59C16CD84B3}"/>
    <cellStyle name="20% - Accent6 2 2 6 2 2 3" xfId="26117" xr:uid="{5552B66A-619D-422A-83C2-80193B6F487E}"/>
    <cellStyle name="20% - Accent6 2 2 6 2 2 4" xfId="34564" xr:uid="{0AC37719-1E0C-4C9A-882E-35D7DE0ACCE8}"/>
    <cellStyle name="20% - Accent6 2 2 6 2 3" xfId="13453" xr:uid="{254837A8-0F35-4BFE-BDF7-E5399A0D8F87}"/>
    <cellStyle name="20% - Accent6 2 2 6 2 4" xfId="21900" xr:uid="{7C50971F-F84A-4D23-9B75-D509A9133C7A}"/>
    <cellStyle name="20% - Accent6 2 2 6 2 5" xfId="30347" xr:uid="{AD4ABEFD-34D1-49E5-9617-923944C13F75}"/>
    <cellStyle name="20% - Accent6 2 2 6 3" xfId="6199" xr:uid="{00000000-0005-0000-0000-000047030000}"/>
    <cellStyle name="20% - Accent6 2 2 6 3 2" xfId="15525" xr:uid="{0FB7033F-29F0-43C2-8CDD-089F00FF9793}"/>
    <cellStyle name="20% - Accent6 2 2 6 3 3" xfId="23972" xr:uid="{30E6DD35-C22E-49CB-80C3-60F72258CBC3}"/>
    <cellStyle name="20% - Accent6 2 2 6 3 4" xfId="32419" xr:uid="{5F5BC760-FCFA-4E09-B426-BEF2267AE800}"/>
    <cellStyle name="20% - Accent6 2 2 6 4" xfId="11308" xr:uid="{E7618A21-14E7-4E0A-81A5-9EFE8FC86373}"/>
    <cellStyle name="20% - Accent6 2 2 6 5" xfId="19755" xr:uid="{C812B21F-5E1E-437F-9925-0ACA7FB9BAD0}"/>
    <cellStyle name="20% - Accent6 2 2 6 6" xfId="28202" xr:uid="{3F86A706-9D84-45F0-978E-1C6EB8614A46}"/>
    <cellStyle name="20% - Accent6 2 2 7" xfId="2306" xr:uid="{00000000-0005-0000-0000-000048030000}"/>
    <cellStyle name="20% - Accent6 2 2 7 2" xfId="6612" xr:uid="{00000000-0005-0000-0000-000049030000}"/>
    <cellStyle name="20% - Accent6 2 2 7 2 2" xfId="15938" xr:uid="{28B07A40-2F50-4F67-A300-FABDA743471A}"/>
    <cellStyle name="20% - Accent6 2 2 7 2 3" xfId="24385" xr:uid="{0CCCBD5C-C4AD-469F-8A45-BD4857FFC6E1}"/>
    <cellStyle name="20% - Accent6 2 2 7 2 4" xfId="32832" xr:uid="{AF6E3955-9338-4879-B7EE-106E9124F16E}"/>
    <cellStyle name="20% - Accent6 2 2 7 3" xfId="11721" xr:uid="{F28EEE96-3253-44E1-B37B-BCA1D79B6B29}"/>
    <cellStyle name="20% - Accent6 2 2 7 4" xfId="20168" xr:uid="{EF9CAF51-4B07-4F1F-AE53-FB2B597604AB}"/>
    <cellStyle name="20% - Accent6 2 2 7 5" xfId="28615" xr:uid="{DBCDC11F-80D0-442F-8496-54F4F69D05B6}"/>
    <cellStyle name="20% - Accent6 2 2 8" xfId="4546" xr:uid="{00000000-0005-0000-0000-00004A030000}"/>
    <cellStyle name="20% - Accent6 2 2 8 2" xfId="13872" xr:uid="{6B09A88A-36D7-4F85-8D5E-F4832CF6BF5F}"/>
    <cellStyle name="20% - Accent6 2 2 8 3" xfId="22319" xr:uid="{B2A95202-A907-45B3-9F3C-D7963B0D5D8C}"/>
    <cellStyle name="20% - Accent6 2 2 8 4" xfId="30766" xr:uid="{6CEACB5A-A996-4923-8447-D0C57C50A769}"/>
    <cellStyle name="20% - Accent6 2 2 9" xfId="8898" xr:uid="{88686F75-037F-4072-9BDC-942546C51E8F}"/>
    <cellStyle name="20% - Accent6 2 3" xfId="45" xr:uid="{00000000-0005-0000-0000-00004B030000}"/>
    <cellStyle name="20% - Accent6 2 3 10" xfId="18104" xr:uid="{72806111-3B46-4707-9D66-F63B27A01830}"/>
    <cellStyle name="20% - Accent6 2 3 11" xfId="26551" xr:uid="{B07A7203-B6DE-41A6-994E-F3BC42CD4869}"/>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16433" xr:uid="{12BDAE75-EBEF-4821-BD87-9BCBA9771486}"/>
    <cellStyle name="20% - Accent6 2 3 2 2 2 3" xfId="24880" xr:uid="{253A0A5F-A214-4E72-9F1D-E3972220B5DA}"/>
    <cellStyle name="20% - Accent6 2 3 2 2 2 4" xfId="33327" xr:uid="{0B358AAC-D15B-429B-A7E8-F7AA5EC3CD5C}"/>
    <cellStyle name="20% - Accent6 2 3 2 2 3" xfId="12216" xr:uid="{8C9EBC58-588F-422F-BACD-99A3098C1C51}"/>
    <cellStyle name="20% - Accent6 2 3 2 2 4" xfId="20663" xr:uid="{847AD7FA-6053-494E-9424-83ADD0CB7EEC}"/>
    <cellStyle name="20% - Accent6 2 3 2 2 5" xfId="29110" xr:uid="{14FF0811-5DFD-4F1A-BE96-491720379671}"/>
    <cellStyle name="20% - Accent6 2 3 2 3" xfId="4962" xr:uid="{00000000-0005-0000-0000-00004F030000}"/>
    <cellStyle name="20% - Accent6 2 3 2 3 2" xfId="14288" xr:uid="{8AEE7FB1-600A-4448-B6CC-1CB70F58889F}"/>
    <cellStyle name="20% - Accent6 2 3 2 3 3" xfId="22735" xr:uid="{0179837C-33F0-49EA-9368-C71D43969E2E}"/>
    <cellStyle name="20% - Accent6 2 3 2 3 4" xfId="31182" xr:uid="{50C99A23-4908-4E08-8DB4-92AAAB42597A}"/>
    <cellStyle name="20% - Accent6 2 3 2 4" xfId="9427" xr:uid="{009378B6-C0A8-4C7C-A9A2-F91104842D93}"/>
    <cellStyle name="20% - Accent6 2 3 2 5" xfId="10071" xr:uid="{C5605D2A-CF0C-4C6B-A8B5-AAEBF1495FB6}"/>
    <cellStyle name="20% - Accent6 2 3 2 6" xfId="18518" xr:uid="{95FCF3CC-31A5-4DAB-A0A1-64EBA0DA0CDC}"/>
    <cellStyle name="20% - Accent6 2 3 2 7" xfId="26965" xr:uid="{66C3C22A-AD61-4EAD-90D9-68057770C28C}"/>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16846" xr:uid="{542DE2F5-61DB-48DA-B9C4-D3CCC2EB69AA}"/>
    <cellStyle name="20% - Accent6 2 3 3 2 2 3" xfId="25293" xr:uid="{599DC05A-E3F0-4C58-9932-51568592E3FE}"/>
    <cellStyle name="20% - Accent6 2 3 3 2 2 4" xfId="33740" xr:uid="{740EC36A-E8B2-43AA-A2AA-269845FA056C}"/>
    <cellStyle name="20% - Accent6 2 3 3 2 3" xfId="12629" xr:uid="{BA3D7A9E-EDC0-405E-9DBA-2C8FDC3464F2}"/>
    <cellStyle name="20% - Accent6 2 3 3 2 4" xfId="21076" xr:uid="{89CBF9D9-7FF2-41DF-B1C6-A7682FAC07B1}"/>
    <cellStyle name="20% - Accent6 2 3 3 2 5" xfId="29523" xr:uid="{7A066CC5-7CEF-49DD-BE8B-E2FF02620ED1}"/>
    <cellStyle name="20% - Accent6 2 3 3 3" xfId="5375" xr:uid="{00000000-0005-0000-0000-000053030000}"/>
    <cellStyle name="20% - Accent6 2 3 3 3 2" xfId="14701" xr:uid="{A5806CF3-71A0-44CF-920B-D5BB1528CF11}"/>
    <cellStyle name="20% - Accent6 2 3 3 3 3" xfId="23148" xr:uid="{D89A062A-13C0-4F6F-9C14-59D7DD3AA43A}"/>
    <cellStyle name="20% - Accent6 2 3 3 3 4" xfId="31595" xr:uid="{FCD38157-F9FE-4B4B-8554-33DD8BEA2B1D}"/>
    <cellStyle name="20% - Accent6 2 3 3 4" xfId="10484" xr:uid="{3DE73914-5AFB-4BDB-93B9-2201F063A340}"/>
    <cellStyle name="20% - Accent6 2 3 3 5" xfId="18931" xr:uid="{8442C31B-8BF9-4DEF-8B4E-DC7D08BD6195}"/>
    <cellStyle name="20% - Accent6 2 3 3 6" xfId="27378" xr:uid="{F1C2468E-419F-4F62-9AF8-8156835D3857}"/>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17259" xr:uid="{7FCF7B67-C63C-44F6-8169-7C815E6C059B}"/>
    <cellStyle name="20% - Accent6 2 3 4 2 2 3" xfId="25706" xr:uid="{185F8606-8007-4252-A4F2-8E427C9BFB5F}"/>
    <cellStyle name="20% - Accent6 2 3 4 2 2 4" xfId="34153" xr:uid="{F961BF94-D961-44E6-8B92-A263748D206E}"/>
    <cellStyle name="20% - Accent6 2 3 4 2 3" xfId="13042" xr:uid="{218F751A-D43A-4A8D-AE8E-42CB794D4A11}"/>
    <cellStyle name="20% - Accent6 2 3 4 2 4" xfId="21489" xr:uid="{F916AD7D-B637-4FF1-931D-C91C3DC4D120}"/>
    <cellStyle name="20% - Accent6 2 3 4 2 5" xfId="29936" xr:uid="{93E3C0D8-E3DE-4807-BCF8-E4E7C4567085}"/>
    <cellStyle name="20% - Accent6 2 3 4 3" xfId="5788" xr:uid="{00000000-0005-0000-0000-000057030000}"/>
    <cellStyle name="20% - Accent6 2 3 4 3 2" xfId="15114" xr:uid="{3B95B4B8-187F-49E3-BC66-230351780ACC}"/>
    <cellStyle name="20% - Accent6 2 3 4 3 3" xfId="23561" xr:uid="{AE9A6F37-530D-401E-85FD-89E6FB492E4A}"/>
    <cellStyle name="20% - Accent6 2 3 4 3 4" xfId="32008" xr:uid="{396224DE-D09F-4879-B62A-F383EAFA4DB9}"/>
    <cellStyle name="20% - Accent6 2 3 4 4" xfId="10897" xr:uid="{8D1E7A59-5E19-487A-B36B-BDA66BD6A4C1}"/>
    <cellStyle name="20% - Accent6 2 3 4 5" xfId="19344" xr:uid="{8B93ACC6-5FDE-48F0-B166-C7576FDC9671}"/>
    <cellStyle name="20% - Accent6 2 3 4 6" xfId="27791" xr:uid="{C3458D8A-3AFC-4B88-9521-33E69CD05C04}"/>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17672" xr:uid="{3F87851E-774D-4FBF-AA36-326B9567FA53}"/>
    <cellStyle name="20% - Accent6 2 3 5 2 2 3" xfId="26119" xr:uid="{BB84CF01-DC81-405E-9E8A-AE1AE148ABD5}"/>
    <cellStyle name="20% - Accent6 2 3 5 2 2 4" xfId="34566" xr:uid="{AFAB9E6A-C6D1-4E8B-8395-038D5B2B9529}"/>
    <cellStyle name="20% - Accent6 2 3 5 2 3" xfId="13455" xr:uid="{3E5FB6B6-3D02-421F-88C8-2BAE1CEFDE42}"/>
    <cellStyle name="20% - Accent6 2 3 5 2 4" xfId="21902" xr:uid="{53183318-F235-429E-93EF-AF67A05590B7}"/>
    <cellStyle name="20% - Accent6 2 3 5 2 5" xfId="30349" xr:uid="{4A8AECAE-A144-46D7-A395-869A035278D0}"/>
    <cellStyle name="20% - Accent6 2 3 5 3" xfId="6201" xr:uid="{00000000-0005-0000-0000-00005B030000}"/>
    <cellStyle name="20% - Accent6 2 3 5 3 2" xfId="15527" xr:uid="{9043EB4C-A438-44A1-A465-9B14DE9BB5F3}"/>
    <cellStyle name="20% - Accent6 2 3 5 3 3" xfId="23974" xr:uid="{ED60B839-F7E6-4611-BBA1-F89783C19FA7}"/>
    <cellStyle name="20% - Accent6 2 3 5 3 4" xfId="32421" xr:uid="{CFD7A8B6-A1AA-4123-823C-1E1AE30326C1}"/>
    <cellStyle name="20% - Accent6 2 3 5 4" xfId="11310" xr:uid="{69995C01-D2BD-461F-870C-9C79D1464B96}"/>
    <cellStyle name="20% - Accent6 2 3 5 5" xfId="19757" xr:uid="{12FAADEF-CBA6-4FCF-8F44-3D4D31F18CE7}"/>
    <cellStyle name="20% - Accent6 2 3 5 6" xfId="28204" xr:uid="{8A6EA940-5EE7-4F4F-B5B2-8D8C4162A7F0}"/>
    <cellStyle name="20% - Accent6 2 3 6" xfId="2308" xr:uid="{00000000-0005-0000-0000-00005C030000}"/>
    <cellStyle name="20% - Accent6 2 3 6 2" xfId="6614" xr:uid="{00000000-0005-0000-0000-00005D030000}"/>
    <cellStyle name="20% - Accent6 2 3 6 2 2" xfId="15940" xr:uid="{B5B2DECE-DF49-497E-9D62-A9B1D791F170}"/>
    <cellStyle name="20% - Accent6 2 3 6 2 3" xfId="24387" xr:uid="{3FAB66A7-A357-4CC4-B86F-75FE441DB8FE}"/>
    <cellStyle name="20% - Accent6 2 3 6 2 4" xfId="32834" xr:uid="{0F38B8D8-3148-4F42-832D-E960693638AD}"/>
    <cellStyle name="20% - Accent6 2 3 6 3" xfId="11723" xr:uid="{0A7E2CDE-87ED-42E0-AB49-2AF1A572CB35}"/>
    <cellStyle name="20% - Accent6 2 3 6 4" xfId="20170" xr:uid="{75ED8B9B-2196-4786-B0E3-814D64358324}"/>
    <cellStyle name="20% - Accent6 2 3 6 5" xfId="28617" xr:uid="{4EE02C3D-FDD4-4FE3-868C-DB08B84C7341}"/>
    <cellStyle name="20% - Accent6 2 3 7" xfId="4548" xr:uid="{00000000-0005-0000-0000-00005E030000}"/>
    <cellStyle name="20% - Accent6 2 3 7 2" xfId="13874" xr:uid="{8D77B9F1-65C5-46C8-A119-328EF73916D3}"/>
    <cellStyle name="20% - Accent6 2 3 7 3" xfId="22321" xr:uid="{B0DF84F7-8CE4-4660-A3EB-516932BF1290}"/>
    <cellStyle name="20% - Accent6 2 3 7 4" xfId="30768" xr:uid="{E59C0F2E-B09D-405A-8E22-D9E8ED2A430F}"/>
    <cellStyle name="20% - Accent6 2 3 8" xfId="9002" xr:uid="{F69877AB-868C-474F-8F88-C5F2F1F2C041}"/>
    <cellStyle name="20% - Accent6 2 3 9" xfId="9657" xr:uid="{727B8A3C-240E-4A98-9A1E-80956F27C8B9}"/>
    <cellStyle name="20% - Accent6 2 4" xfId="611" xr:uid="{00000000-0005-0000-0000-00005F030000}"/>
    <cellStyle name="20% - Accent6 2 4 2" xfId="2882" xr:uid="{00000000-0005-0000-0000-000060030000}"/>
    <cellStyle name="20% - Accent6 2 4 2 2" xfId="7104" xr:uid="{00000000-0005-0000-0000-000061030000}"/>
    <cellStyle name="20% - Accent6 2 4 2 2 2" xfId="16430" xr:uid="{23D343B3-BA03-44D9-88B6-ABAE24350A68}"/>
    <cellStyle name="20% - Accent6 2 4 2 2 3" xfId="24877" xr:uid="{2EE13912-1D47-4C11-8D2A-31C5BE3E77D5}"/>
    <cellStyle name="20% - Accent6 2 4 2 2 4" xfId="33324" xr:uid="{E314956F-3862-4974-A09C-6297CBC22532}"/>
    <cellStyle name="20% - Accent6 2 4 2 3" xfId="12213" xr:uid="{88E57A6E-518D-4140-A8A3-DD1503C78C38}"/>
    <cellStyle name="20% - Accent6 2 4 2 4" xfId="20660" xr:uid="{359C67E3-55C4-4FEB-92B1-87B519E0918E}"/>
    <cellStyle name="20% - Accent6 2 4 2 5" xfId="29107" xr:uid="{E1F7426C-2549-4499-923C-D7F9411DA164}"/>
    <cellStyle name="20% - Accent6 2 4 3" xfId="4959" xr:uid="{00000000-0005-0000-0000-000062030000}"/>
    <cellStyle name="20% - Accent6 2 4 3 2" xfId="14285" xr:uid="{18E817BD-AFD6-498F-B2C0-AA29ED871EEE}"/>
    <cellStyle name="20% - Accent6 2 4 3 3" xfId="22732" xr:uid="{6A930808-890C-4A23-88E2-1CB33C3EFB1B}"/>
    <cellStyle name="20% - Accent6 2 4 3 4" xfId="31179" xr:uid="{6380C6D8-E8F7-4D21-B410-12A1401CD63B}"/>
    <cellStyle name="20% - Accent6 2 4 4" xfId="9219" xr:uid="{C8AD75F8-261B-45C4-93F0-0E0A49EEEF79}"/>
    <cellStyle name="20% - Accent6 2 4 5" xfId="10068" xr:uid="{07369CAE-B019-405B-B26E-9B7C10C4CB85}"/>
    <cellStyle name="20% - Accent6 2 4 6" xfId="18515" xr:uid="{B11A37AC-1202-463F-A157-B7BA15165686}"/>
    <cellStyle name="20% - Accent6 2 4 7" xfId="26962" xr:uid="{CB27CCC4-2173-43E5-99A1-6D2715A3FAB0}"/>
    <cellStyle name="20% - Accent6 2 5" xfId="1064" xr:uid="{00000000-0005-0000-0000-000063030000}"/>
    <cellStyle name="20% - Accent6 2 5 2" xfId="3295" xr:uid="{00000000-0005-0000-0000-000064030000}"/>
    <cellStyle name="20% - Accent6 2 5 2 2" xfId="7517" xr:uid="{00000000-0005-0000-0000-000065030000}"/>
    <cellStyle name="20% - Accent6 2 5 2 2 2" xfId="16843" xr:uid="{80A1F6B1-2332-4D4E-A3E7-4471EC8AEB1B}"/>
    <cellStyle name="20% - Accent6 2 5 2 2 3" xfId="25290" xr:uid="{A29D89BC-46C6-4687-B4F6-34B8D5C45325}"/>
    <cellStyle name="20% - Accent6 2 5 2 2 4" xfId="33737" xr:uid="{701EFEC9-66FB-4EB3-B584-AD0284979D60}"/>
    <cellStyle name="20% - Accent6 2 5 2 3" xfId="12626" xr:uid="{2F21807A-1D33-42C2-A38F-4D0407D739F7}"/>
    <cellStyle name="20% - Accent6 2 5 2 4" xfId="21073" xr:uid="{F4F580B2-03F6-4C87-B82D-16F7D2C9ABA0}"/>
    <cellStyle name="20% - Accent6 2 5 2 5" xfId="29520" xr:uid="{9B4E0773-67EA-47BC-85EA-9ED1866F8C52}"/>
    <cellStyle name="20% - Accent6 2 5 3" xfId="5372" xr:uid="{00000000-0005-0000-0000-000066030000}"/>
    <cellStyle name="20% - Accent6 2 5 3 2" xfId="14698" xr:uid="{80B19ACB-DDD1-4189-9944-386E4CC7B014}"/>
    <cellStyle name="20% - Accent6 2 5 3 3" xfId="23145" xr:uid="{831F5967-4F72-4601-B82B-AE8AA79A36AA}"/>
    <cellStyle name="20% - Accent6 2 5 3 4" xfId="31592" xr:uid="{BA69985D-698D-4B0A-9DAE-475F6D644428}"/>
    <cellStyle name="20% - Accent6 2 5 4" xfId="10481" xr:uid="{B183A40C-BE73-4CB6-93C1-F8280084F922}"/>
    <cellStyle name="20% - Accent6 2 5 5" xfId="18928" xr:uid="{09C59EB7-C6E4-4E1D-B307-D0464A532528}"/>
    <cellStyle name="20% - Accent6 2 5 6" xfId="27375" xr:uid="{9858710C-A087-4BC0-A302-42F090430D93}"/>
    <cellStyle name="20% - Accent6 2 6" xfId="1478" xr:uid="{00000000-0005-0000-0000-000067030000}"/>
    <cellStyle name="20% - Accent6 2 6 2" xfId="3708" xr:uid="{00000000-0005-0000-0000-000068030000}"/>
    <cellStyle name="20% - Accent6 2 6 2 2" xfId="7930" xr:uid="{00000000-0005-0000-0000-000069030000}"/>
    <cellStyle name="20% - Accent6 2 6 2 2 2" xfId="17256" xr:uid="{3CE7DFBF-6AAE-45CA-9FA7-0551184CE7DE}"/>
    <cellStyle name="20% - Accent6 2 6 2 2 3" xfId="25703" xr:uid="{ACAC92C3-B8D8-44B7-BE86-9887E4B5A22D}"/>
    <cellStyle name="20% - Accent6 2 6 2 2 4" xfId="34150" xr:uid="{C35CFBB3-6EBE-4FC5-AC91-015C33DE72D5}"/>
    <cellStyle name="20% - Accent6 2 6 2 3" xfId="13039" xr:uid="{38EC064B-26B1-49FA-88A2-318D66AF23E4}"/>
    <cellStyle name="20% - Accent6 2 6 2 4" xfId="21486" xr:uid="{335150E3-EEF9-4ECB-BC04-F2F831315F21}"/>
    <cellStyle name="20% - Accent6 2 6 2 5" xfId="29933" xr:uid="{DE0AFF19-92A7-4EE2-85D7-26A878AFB3BF}"/>
    <cellStyle name="20% - Accent6 2 6 3" xfId="5785" xr:uid="{00000000-0005-0000-0000-00006A030000}"/>
    <cellStyle name="20% - Accent6 2 6 3 2" xfId="15111" xr:uid="{A173A849-34C2-4260-A2D3-2DE900899419}"/>
    <cellStyle name="20% - Accent6 2 6 3 3" xfId="23558" xr:uid="{97891E34-7D85-44F2-A3D3-C40EE896F8AA}"/>
    <cellStyle name="20% - Accent6 2 6 3 4" xfId="32005" xr:uid="{2B8D83B4-57B2-458E-BC55-0A034061D599}"/>
    <cellStyle name="20% - Accent6 2 6 4" xfId="10894" xr:uid="{2DC7034B-CFAD-47DC-AE12-EE713CCA7842}"/>
    <cellStyle name="20% - Accent6 2 6 5" xfId="19341" xr:uid="{6B41901F-6337-41FF-ADA2-CFC91EE92E0A}"/>
    <cellStyle name="20% - Accent6 2 6 6" xfId="27788" xr:uid="{C2F54735-0AD5-4969-A7A1-075522D3C4F9}"/>
    <cellStyle name="20% - Accent6 2 7" xfId="1892" xr:uid="{00000000-0005-0000-0000-00006B030000}"/>
    <cellStyle name="20% - Accent6 2 7 2" xfId="4121" xr:uid="{00000000-0005-0000-0000-00006C030000}"/>
    <cellStyle name="20% - Accent6 2 7 2 2" xfId="8343" xr:uid="{00000000-0005-0000-0000-00006D030000}"/>
    <cellStyle name="20% - Accent6 2 7 2 2 2" xfId="17669" xr:uid="{EC8AD53F-27BA-476F-B492-18D6242B0632}"/>
    <cellStyle name="20% - Accent6 2 7 2 2 3" xfId="26116" xr:uid="{BAB516E9-391E-4BB8-A21D-5A6935D448B1}"/>
    <cellStyle name="20% - Accent6 2 7 2 2 4" xfId="34563" xr:uid="{D442C3D0-8A01-4B95-BD9E-B180192AA104}"/>
    <cellStyle name="20% - Accent6 2 7 2 3" xfId="13452" xr:uid="{52C7033E-AEE4-41CB-9E32-70ECE8EEB9FF}"/>
    <cellStyle name="20% - Accent6 2 7 2 4" xfId="21899" xr:uid="{39CF74A5-AA16-4896-9323-531B2ABB92EC}"/>
    <cellStyle name="20% - Accent6 2 7 2 5" xfId="30346" xr:uid="{B56FB466-ECD3-44ED-85DE-687363171CE2}"/>
    <cellStyle name="20% - Accent6 2 7 3" xfId="6198" xr:uid="{00000000-0005-0000-0000-00006E030000}"/>
    <cellStyle name="20% - Accent6 2 7 3 2" xfId="15524" xr:uid="{5F96BDE5-9B05-462E-AF3A-02A764B0A1A4}"/>
    <cellStyle name="20% - Accent6 2 7 3 3" xfId="23971" xr:uid="{759698C1-5E9D-4AAB-B1A6-B0C1DD65594C}"/>
    <cellStyle name="20% - Accent6 2 7 3 4" xfId="32418" xr:uid="{6F325563-737F-4C82-9C52-6C1F6034FF50}"/>
    <cellStyle name="20% - Accent6 2 7 4" xfId="11307" xr:uid="{E4D231FC-F328-4BF1-B7D5-A4FEAED5220E}"/>
    <cellStyle name="20% - Accent6 2 7 5" xfId="19754" xr:uid="{54DB1BA1-D518-48F7-BDD1-6142A699A705}"/>
    <cellStyle name="20% - Accent6 2 7 6" xfId="28201" xr:uid="{3185E371-207F-4ECA-852F-957975804B3D}"/>
    <cellStyle name="20% - Accent6 2 8" xfId="2305" xr:uid="{00000000-0005-0000-0000-00006F030000}"/>
    <cellStyle name="20% - Accent6 2 8 2" xfId="6611" xr:uid="{00000000-0005-0000-0000-000070030000}"/>
    <cellStyle name="20% - Accent6 2 8 2 2" xfId="15937" xr:uid="{EB92B4CD-06BA-4A28-BC86-2EC1EA60B995}"/>
    <cellStyle name="20% - Accent6 2 8 2 3" xfId="24384" xr:uid="{CA654810-C36C-436A-8314-78F381BE6DE8}"/>
    <cellStyle name="20% - Accent6 2 8 2 4" xfId="32831" xr:uid="{353BE403-2E9B-474B-895B-3495AB7919DD}"/>
    <cellStyle name="20% - Accent6 2 8 3" xfId="11720" xr:uid="{96DB9F61-CC83-400B-B04A-4A5F7F2DE27A}"/>
    <cellStyle name="20% - Accent6 2 8 4" xfId="20167" xr:uid="{95236FF5-2149-4556-BA05-7F3D6EA84B7D}"/>
    <cellStyle name="20% - Accent6 2 8 5" xfId="28614" xr:uid="{3E88FA24-B005-4D26-B0E6-264CE2B48715}"/>
    <cellStyle name="20% - Accent6 2 9" xfId="4545" xr:uid="{00000000-0005-0000-0000-000071030000}"/>
    <cellStyle name="20% - Accent6 2 9 2" xfId="13871" xr:uid="{7C261C72-F82D-4AEA-BA1E-D269F2F89355}"/>
    <cellStyle name="20% - Accent6 2 9 3" xfId="22318" xr:uid="{1142222F-BAA2-4EE2-87E6-F37C0659FE9D}"/>
    <cellStyle name="20% - Accent6 2 9 4" xfId="30765" xr:uid="{0B274749-3D04-4E1D-9393-9E425783D952}"/>
    <cellStyle name="20% - Accent6 3" xfId="46" xr:uid="{00000000-0005-0000-0000-000072030000}"/>
    <cellStyle name="20% - Accent6 3 10" xfId="9658" xr:uid="{47DF27B6-BF31-45E0-9F4A-10BE6DD6EE7C}"/>
    <cellStyle name="20% - Accent6 3 11" xfId="18105" xr:uid="{F889D668-714F-44D6-9C9D-5BC09EA046CC}"/>
    <cellStyle name="20% - Accent6 3 12" xfId="26552" xr:uid="{442B5C39-408E-4AFD-9E32-9EA12B8FF140}"/>
    <cellStyle name="20% - Accent6 3 2" xfId="47" xr:uid="{00000000-0005-0000-0000-000073030000}"/>
    <cellStyle name="20% - Accent6 3 2 10" xfId="18106" xr:uid="{A5A84D4F-3FCF-4A2A-AADD-DD5169F39F20}"/>
    <cellStyle name="20% - Accent6 3 2 11" xfId="26553" xr:uid="{29D2EE5D-7892-4E90-B090-554F8FF47433}"/>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16435" xr:uid="{46AAE087-B10F-4C97-840E-E072302D1654}"/>
    <cellStyle name="20% - Accent6 3 2 2 2 2 3" xfId="24882" xr:uid="{6141845A-6866-4FDE-B41F-F6483F97B25B}"/>
    <cellStyle name="20% - Accent6 3 2 2 2 2 4" xfId="33329" xr:uid="{D4BE4E5B-0D22-4DAB-960E-A5F26D748820}"/>
    <cellStyle name="20% - Accent6 3 2 2 2 3" xfId="12218" xr:uid="{507877CD-3F5C-4AA5-B8F2-F1662A8EBFCA}"/>
    <cellStyle name="20% - Accent6 3 2 2 2 4" xfId="20665" xr:uid="{7FDA9123-D0F4-4890-BCC3-07C280A0A345}"/>
    <cellStyle name="20% - Accent6 3 2 2 2 5" xfId="29112" xr:uid="{BB6E1DE6-42C9-44F9-9EB2-DD6B3E415CAE}"/>
    <cellStyle name="20% - Accent6 3 2 2 3" xfId="4964" xr:uid="{00000000-0005-0000-0000-000077030000}"/>
    <cellStyle name="20% - Accent6 3 2 2 3 2" xfId="14290" xr:uid="{0CC03334-A974-45AC-B26C-598E759D0ABB}"/>
    <cellStyle name="20% - Accent6 3 2 2 3 3" xfId="22737" xr:uid="{FBF69BB7-DC8B-4046-97E3-0D992CDD7D63}"/>
    <cellStyle name="20% - Accent6 3 2 2 3 4" xfId="31184" xr:uid="{76EEE5D9-AA32-4323-B570-CB0AF8B6423D}"/>
    <cellStyle name="20% - Accent6 3 2 2 4" xfId="9503" xr:uid="{A5A3EDF8-16EA-4A86-8795-C3BA46FE244A}"/>
    <cellStyle name="20% - Accent6 3 2 2 5" xfId="10073" xr:uid="{4C510798-F396-4A6F-AE86-53E7E2833E23}"/>
    <cellStyle name="20% - Accent6 3 2 2 6" xfId="18520" xr:uid="{75D62E01-897F-49CD-AF32-8D3FC4AF2F07}"/>
    <cellStyle name="20% - Accent6 3 2 2 7" xfId="26967" xr:uid="{07FB878D-5557-49C9-9CC8-EC80AB4C1EDA}"/>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16848" xr:uid="{153C9229-A6BB-4B51-8D87-3181EF24F604}"/>
    <cellStyle name="20% - Accent6 3 2 3 2 2 3" xfId="25295" xr:uid="{EA1393D3-1A00-4088-83E0-3555A1E743C6}"/>
    <cellStyle name="20% - Accent6 3 2 3 2 2 4" xfId="33742" xr:uid="{15E1DD30-F17A-42B8-9BC6-0E533CC43108}"/>
    <cellStyle name="20% - Accent6 3 2 3 2 3" xfId="12631" xr:uid="{337A46E3-FA18-4A71-A83F-7BA266E81C20}"/>
    <cellStyle name="20% - Accent6 3 2 3 2 4" xfId="21078" xr:uid="{D1DFE322-8C76-438F-8E86-5A3908BDEA5F}"/>
    <cellStyle name="20% - Accent6 3 2 3 2 5" xfId="29525" xr:uid="{8477E670-9780-41BF-9064-7B5D118FA7AA}"/>
    <cellStyle name="20% - Accent6 3 2 3 3" xfId="5377" xr:uid="{00000000-0005-0000-0000-00007B030000}"/>
    <cellStyle name="20% - Accent6 3 2 3 3 2" xfId="14703" xr:uid="{837CB7D2-4567-4621-B662-E64E64CEF65D}"/>
    <cellStyle name="20% - Accent6 3 2 3 3 3" xfId="23150" xr:uid="{8F70F706-A209-4152-8CBB-13B78F9441B6}"/>
    <cellStyle name="20% - Accent6 3 2 3 3 4" xfId="31597" xr:uid="{1DA4BE5B-8093-4E50-90B7-707FE212E152}"/>
    <cellStyle name="20% - Accent6 3 2 3 4" xfId="10486" xr:uid="{D13DD3C1-8780-465A-A1F5-262693A64D9D}"/>
    <cellStyle name="20% - Accent6 3 2 3 5" xfId="18933" xr:uid="{431B21C6-DE05-4E5F-9324-0A412228E278}"/>
    <cellStyle name="20% - Accent6 3 2 3 6" xfId="27380" xr:uid="{7BF0DF92-F55B-4947-AB49-D6F6E80D3C6A}"/>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17261" xr:uid="{F97C9E68-2975-4F62-AB01-A8537FE19F62}"/>
    <cellStyle name="20% - Accent6 3 2 4 2 2 3" xfId="25708" xr:uid="{5A15FB47-5B7C-434C-89F5-CA46472EB7F9}"/>
    <cellStyle name="20% - Accent6 3 2 4 2 2 4" xfId="34155" xr:uid="{C4F3F583-966F-428F-AC7D-B7F362AFABC1}"/>
    <cellStyle name="20% - Accent6 3 2 4 2 3" xfId="13044" xr:uid="{3BA3B611-5F4F-48FE-9B28-2822D375238B}"/>
    <cellStyle name="20% - Accent6 3 2 4 2 4" xfId="21491" xr:uid="{2E667B43-468F-4E91-8AF9-D8070AE4BFB0}"/>
    <cellStyle name="20% - Accent6 3 2 4 2 5" xfId="29938" xr:uid="{F066A1BC-BB4F-4ADC-92EB-10F6B0ED7B61}"/>
    <cellStyle name="20% - Accent6 3 2 4 3" xfId="5790" xr:uid="{00000000-0005-0000-0000-00007F030000}"/>
    <cellStyle name="20% - Accent6 3 2 4 3 2" xfId="15116" xr:uid="{17B677BC-6DEC-4BDB-BDB6-40B2D3FEAEFA}"/>
    <cellStyle name="20% - Accent6 3 2 4 3 3" xfId="23563" xr:uid="{8AA4809C-282F-4B15-AF2F-ED210D82432E}"/>
    <cellStyle name="20% - Accent6 3 2 4 3 4" xfId="32010" xr:uid="{61D542A5-F4B3-4262-81AB-C1FCEF902F0B}"/>
    <cellStyle name="20% - Accent6 3 2 4 4" xfId="10899" xr:uid="{9615D2EE-37F9-49F6-93A3-5C10EF86E701}"/>
    <cellStyle name="20% - Accent6 3 2 4 5" xfId="19346" xr:uid="{C16C25E9-E1FC-4E6A-9854-C210C91784CC}"/>
    <cellStyle name="20% - Accent6 3 2 4 6" xfId="27793" xr:uid="{E8833E79-7E50-4E71-87BF-49E2935017EC}"/>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17674" xr:uid="{3D1E2A7C-CBD4-42F0-8F57-FC75C49123FD}"/>
    <cellStyle name="20% - Accent6 3 2 5 2 2 3" xfId="26121" xr:uid="{2F88212E-29BC-46D6-BA72-2164F9F8F746}"/>
    <cellStyle name="20% - Accent6 3 2 5 2 2 4" xfId="34568" xr:uid="{E5D091D7-1E79-4E01-A1B5-BD22608B0E09}"/>
    <cellStyle name="20% - Accent6 3 2 5 2 3" xfId="13457" xr:uid="{B8CDC552-8929-4844-BFD3-36162C9D6CE7}"/>
    <cellStyle name="20% - Accent6 3 2 5 2 4" xfId="21904" xr:uid="{46616AF6-CC9F-46BA-A743-2E7D62FA8981}"/>
    <cellStyle name="20% - Accent6 3 2 5 2 5" xfId="30351" xr:uid="{1B58FB85-396B-4FBC-B9BD-B2D761809942}"/>
    <cellStyle name="20% - Accent6 3 2 5 3" xfId="6203" xr:uid="{00000000-0005-0000-0000-000083030000}"/>
    <cellStyle name="20% - Accent6 3 2 5 3 2" xfId="15529" xr:uid="{70C9C19E-46FC-4D93-B197-8370D3BBE683}"/>
    <cellStyle name="20% - Accent6 3 2 5 3 3" xfId="23976" xr:uid="{37601B82-082D-45DB-BEB1-CE2665548D43}"/>
    <cellStyle name="20% - Accent6 3 2 5 3 4" xfId="32423" xr:uid="{0144BBBC-F9A0-42D6-BE5B-7F14F77C3E6A}"/>
    <cellStyle name="20% - Accent6 3 2 5 4" xfId="11312" xr:uid="{DAE23909-69AB-4B2F-B163-11BA6E321DB9}"/>
    <cellStyle name="20% - Accent6 3 2 5 5" xfId="19759" xr:uid="{ADFCCB5B-E970-4C6A-9E7A-B0C14572EA4A}"/>
    <cellStyle name="20% - Accent6 3 2 5 6" xfId="28206" xr:uid="{47350505-03EA-42B4-A24A-C3C53B206455}"/>
    <cellStyle name="20% - Accent6 3 2 6" xfId="2310" xr:uid="{00000000-0005-0000-0000-000084030000}"/>
    <cellStyle name="20% - Accent6 3 2 6 2" xfId="6616" xr:uid="{00000000-0005-0000-0000-000085030000}"/>
    <cellStyle name="20% - Accent6 3 2 6 2 2" xfId="15942" xr:uid="{37B0AA8A-0938-4214-BB2B-9E096C8731DB}"/>
    <cellStyle name="20% - Accent6 3 2 6 2 3" xfId="24389" xr:uid="{32662808-2B86-437B-A6CC-836C5EB4B053}"/>
    <cellStyle name="20% - Accent6 3 2 6 2 4" xfId="32836" xr:uid="{D5BD8967-E607-4CA0-A4B2-D40E835BCBFA}"/>
    <cellStyle name="20% - Accent6 3 2 6 3" xfId="11725" xr:uid="{0C42C8C3-4E62-4F60-BDDF-01A79381985A}"/>
    <cellStyle name="20% - Accent6 3 2 6 4" xfId="20172" xr:uid="{05A16DCC-E6C5-49CB-BB4D-6024A72C1E20}"/>
    <cellStyle name="20% - Accent6 3 2 6 5" xfId="28619" xr:uid="{63CDA490-2ECC-453C-AAC8-2B135701D1CB}"/>
    <cellStyle name="20% - Accent6 3 2 7" xfId="4550" xr:uid="{00000000-0005-0000-0000-000086030000}"/>
    <cellStyle name="20% - Accent6 3 2 7 2" xfId="13876" xr:uid="{AF1B9093-76F1-4CB1-977B-527C7DAF0185}"/>
    <cellStyle name="20% - Accent6 3 2 7 3" xfId="22323" xr:uid="{4AD7207B-D013-417F-92A8-BDBB763D999D}"/>
    <cellStyle name="20% - Accent6 3 2 7 4" xfId="30770" xr:uid="{F0FE5139-90B4-4567-8309-0830C5DA2221}"/>
    <cellStyle name="20% - Accent6 3 2 8" xfId="9078" xr:uid="{55C63253-C10A-44F0-A9A1-D3E9AD1B1E77}"/>
    <cellStyle name="20% - Accent6 3 2 9" xfId="9659" xr:uid="{E07B54EF-2A8A-4E0C-A6E8-0608D8A8194B}"/>
    <cellStyle name="20% - Accent6 3 3" xfId="615" xr:uid="{00000000-0005-0000-0000-000087030000}"/>
    <cellStyle name="20% - Accent6 3 3 2" xfId="2886" xr:uid="{00000000-0005-0000-0000-000088030000}"/>
    <cellStyle name="20% - Accent6 3 3 2 2" xfId="7108" xr:uid="{00000000-0005-0000-0000-000089030000}"/>
    <cellStyle name="20% - Accent6 3 3 2 2 2" xfId="16434" xr:uid="{C8242A81-1666-4195-8365-562C8C5F6883}"/>
    <cellStyle name="20% - Accent6 3 3 2 2 3" xfId="24881" xr:uid="{ACE4CB2F-B04B-4D93-92D8-AF7C974759A3}"/>
    <cellStyle name="20% - Accent6 3 3 2 2 4" xfId="33328" xr:uid="{CB652E37-14A6-4D9B-9B2E-5D8BB0B3C1CF}"/>
    <cellStyle name="20% - Accent6 3 3 2 3" xfId="12217" xr:uid="{0FD18E94-991E-4745-89EB-6713A8963DEF}"/>
    <cellStyle name="20% - Accent6 3 3 2 4" xfId="20664" xr:uid="{0DAFD4D6-D3ED-4CD4-A5FB-D29AD1257913}"/>
    <cellStyle name="20% - Accent6 3 3 2 5" xfId="29111" xr:uid="{E1515E66-FB47-4EE3-AB13-27277933B6C5}"/>
    <cellStyle name="20% - Accent6 3 3 3" xfId="4963" xr:uid="{00000000-0005-0000-0000-00008A030000}"/>
    <cellStyle name="20% - Accent6 3 3 3 2" xfId="14289" xr:uid="{19A328BE-656C-4360-884A-0AD80DEFA583}"/>
    <cellStyle name="20% - Accent6 3 3 3 3" xfId="22736" xr:uid="{55E8C532-3D35-4411-8CC2-8529E38C4A43}"/>
    <cellStyle name="20% - Accent6 3 3 3 4" xfId="31183" xr:uid="{1EF15E4C-C4E1-47A6-86B2-6E615B17F65B}"/>
    <cellStyle name="20% - Accent6 3 3 4" xfId="9296" xr:uid="{68DBDAD1-945F-459A-93CE-56D312D1EDE4}"/>
    <cellStyle name="20% - Accent6 3 3 5" xfId="10072" xr:uid="{953F2868-E6A1-4FEB-8FAA-D6C0217EC64D}"/>
    <cellStyle name="20% - Accent6 3 3 6" xfId="18519" xr:uid="{CC8EBC27-F7DA-49F4-BD87-9A5CAD894711}"/>
    <cellStyle name="20% - Accent6 3 3 7" xfId="26966" xr:uid="{FD926EF9-8F1F-4229-8FDD-8217E8CF2737}"/>
    <cellStyle name="20% - Accent6 3 4" xfId="1068" xr:uid="{00000000-0005-0000-0000-00008B030000}"/>
    <cellStyle name="20% - Accent6 3 4 2" xfId="3299" xr:uid="{00000000-0005-0000-0000-00008C030000}"/>
    <cellStyle name="20% - Accent6 3 4 2 2" xfId="7521" xr:uid="{00000000-0005-0000-0000-00008D030000}"/>
    <cellStyle name="20% - Accent6 3 4 2 2 2" xfId="16847" xr:uid="{5BAE7764-9E5D-4368-B01B-4BC5CA7080A3}"/>
    <cellStyle name="20% - Accent6 3 4 2 2 3" xfId="25294" xr:uid="{163EF247-CA6E-4B36-B1EF-CC753B2EAEEF}"/>
    <cellStyle name="20% - Accent6 3 4 2 2 4" xfId="33741" xr:uid="{8836289A-8B83-4D9C-9480-D1F7F675D2B2}"/>
    <cellStyle name="20% - Accent6 3 4 2 3" xfId="12630" xr:uid="{EEAD9494-ED39-412E-B19A-BBFCA899D285}"/>
    <cellStyle name="20% - Accent6 3 4 2 4" xfId="21077" xr:uid="{177960AB-FE8F-4504-B72D-FA337D7C7E6E}"/>
    <cellStyle name="20% - Accent6 3 4 2 5" xfId="29524" xr:uid="{B58E026F-4A5F-43D0-8A75-08748F3F4FCC}"/>
    <cellStyle name="20% - Accent6 3 4 3" xfId="5376" xr:uid="{00000000-0005-0000-0000-00008E030000}"/>
    <cellStyle name="20% - Accent6 3 4 3 2" xfId="14702" xr:uid="{DE5E1C4B-D7B3-41EB-B1E0-B925967ABC58}"/>
    <cellStyle name="20% - Accent6 3 4 3 3" xfId="23149" xr:uid="{D52B6026-6682-4237-AA93-8C1ACEDF4B60}"/>
    <cellStyle name="20% - Accent6 3 4 3 4" xfId="31596" xr:uid="{AAE9074C-87A1-48A0-8969-EB5798ABC148}"/>
    <cellStyle name="20% - Accent6 3 4 4" xfId="10485" xr:uid="{35595A97-DAD8-4B4A-B723-D570AC540A48}"/>
    <cellStyle name="20% - Accent6 3 4 5" xfId="18932" xr:uid="{E0749A2D-7947-41B2-9096-FBC49B880554}"/>
    <cellStyle name="20% - Accent6 3 4 6" xfId="27379" xr:uid="{4D8FD78A-5D51-4119-9C1A-68CA5D222C97}"/>
    <cellStyle name="20% - Accent6 3 5" xfId="1482" xr:uid="{00000000-0005-0000-0000-00008F030000}"/>
    <cellStyle name="20% - Accent6 3 5 2" xfId="3712" xr:uid="{00000000-0005-0000-0000-000090030000}"/>
    <cellStyle name="20% - Accent6 3 5 2 2" xfId="7934" xr:uid="{00000000-0005-0000-0000-000091030000}"/>
    <cellStyle name="20% - Accent6 3 5 2 2 2" xfId="17260" xr:uid="{1691F7BA-FAC4-4D4B-925F-E3BC185590A7}"/>
    <cellStyle name="20% - Accent6 3 5 2 2 3" xfId="25707" xr:uid="{9CC2D554-694B-497A-A3E4-8F68DEE8702B}"/>
    <cellStyle name="20% - Accent6 3 5 2 2 4" xfId="34154" xr:uid="{AC43DC3A-C053-4BEE-B2C6-82B0AF25BAB2}"/>
    <cellStyle name="20% - Accent6 3 5 2 3" xfId="13043" xr:uid="{69DBAFCB-0CFB-40EE-A31D-9FE1887A94F2}"/>
    <cellStyle name="20% - Accent6 3 5 2 4" xfId="21490" xr:uid="{575470D3-817D-4843-A87E-AABB03CAEACE}"/>
    <cellStyle name="20% - Accent6 3 5 2 5" xfId="29937" xr:uid="{A7CA1BAF-3710-4305-B255-4C92D6D839D5}"/>
    <cellStyle name="20% - Accent6 3 5 3" xfId="5789" xr:uid="{00000000-0005-0000-0000-000092030000}"/>
    <cellStyle name="20% - Accent6 3 5 3 2" xfId="15115" xr:uid="{71B6DE89-8420-41DA-A338-C2FA526FE87B}"/>
    <cellStyle name="20% - Accent6 3 5 3 3" xfId="23562" xr:uid="{6C687C48-AA1B-4988-8CEF-D3CF506CC5BB}"/>
    <cellStyle name="20% - Accent6 3 5 3 4" xfId="32009" xr:uid="{C3856880-1523-47BF-886E-782D035D261B}"/>
    <cellStyle name="20% - Accent6 3 5 4" xfId="10898" xr:uid="{8D28D7B1-5DCF-4096-9080-5759AAD17E0D}"/>
    <cellStyle name="20% - Accent6 3 5 5" xfId="19345" xr:uid="{75CCC844-2D48-4D0C-BE0C-631D90ADBDFE}"/>
    <cellStyle name="20% - Accent6 3 5 6" xfId="27792" xr:uid="{EB84F62E-9195-4D75-BFBD-3F44369F2079}"/>
    <cellStyle name="20% - Accent6 3 6" xfId="1896" xr:uid="{00000000-0005-0000-0000-000093030000}"/>
    <cellStyle name="20% - Accent6 3 6 2" xfId="4125" xr:uid="{00000000-0005-0000-0000-000094030000}"/>
    <cellStyle name="20% - Accent6 3 6 2 2" xfId="8347" xr:uid="{00000000-0005-0000-0000-000095030000}"/>
    <cellStyle name="20% - Accent6 3 6 2 2 2" xfId="17673" xr:uid="{BD735176-62B5-4F47-A035-FDA08E51E0EE}"/>
    <cellStyle name="20% - Accent6 3 6 2 2 3" xfId="26120" xr:uid="{4CA6EE5D-AA72-4BF9-A1DA-635389848023}"/>
    <cellStyle name="20% - Accent6 3 6 2 2 4" xfId="34567" xr:uid="{3F9B27DB-0686-4422-AF9C-F6AE6E7B9840}"/>
    <cellStyle name="20% - Accent6 3 6 2 3" xfId="13456" xr:uid="{F9F7103F-B9EB-4655-8423-823FD504F6C9}"/>
    <cellStyle name="20% - Accent6 3 6 2 4" xfId="21903" xr:uid="{8CD8493F-6DCF-4CC4-B959-EA839CBF3A97}"/>
    <cellStyle name="20% - Accent6 3 6 2 5" xfId="30350" xr:uid="{495C256D-90CA-4DF7-9CE4-95AE0BFC76F0}"/>
    <cellStyle name="20% - Accent6 3 6 3" xfId="6202" xr:uid="{00000000-0005-0000-0000-000096030000}"/>
    <cellStyle name="20% - Accent6 3 6 3 2" xfId="15528" xr:uid="{5A0514EA-2540-4DE7-ABFB-AC562FBFCCDB}"/>
    <cellStyle name="20% - Accent6 3 6 3 3" xfId="23975" xr:uid="{B231C2EA-6A62-4C5F-8611-B31369C02416}"/>
    <cellStyle name="20% - Accent6 3 6 3 4" xfId="32422" xr:uid="{E1C1CBFD-C078-41BD-B993-BB0F298CDC54}"/>
    <cellStyle name="20% - Accent6 3 6 4" xfId="11311" xr:uid="{73AE5156-89BE-4DE1-A33F-0EE50B62E475}"/>
    <cellStyle name="20% - Accent6 3 6 5" xfId="19758" xr:uid="{4AF63BEC-8C2D-4562-A11D-3D6690E07669}"/>
    <cellStyle name="20% - Accent6 3 6 6" xfId="28205" xr:uid="{43D607CB-BABD-42B8-8BE6-95CDB3610944}"/>
    <cellStyle name="20% - Accent6 3 7" xfId="2309" xr:uid="{00000000-0005-0000-0000-000097030000}"/>
    <cellStyle name="20% - Accent6 3 7 2" xfId="6615" xr:uid="{00000000-0005-0000-0000-000098030000}"/>
    <cellStyle name="20% - Accent6 3 7 2 2" xfId="15941" xr:uid="{A27ACAD2-5FBB-489F-AAEE-FEA3A171BD79}"/>
    <cellStyle name="20% - Accent6 3 7 2 3" xfId="24388" xr:uid="{C6AC5685-01B6-4E42-9870-10CA480EF508}"/>
    <cellStyle name="20% - Accent6 3 7 2 4" xfId="32835" xr:uid="{48AC15FF-F0A7-45E9-AD07-96551A22957A}"/>
    <cellStyle name="20% - Accent6 3 7 3" xfId="11724" xr:uid="{30749023-CD71-4517-A2B0-88326BE9B51D}"/>
    <cellStyle name="20% - Accent6 3 7 4" xfId="20171" xr:uid="{6914DD97-6F55-4527-B45A-75DEBC14D93E}"/>
    <cellStyle name="20% - Accent6 3 7 5" xfId="28618" xr:uid="{87B52342-0F5A-4AF6-89F2-153232A7A4AB}"/>
    <cellStyle name="20% - Accent6 3 8" xfId="4549" xr:uid="{00000000-0005-0000-0000-000099030000}"/>
    <cellStyle name="20% - Accent6 3 8 2" xfId="13875" xr:uid="{4F54ED8B-0A14-46CB-AE16-473D2B76E269}"/>
    <cellStyle name="20% - Accent6 3 8 3" xfId="22322" xr:uid="{60BBAE21-98B7-4A4C-AB81-CEA96013EC22}"/>
    <cellStyle name="20% - Accent6 3 8 4" xfId="30769" xr:uid="{25AC9B86-9558-4C76-B731-90DE4FA63DDA}"/>
    <cellStyle name="20% - Accent6 3 9" xfId="8871" xr:uid="{6A653046-C3D6-46DC-9DAA-DA1241CBE9F0}"/>
    <cellStyle name="20% - Accent6 4" xfId="48" xr:uid="{00000000-0005-0000-0000-00009A030000}"/>
    <cellStyle name="20% - Accent6 4 10" xfId="18107" xr:uid="{71161AAA-FF46-49E5-8096-D00794D83258}"/>
    <cellStyle name="20% - Accent6 4 11" xfId="26554" xr:uid="{532D0B14-EBC4-4273-BF3C-64EE76585E6F}"/>
    <cellStyle name="20% - Accent6 4 2" xfId="617" xr:uid="{00000000-0005-0000-0000-00009B030000}"/>
    <cellStyle name="20% - Accent6 4 2 2" xfId="2888" xr:uid="{00000000-0005-0000-0000-00009C030000}"/>
    <cellStyle name="20% - Accent6 4 2 2 2" xfId="7110" xr:uid="{00000000-0005-0000-0000-00009D030000}"/>
    <cellStyle name="20% - Accent6 4 2 2 2 2" xfId="16436" xr:uid="{2685DF12-F8A1-4C05-9CB5-6635031017EB}"/>
    <cellStyle name="20% - Accent6 4 2 2 2 3" xfId="24883" xr:uid="{557965F5-BC4D-49F5-9DE2-C2E88EB8476E}"/>
    <cellStyle name="20% - Accent6 4 2 2 2 4" xfId="33330" xr:uid="{A9F51150-25EA-4F9C-84AA-842155562529}"/>
    <cellStyle name="20% - Accent6 4 2 2 3" xfId="12219" xr:uid="{96F42899-96E9-4B16-A3CD-28DCE2A7477F}"/>
    <cellStyle name="20% - Accent6 4 2 2 4" xfId="20666" xr:uid="{40C6164A-EC73-4633-8FC7-08EEAD4219CD}"/>
    <cellStyle name="20% - Accent6 4 2 2 5" xfId="29113" xr:uid="{E4E0350B-A8A2-428A-BF13-41853436AC23}"/>
    <cellStyle name="20% - Accent6 4 2 3" xfId="4965" xr:uid="{00000000-0005-0000-0000-00009E030000}"/>
    <cellStyle name="20% - Accent6 4 2 3 2" xfId="14291" xr:uid="{FD7ED347-1365-4B42-81FF-67E9D1B36A56}"/>
    <cellStyle name="20% - Accent6 4 2 3 3" xfId="22738" xr:uid="{F4F5E083-6A91-44C1-B8CD-D1D0E73F2578}"/>
    <cellStyle name="20% - Accent6 4 2 3 4" xfId="31185" xr:uid="{835362A4-481E-49E2-9AD1-D5D692F04002}"/>
    <cellStyle name="20% - Accent6 4 2 4" xfId="9382" xr:uid="{704ED43C-A59A-4E80-A03F-B933767E3A55}"/>
    <cellStyle name="20% - Accent6 4 2 5" xfId="10074" xr:uid="{7343A818-6AD2-468A-95FE-1AF197C746C4}"/>
    <cellStyle name="20% - Accent6 4 2 6" xfId="18521" xr:uid="{B01D4A2B-5184-442B-A284-C2CEBA4EE4A1}"/>
    <cellStyle name="20% - Accent6 4 2 7" xfId="26968" xr:uid="{C0CAD946-DA63-4A8C-A7C7-85CB00B11CCC}"/>
    <cellStyle name="20% - Accent6 4 3" xfId="1070" xr:uid="{00000000-0005-0000-0000-00009F030000}"/>
    <cellStyle name="20% - Accent6 4 3 2" xfId="3301" xr:uid="{00000000-0005-0000-0000-0000A0030000}"/>
    <cellStyle name="20% - Accent6 4 3 2 2" xfId="7523" xr:uid="{00000000-0005-0000-0000-0000A1030000}"/>
    <cellStyle name="20% - Accent6 4 3 2 2 2" xfId="16849" xr:uid="{0DF987C8-A4C3-4F8A-8CBF-410E6312C95F}"/>
    <cellStyle name="20% - Accent6 4 3 2 2 3" xfId="25296" xr:uid="{EB9FC5E1-E9AD-406F-A7B4-0489E1820662}"/>
    <cellStyle name="20% - Accent6 4 3 2 2 4" xfId="33743" xr:uid="{054C8FAF-EFE9-404E-8D48-5410F667DDAC}"/>
    <cellStyle name="20% - Accent6 4 3 2 3" xfId="12632" xr:uid="{4394AB47-7270-41C0-BCC9-FDC34DFA5F82}"/>
    <cellStyle name="20% - Accent6 4 3 2 4" xfId="21079" xr:uid="{10ABE9A5-94B9-433C-BA52-AC1E4910B9A0}"/>
    <cellStyle name="20% - Accent6 4 3 2 5" xfId="29526" xr:uid="{D6D59C55-5EE7-43E1-A4EB-950CF4C1887F}"/>
    <cellStyle name="20% - Accent6 4 3 3" xfId="5378" xr:uid="{00000000-0005-0000-0000-0000A2030000}"/>
    <cellStyle name="20% - Accent6 4 3 3 2" xfId="14704" xr:uid="{AB1710A5-EEF0-4F5B-A4D9-577B8E29AC64}"/>
    <cellStyle name="20% - Accent6 4 3 3 3" xfId="23151" xr:uid="{6A043B11-74F0-466C-9367-E8B6053D0458}"/>
    <cellStyle name="20% - Accent6 4 3 3 4" xfId="31598" xr:uid="{417643D6-82E5-42F3-87CF-395C0DE54CEE}"/>
    <cellStyle name="20% - Accent6 4 3 4" xfId="10487" xr:uid="{AFAF3ED9-B8EC-41D1-8094-18E1AD0BBB34}"/>
    <cellStyle name="20% - Accent6 4 3 5" xfId="18934" xr:uid="{5CF4222A-2ECA-4D36-B9CC-99EE78C9E879}"/>
    <cellStyle name="20% - Accent6 4 3 6" xfId="27381" xr:uid="{E1C9B061-DCBB-4A6F-A4FD-F8A3F25B7EB9}"/>
    <cellStyle name="20% - Accent6 4 4" xfId="1484" xr:uid="{00000000-0005-0000-0000-0000A3030000}"/>
    <cellStyle name="20% - Accent6 4 4 2" xfId="3714" xr:uid="{00000000-0005-0000-0000-0000A4030000}"/>
    <cellStyle name="20% - Accent6 4 4 2 2" xfId="7936" xr:uid="{00000000-0005-0000-0000-0000A5030000}"/>
    <cellStyle name="20% - Accent6 4 4 2 2 2" xfId="17262" xr:uid="{9287B1A7-FC41-4F81-947B-70600819FE45}"/>
    <cellStyle name="20% - Accent6 4 4 2 2 3" xfId="25709" xr:uid="{34E4E81C-26CF-44E5-BCE1-914A33009F27}"/>
    <cellStyle name="20% - Accent6 4 4 2 2 4" xfId="34156" xr:uid="{597257FA-DC1D-41F3-89E0-E10715CFF0A0}"/>
    <cellStyle name="20% - Accent6 4 4 2 3" xfId="13045" xr:uid="{478AA6D9-8DF4-4AFA-B711-1195DB5D653C}"/>
    <cellStyle name="20% - Accent6 4 4 2 4" xfId="21492" xr:uid="{111D127F-E195-479B-A74E-BABEAE03FD85}"/>
    <cellStyle name="20% - Accent6 4 4 2 5" xfId="29939" xr:uid="{140C7015-7224-42C5-8A6B-5478424D0AFF}"/>
    <cellStyle name="20% - Accent6 4 4 3" xfId="5791" xr:uid="{00000000-0005-0000-0000-0000A6030000}"/>
    <cellStyle name="20% - Accent6 4 4 3 2" xfId="15117" xr:uid="{A170179B-E179-4D1E-98D3-BC7DA16A03D4}"/>
    <cellStyle name="20% - Accent6 4 4 3 3" xfId="23564" xr:uid="{F3A41F65-2AD2-49EE-8DF6-001580EFEB17}"/>
    <cellStyle name="20% - Accent6 4 4 3 4" xfId="32011" xr:uid="{0B6D1BD9-9292-42C4-BE7B-D13BA8619364}"/>
    <cellStyle name="20% - Accent6 4 4 4" xfId="10900" xr:uid="{84299801-8D47-4DDB-A842-DE57692E585B}"/>
    <cellStyle name="20% - Accent6 4 4 5" xfId="19347" xr:uid="{0DC0E990-619F-4595-B195-6D7EA74D3CDB}"/>
    <cellStyle name="20% - Accent6 4 4 6" xfId="27794" xr:uid="{A27748D5-A01F-41D4-A05A-D856A4CBE9BC}"/>
    <cellStyle name="20% - Accent6 4 5" xfId="1898" xr:uid="{00000000-0005-0000-0000-0000A7030000}"/>
    <cellStyle name="20% - Accent6 4 5 2" xfId="4127" xr:uid="{00000000-0005-0000-0000-0000A8030000}"/>
    <cellStyle name="20% - Accent6 4 5 2 2" xfId="8349" xr:uid="{00000000-0005-0000-0000-0000A9030000}"/>
    <cellStyle name="20% - Accent6 4 5 2 2 2" xfId="17675" xr:uid="{CE120B50-37F7-489F-BAB0-4BF65DCD222A}"/>
    <cellStyle name="20% - Accent6 4 5 2 2 3" xfId="26122" xr:uid="{B05E09AB-934C-4C72-A538-7FE3A61BEB0E}"/>
    <cellStyle name="20% - Accent6 4 5 2 2 4" xfId="34569" xr:uid="{737B1D68-9CA7-42D5-B8A9-DE11CB64569F}"/>
    <cellStyle name="20% - Accent6 4 5 2 3" xfId="13458" xr:uid="{F27166E8-6D54-4488-8F40-C9CF341AB7EA}"/>
    <cellStyle name="20% - Accent6 4 5 2 4" xfId="21905" xr:uid="{886D5BF9-240F-41FC-804D-8BCF9D38F532}"/>
    <cellStyle name="20% - Accent6 4 5 2 5" xfId="30352" xr:uid="{A0EE6DA6-F04E-4632-84DC-61909E17621F}"/>
    <cellStyle name="20% - Accent6 4 5 3" xfId="6204" xr:uid="{00000000-0005-0000-0000-0000AA030000}"/>
    <cellStyle name="20% - Accent6 4 5 3 2" xfId="15530" xr:uid="{85D1540F-357C-48A6-8B1D-FB989C828CC2}"/>
    <cellStyle name="20% - Accent6 4 5 3 3" xfId="23977" xr:uid="{7C0C3089-3339-4062-A272-C74DAAC5FB5E}"/>
    <cellStyle name="20% - Accent6 4 5 3 4" xfId="32424" xr:uid="{56C52EF7-E04E-4409-A4D5-E8ECA968AF3C}"/>
    <cellStyle name="20% - Accent6 4 5 4" xfId="11313" xr:uid="{99C30FB5-D2A6-4D18-89B0-61FA62395975}"/>
    <cellStyle name="20% - Accent6 4 5 5" xfId="19760" xr:uid="{0F990E06-C5E5-477D-B66A-C42B85FE9531}"/>
    <cellStyle name="20% - Accent6 4 5 6" xfId="28207" xr:uid="{2FB902DD-1F06-461F-8436-1DB09A9D1428}"/>
    <cellStyle name="20% - Accent6 4 6" xfId="2311" xr:uid="{00000000-0005-0000-0000-0000AB030000}"/>
    <cellStyle name="20% - Accent6 4 6 2" xfId="6617" xr:uid="{00000000-0005-0000-0000-0000AC030000}"/>
    <cellStyle name="20% - Accent6 4 6 2 2" xfId="15943" xr:uid="{D8B706B2-881F-44DC-B49F-F8A93B7561DF}"/>
    <cellStyle name="20% - Accent6 4 6 2 3" xfId="24390" xr:uid="{4A194DA4-6620-4FD2-BD8A-11F1CF5ABD69}"/>
    <cellStyle name="20% - Accent6 4 6 2 4" xfId="32837" xr:uid="{6F84C9DE-A5A3-4F5B-95DB-E44EB8D27181}"/>
    <cellStyle name="20% - Accent6 4 6 3" xfId="11726" xr:uid="{B253AD27-4F9B-447B-8544-05AA91E3C192}"/>
    <cellStyle name="20% - Accent6 4 6 4" xfId="20173" xr:uid="{5E09DDDE-89AD-479C-8FD4-11EE16F6399C}"/>
    <cellStyle name="20% - Accent6 4 6 5" xfId="28620" xr:uid="{40264470-53E3-47E3-93DA-096740B9559B}"/>
    <cellStyle name="20% - Accent6 4 7" xfId="4551" xr:uid="{00000000-0005-0000-0000-0000AD030000}"/>
    <cellStyle name="20% - Accent6 4 7 2" xfId="13877" xr:uid="{99892D34-4155-4F33-857A-DC3C14E252E8}"/>
    <cellStyle name="20% - Accent6 4 7 3" xfId="22324" xr:uid="{C8F585F8-CFEC-4FE3-AA5B-70AB1CB76FCF}"/>
    <cellStyle name="20% - Accent6 4 7 4" xfId="30771" xr:uid="{71CD72D9-6706-45E2-9A31-827AF206095C}"/>
    <cellStyle name="20% - Accent6 4 8" xfId="8957" xr:uid="{03E1DA3A-6A3F-4C0D-9844-2D38E7BA13BC}"/>
    <cellStyle name="20% - Accent6 4 9" xfId="9660" xr:uid="{EB7F8AA4-9006-42E8-8DE0-473F557C67AC}"/>
    <cellStyle name="20% - Accent6 5" xfId="610" xr:uid="{00000000-0005-0000-0000-0000AE030000}"/>
    <cellStyle name="20% - Accent6 5 2" xfId="2881" xr:uid="{00000000-0005-0000-0000-0000AF030000}"/>
    <cellStyle name="20% - Accent6 5 2 2" xfId="7103" xr:uid="{00000000-0005-0000-0000-0000B0030000}"/>
    <cellStyle name="20% - Accent6 5 2 2 2" xfId="16429" xr:uid="{80B8EFDC-29C9-4234-9809-1B616FBCC334}"/>
    <cellStyle name="20% - Accent6 5 2 2 3" xfId="24876" xr:uid="{89891BD0-6E9A-4B41-837E-8B045FCF6FDB}"/>
    <cellStyle name="20% - Accent6 5 2 2 4" xfId="33323" xr:uid="{79D20735-B726-4E49-BA65-5262009ABDE0}"/>
    <cellStyle name="20% - Accent6 5 2 3" xfId="12212" xr:uid="{E7A97545-3054-4315-BFF6-024CA42E8BB6}"/>
    <cellStyle name="20% - Accent6 5 2 4" xfId="20659" xr:uid="{30AEE348-ACA9-4799-B664-8C83C9CB1C0C}"/>
    <cellStyle name="20% - Accent6 5 2 5" xfId="29106" xr:uid="{57258835-D389-4331-80A5-631B6FD713B9}"/>
    <cellStyle name="20% - Accent6 5 3" xfId="4958" xr:uid="{00000000-0005-0000-0000-0000B1030000}"/>
    <cellStyle name="20% - Accent6 5 3 2" xfId="14284" xr:uid="{2960001F-AE61-4B18-BBDA-3664FA8AC64B}"/>
    <cellStyle name="20% - Accent6 5 3 3" xfId="22731" xr:uid="{DC4D5F66-C158-4BC6-BA0B-5B886615DBE1}"/>
    <cellStyle name="20% - Accent6 5 3 4" xfId="31178" xr:uid="{ECDFEDB7-A9FD-48E9-87B0-2B78A0DF154E}"/>
    <cellStyle name="20% - Accent6 5 4" xfId="9191" xr:uid="{C812E2E5-5572-4E86-9CB6-C7C53792C044}"/>
    <cellStyle name="20% - Accent6 5 5" xfId="10067" xr:uid="{C84D34DB-705F-4CB6-8E58-5509023A402E}"/>
    <cellStyle name="20% - Accent6 5 6" xfId="18514" xr:uid="{BC91B517-8AD4-48BE-AA9C-23F2631BA035}"/>
    <cellStyle name="20% - Accent6 5 7" xfId="26961" xr:uid="{C32E9609-28F6-4261-9089-0E8E7C1FDFA5}"/>
    <cellStyle name="20% - Accent6 6" xfId="1063" xr:uid="{00000000-0005-0000-0000-0000B2030000}"/>
    <cellStyle name="20% - Accent6 6 2" xfId="3294" xr:uid="{00000000-0005-0000-0000-0000B3030000}"/>
    <cellStyle name="20% - Accent6 6 2 2" xfId="7516" xr:uid="{00000000-0005-0000-0000-0000B4030000}"/>
    <cellStyle name="20% - Accent6 6 2 2 2" xfId="16842" xr:uid="{32F86169-EF5A-4492-82A6-4CD1E17E8757}"/>
    <cellStyle name="20% - Accent6 6 2 2 3" xfId="25289" xr:uid="{12982322-7D0F-49CF-851C-C42283EDD47C}"/>
    <cellStyle name="20% - Accent6 6 2 2 4" xfId="33736" xr:uid="{98B2BCCC-3A1D-4F20-B740-689FCA4E9A72}"/>
    <cellStyle name="20% - Accent6 6 2 3" xfId="12625" xr:uid="{6F7CD6F0-EE27-4494-B0A7-AEBCAEA1BCAE}"/>
    <cellStyle name="20% - Accent6 6 2 4" xfId="21072" xr:uid="{69DFF920-D656-44D5-A3C4-421C99F65AC1}"/>
    <cellStyle name="20% - Accent6 6 2 5" xfId="29519" xr:uid="{2966DF82-0801-4CF8-9BA7-3D78388477BA}"/>
    <cellStyle name="20% - Accent6 6 3" xfId="5371" xr:uid="{00000000-0005-0000-0000-0000B5030000}"/>
    <cellStyle name="20% - Accent6 6 3 2" xfId="14697" xr:uid="{98662BAC-729B-4642-A3FA-F0BBF0026546}"/>
    <cellStyle name="20% - Accent6 6 3 3" xfId="23144" xr:uid="{BAC312C0-352E-42C6-9C9B-B8E13736CFA3}"/>
    <cellStyle name="20% - Accent6 6 3 4" xfId="31591" xr:uid="{58CD433A-CF2F-4232-AE32-50FB0C48C2AA}"/>
    <cellStyle name="20% - Accent6 6 4" xfId="10480" xr:uid="{93CE4F34-8939-4BF1-90CE-62AABCB4587C}"/>
    <cellStyle name="20% - Accent6 6 5" xfId="18927" xr:uid="{89B796FB-51F4-4F33-A731-86C6717CB286}"/>
    <cellStyle name="20% - Accent6 6 6" xfId="27374" xr:uid="{792DAAA2-B502-4895-A1C0-9BE8AD1500B0}"/>
    <cellStyle name="20% - Accent6 7" xfId="1477" xr:uid="{00000000-0005-0000-0000-0000B6030000}"/>
    <cellStyle name="20% - Accent6 7 2" xfId="3707" xr:uid="{00000000-0005-0000-0000-0000B7030000}"/>
    <cellStyle name="20% - Accent6 7 2 2" xfId="7929" xr:uid="{00000000-0005-0000-0000-0000B8030000}"/>
    <cellStyle name="20% - Accent6 7 2 2 2" xfId="17255" xr:uid="{5FF374AB-4539-4958-B330-E73CA5923F69}"/>
    <cellStyle name="20% - Accent6 7 2 2 3" xfId="25702" xr:uid="{E9C3CECA-A41A-4C67-AC5B-F0141EDE9449}"/>
    <cellStyle name="20% - Accent6 7 2 2 4" xfId="34149" xr:uid="{F4FDE21C-FD80-46DC-80EF-101A152E2A3A}"/>
    <cellStyle name="20% - Accent6 7 2 3" xfId="13038" xr:uid="{51F95EB2-7E47-407C-A255-91951CDCEB2C}"/>
    <cellStyle name="20% - Accent6 7 2 4" xfId="21485" xr:uid="{5447FA82-640B-49E3-BABB-6A3C12383341}"/>
    <cellStyle name="20% - Accent6 7 2 5" xfId="29932" xr:uid="{AA111AAD-3616-454B-8F6C-BEFDFCD06D66}"/>
    <cellStyle name="20% - Accent6 7 3" xfId="5784" xr:uid="{00000000-0005-0000-0000-0000B9030000}"/>
    <cellStyle name="20% - Accent6 7 3 2" xfId="15110" xr:uid="{2C0BE5FE-A3EE-4595-A9F2-6D439A9801B8}"/>
    <cellStyle name="20% - Accent6 7 3 3" xfId="23557" xr:uid="{75AB97FF-AD93-432D-BAEC-A4B1ECD3C838}"/>
    <cellStyle name="20% - Accent6 7 3 4" xfId="32004" xr:uid="{D6CD2664-0628-4C74-A680-819C13936FC2}"/>
    <cellStyle name="20% - Accent6 7 4" xfId="10893" xr:uid="{34DF9BD3-ACD7-4B07-B923-EBAB0ECDFEE2}"/>
    <cellStyle name="20% - Accent6 7 5" xfId="19340" xr:uid="{3A69863D-3D48-4A3C-8448-D23B3380950E}"/>
    <cellStyle name="20% - Accent6 7 6" xfId="27787" xr:uid="{B9E1E95C-2F57-40F4-8A5C-6FCFA00FF25C}"/>
    <cellStyle name="20% - Accent6 8" xfId="1891" xr:uid="{00000000-0005-0000-0000-0000BA030000}"/>
    <cellStyle name="20% - Accent6 8 2" xfId="4120" xr:uid="{00000000-0005-0000-0000-0000BB030000}"/>
    <cellStyle name="20% - Accent6 8 2 2" xfId="8342" xr:uid="{00000000-0005-0000-0000-0000BC030000}"/>
    <cellStyle name="20% - Accent6 8 2 2 2" xfId="17668" xr:uid="{9F7EBC24-BAF2-4202-978E-7EBC4EF3D157}"/>
    <cellStyle name="20% - Accent6 8 2 2 3" xfId="26115" xr:uid="{48291E45-4D34-4876-8AC8-1D835F4E5EF9}"/>
    <cellStyle name="20% - Accent6 8 2 2 4" xfId="34562" xr:uid="{B6591061-D302-49FF-8AE4-94D7B75E2EF6}"/>
    <cellStyle name="20% - Accent6 8 2 3" xfId="13451" xr:uid="{AFD6D46B-6D7C-4B3B-8690-C5A7B9580FA0}"/>
    <cellStyle name="20% - Accent6 8 2 4" xfId="21898" xr:uid="{62A7538D-5539-4522-85FF-A4D980F68D51}"/>
    <cellStyle name="20% - Accent6 8 2 5" xfId="30345" xr:uid="{E5D33EC6-6E2E-40E3-AE04-7BC171CC9EC9}"/>
    <cellStyle name="20% - Accent6 8 3" xfId="6197" xr:uid="{00000000-0005-0000-0000-0000BD030000}"/>
    <cellStyle name="20% - Accent6 8 3 2" xfId="15523" xr:uid="{34060517-FF16-43A4-9681-4C211380325B}"/>
    <cellStyle name="20% - Accent6 8 3 3" xfId="23970" xr:uid="{AE1586D5-5B17-4D78-A91F-2672D71892F4}"/>
    <cellStyle name="20% - Accent6 8 3 4" xfId="32417" xr:uid="{C8B81B56-31DD-4B81-8EFA-A79D48F9E95B}"/>
    <cellStyle name="20% - Accent6 8 4" xfId="11306" xr:uid="{EA9732C6-7FF3-4584-988A-321827840BF3}"/>
    <cellStyle name="20% - Accent6 8 5" xfId="19753" xr:uid="{E883655D-0CA0-4424-B6B1-67B4479BA628}"/>
    <cellStyle name="20% - Accent6 8 6" xfId="28200" xr:uid="{7B6CA428-2485-4D22-A642-3B1941097EF9}"/>
    <cellStyle name="20% - Accent6 9" xfId="2304" xr:uid="{00000000-0005-0000-0000-0000BE030000}"/>
    <cellStyle name="20% - Accent6 9 2" xfId="6610" xr:uid="{00000000-0005-0000-0000-0000BF030000}"/>
    <cellStyle name="20% - Accent6 9 2 2" xfId="15936" xr:uid="{8BCAD655-EBFB-4886-90AB-A17D173DE819}"/>
    <cellStyle name="20% - Accent6 9 2 3" xfId="24383" xr:uid="{4F8508EC-B2BD-4AF9-BB0B-2778AAB172BE}"/>
    <cellStyle name="20% - Accent6 9 2 4" xfId="32830" xr:uid="{E52B4C5E-8BB9-4A08-89AB-12330C23DD52}"/>
    <cellStyle name="20% - Accent6 9 3" xfId="11719" xr:uid="{91C76F6F-60A8-4DE8-A302-B51953FB7F4D}"/>
    <cellStyle name="20% - Accent6 9 4" xfId="20166" xr:uid="{2CFF2F43-BB6E-4007-AAC4-5EF652350547}"/>
    <cellStyle name="20% - Accent6 9 5" xfId="28613" xr:uid="{9925B812-7C48-453A-9A3F-FA44D8A5EFDD}"/>
    <cellStyle name="40% - Accent1" xfId="49" builtinId="31" customBuiltin="1"/>
    <cellStyle name="40% - Accent1 10" xfId="4552" xr:uid="{00000000-0005-0000-0000-0000C1030000}"/>
    <cellStyle name="40% - Accent1 10 2" xfId="13878" xr:uid="{8321EE39-5177-49E0-8378-9D7429EB1FAC}"/>
    <cellStyle name="40% - Accent1 10 3" xfId="22325" xr:uid="{A2EAE496-0E71-4003-A0EF-6704E88FEFFF}"/>
    <cellStyle name="40% - Accent1 10 4" xfId="30772" xr:uid="{3758AED2-B2B4-480B-9D08-11F63814CFF7}"/>
    <cellStyle name="40% - Accent1 11" xfId="8759" xr:uid="{E0AA4078-00FF-4C00-81ED-1F048AC6C533}"/>
    <cellStyle name="40% - Accent1 12" xfId="9661" xr:uid="{F782CB5B-41BF-438F-9ECA-A35537DB3AA3}"/>
    <cellStyle name="40% - Accent1 13" xfId="18108" xr:uid="{6A9E7532-2058-463E-B81C-EF9E21178A1A}"/>
    <cellStyle name="40% - Accent1 14" xfId="26555" xr:uid="{EB15F381-2C48-4E92-A28A-F06E04FC68BA}"/>
    <cellStyle name="40% - Accent1 2" xfId="50" xr:uid="{00000000-0005-0000-0000-0000C2030000}"/>
    <cellStyle name="40% - Accent1 2 10" xfId="8798" xr:uid="{82026451-631C-40CA-BC49-BE5DA2EA921A}"/>
    <cellStyle name="40% - Accent1 2 11" xfId="9662" xr:uid="{964BC6F1-DE5F-4AE7-8C30-EC3A40A31E73}"/>
    <cellStyle name="40% - Accent1 2 12" xfId="18109" xr:uid="{4564FEC2-64DD-48A5-BFD1-2CFA3327FE44}"/>
    <cellStyle name="40% - Accent1 2 13" xfId="26556" xr:uid="{11E60EC5-CAF9-4B6F-B9A0-319D73A7A07D}"/>
    <cellStyle name="40% - Accent1 2 2" xfId="51" xr:uid="{00000000-0005-0000-0000-0000C3030000}"/>
    <cellStyle name="40% - Accent1 2 2 10" xfId="9663" xr:uid="{5C6EF919-243A-4ABA-B8B3-58788AE4C152}"/>
    <cellStyle name="40% - Accent1 2 2 11" xfId="18110" xr:uid="{683873AF-126C-4B35-B5AC-5C15DCE9CC0E}"/>
    <cellStyle name="40% - Accent1 2 2 12" xfId="26557" xr:uid="{BD8C5BAA-DD50-411D-885D-1B9001306EDC}"/>
    <cellStyle name="40% - Accent1 2 2 2" xfId="52" xr:uid="{00000000-0005-0000-0000-0000C4030000}"/>
    <cellStyle name="40% - Accent1 2 2 2 10" xfId="18111" xr:uid="{06048EB3-3773-4B74-8C91-2090227B82CE}"/>
    <cellStyle name="40% - Accent1 2 2 2 11" xfId="26558" xr:uid="{99D92E50-3FCE-46ED-9902-1CE28D1675FA}"/>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16440" xr:uid="{F3BC0C83-D4AD-4FCF-B298-F1EADB4F4BDA}"/>
    <cellStyle name="40% - Accent1 2 2 2 2 2 2 3" xfId="24887" xr:uid="{B76ECFFB-9D4F-4FC2-BF56-1335B88DF99A}"/>
    <cellStyle name="40% - Accent1 2 2 2 2 2 2 4" xfId="33334" xr:uid="{32E37470-79DD-4092-87A2-8B1AB6BECE05}"/>
    <cellStyle name="40% - Accent1 2 2 2 2 2 3" xfId="12223" xr:uid="{D09F23F0-005A-4D87-9C0D-35820B7360DD}"/>
    <cellStyle name="40% - Accent1 2 2 2 2 2 4" xfId="20670" xr:uid="{F0C7A707-B1F3-410C-9D67-92C11154DDF1}"/>
    <cellStyle name="40% - Accent1 2 2 2 2 2 5" xfId="29117" xr:uid="{D6E466B2-03D1-4E2E-80D7-00725EA8E8A1}"/>
    <cellStyle name="40% - Accent1 2 2 2 2 3" xfId="4969" xr:uid="{00000000-0005-0000-0000-0000C8030000}"/>
    <cellStyle name="40% - Accent1 2 2 2 2 3 2" xfId="14295" xr:uid="{0D2E3434-1AA5-4D23-94EF-E3EA5D9F864D}"/>
    <cellStyle name="40% - Accent1 2 2 2 2 3 3" xfId="22742" xr:uid="{44222149-8B3C-4D23-AB1C-8C82648C18EB}"/>
    <cellStyle name="40% - Accent1 2 2 2 2 3 4" xfId="31189" xr:uid="{045FDA0C-50B5-4916-A63D-B584AEAA9B7F}"/>
    <cellStyle name="40% - Accent1 2 2 2 2 4" xfId="9533" xr:uid="{757B5AC4-115E-4B90-B4EA-505C31F9B178}"/>
    <cellStyle name="40% - Accent1 2 2 2 2 5" xfId="10078" xr:uid="{50C8E5CB-EBF1-4F64-B095-41A5BDD8D07A}"/>
    <cellStyle name="40% - Accent1 2 2 2 2 6" xfId="18525" xr:uid="{B199F5D9-F7F0-49BB-9CDB-B592B5D9AB40}"/>
    <cellStyle name="40% - Accent1 2 2 2 2 7" xfId="26972" xr:uid="{30080557-DA3C-48FB-99F1-B79292C5D309}"/>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16853" xr:uid="{A241728B-BBC5-46CA-AB02-57CF200A4752}"/>
    <cellStyle name="40% - Accent1 2 2 2 3 2 2 3" xfId="25300" xr:uid="{E13E6877-F331-4004-BCE0-7765285E3398}"/>
    <cellStyle name="40% - Accent1 2 2 2 3 2 2 4" xfId="33747" xr:uid="{A00D86EB-8B71-44DB-AC03-784A1D14C30A}"/>
    <cellStyle name="40% - Accent1 2 2 2 3 2 3" xfId="12636" xr:uid="{D119574A-C856-456F-9058-065E965267C8}"/>
    <cellStyle name="40% - Accent1 2 2 2 3 2 4" xfId="21083" xr:uid="{C3601BD8-9A79-405F-9089-1B189277EC36}"/>
    <cellStyle name="40% - Accent1 2 2 2 3 2 5" xfId="29530" xr:uid="{514F9FF2-EC93-4F42-8E3D-A133FED47A1D}"/>
    <cellStyle name="40% - Accent1 2 2 2 3 3" xfId="5382" xr:uid="{00000000-0005-0000-0000-0000CC030000}"/>
    <cellStyle name="40% - Accent1 2 2 2 3 3 2" xfId="14708" xr:uid="{3E3FBC38-EA76-47B2-898C-5F1A5477FC88}"/>
    <cellStyle name="40% - Accent1 2 2 2 3 3 3" xfId="23155" xr:uid="{528D5DB4-CFDC-4B26-B1C2-9BFBBF97EB5C}"/>
    <cellStyle name="40% - Accent1 2 2 2 3 3 4" xfId="31602" xr:uid="{0B1B766A-0F71-44D0-AFAC-6ED867A9EDC0}"/>
    <cellStyle name="40% - Accent1 2 2 2 3 4" xfId="10491" xr:uid="{4BFA26C1-4E7E-41EC-B627-72AE225DE4A7}"/>
    <cellStyle name="40% - Accent1 2 2 2 3 5" xfId="18938" xr:uid="{983480E3-FF76-4DF4-83DF-673BA279B47C}"/>
    <cellStyle name="40% - Accent1 2 2 2 3 6" xfId="27385" xr:uid="{A797C9E7-DC6B-41CA-8C24-DE3DAA9122F7}"/>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17266" xr:uid="{33DAE23E-8093-4E75-A258-A8F206081004}"/>
    <cellStyle name="40% - Accent1 2 2 2 4 2 2 3" xfId="25713" xr:uid="{21C367FB-0B61-4382-AD04-644255090B30}"/>
    <cellStyle name="40% - Accent1 2 2 2 4 2 2 4" xfId="34160" xr:uid="{6954932F-8B46-4ADB-AED5-FB80C9887DEE}"/>
    <cellStyle name="40% - Accent1 2 2 2 4 2 3" xfId="13049" xr:uid="{A1EFB56D-F178-43AB-B51A-6EC41AD0A45F}"/>
    <cellStyle name="40% - Accent1 2 2 2 4 2 4" xfId="21496" xr:uid="{D05572FD-AE40-4693-8A9C-03596251A4FB}"/>
    <cellStyle name="40% - Accent1 2 2 2 4 2 5" xfId="29943" xr:uid="{98BED45E-4B50-4BE4-BAC3-0729D80029D3}"/>
    <cellStyle name="40% - Accent1 2 2 2 4 3" xfId="5795" xr:uid="{00000000-0005-0000-0000-0000D0030000}"/>
    <cellStyle name="40% - Accent1 2 2 2 4 3 2" xfId="15121" xr:uid="{755B0DE5-69DA-4468-AF39-F49D709BD7D0}"/>
    <cellStyle name="40% - Accent1 2 2 2 4 3 3" xfId="23568" xr:uid="{360D35C2-9A18-4E59-90FA-32386A8D042F}"/>
    <cellStyle name="40% - Accent1 2 2 2 4 3 4" xfId="32015" xr:uid="{7BDEDBFA-879E-4861-A661-D5BF63F01CEE}"/>
    <cellStyle name="40% - Accent1 2 2 2 4 4" xfId="10904" xr:uid="{20D5F848-B0FB-438D-8A70-666544497A70}"/>
    <cellStyle name="40% - Accent1 2 2 2 4 5" xfId="19351" xr:uid="{6CF99DA0-D169-4198-B31C-C057D4567871}"/>
    <cellStyle name="40% - Accent1 2 2 2 4 6" xfId="27798" xr:uid="{80B375C7-9DE7-4987-8BD9-64A1DCD06A87}"/>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17679" xr:uid="{DBB5F164-1384-478B-BA97-23EE6636FBB8}"/>
    <cellStyle name="40% - Accent1 2 2 2 5 2 2 3" xfId="26126" xr:uid="{B8BE95CC-BAA4-4F06-A367-EDE9684B7122}"/>
    <cellStyle name="40% - Accent1 2 2 2 5 2 2 4" xfId="34573" xr:uid="{98F41198-5DFA-491D-91D9-2C7BE72860BB}"/>
    <cellStyle name="40% - Accent1 2 2 2 5 2 3" xfId="13462" xr:uid="{D401DF49-79B3-4F57-A84E-9168137CE244}"/>
    <cellStyle name="40% - Accent1 2 2 2 5 2 4" xfId="21909" xr:uid="{BD8FA441-AA14-4869-895B-E741B7F02330}"/>
    <cellStyle name="40% - Accent1 2 2 2 5 2 5" xfId="30356" xr:uid="{B0CC9E7B-09E4-4B5A-BED8-24F085B2DDAC}"/>
    <cellStyle name="40% - Accent1 2 2 2 5 3" xfId="6208" xr:uid="{00000000-0005-0000-0000-0000D4030000}"/>
    <cellStyle name="40% - Accent1 2 2 2 5 3 2" xfId="15534" xr:uid="{4927756D-672F-4A42-A6A9-7028A22445C5}"/>
    <cellStyle name="40% - Accent1 2 2 2 5 3 3" xfId="23981" xr:uid="{2F90A9FA-DA8B-43E1-B1EF-222F27EE30A4}"/>
    <cellStyle name="40% - Accent1 2 2 2 5 3 4" xfId="32428" xr:uid="{AD9FC100-2CB9-4BC5-8D4B-583037D5D2C5}"/>
    <cellStyle name="40% - Accent1 2 2 2 5 4" xfId="11317" xr:uid="{4E01BF4E-9925-4523-84D7-1A3D56B3C508}"/>
    <cellStyle name="40% - Accent1 2 2 2 5 5" xfId="19764" xr:uid="{449D15DD-2A1F-4325-8BA6-63A6B996B616}"/>
    <cellStyle name="40% - Accent1 2 2 2 5 6" xfId="28211" xr:uid="{AD99F1DF-498C-4DA6-BAC5-385758354A47}"/>
    <cellStyle name="40% - Accent1 2 2 2 6" xfId="2315" xr:uid="{00000000-0005-0000-0000-0000D5030000}"/>
    <cellStyle name="40% - Accent1 2 2 2 6 2" xfId="6621" xr:uid="{00000000-0005-0000-0000-0000D6030000}"/>
    <cellStyle name="40% - Accent1 2 2 2 6 2 2" xfId="15947" xr:uid="{C86BC81C-0414-4284-BC51-7F1428417177}"/>
    <cellStyle name="40% - Accent1 2 2 2 6 2 3" xfId="24394" xr:uid="{F65DE7F0-8F19-483C-B4F2-B955D2160957}"/>
    <cellStyle name="40% - Accent1 2 2 2 6 2 4" xfId="32841" xr:uid="{504395BD-436A-4034-8ED0-8777E84E1A24}"/>
    <cellStyle name="40% - Accent1 2 2 2 6 3" xfId="11730" xr:uid="{736CCA36-F036-46A6-A8BC-FE95AA75916F}"/>
    <cellStyle name="40% - Accent1 2 2 2 6 4" xfId="20177" xr:uid="{8998706B-61B5-456D-89B3-A8F4ADF778D4}"/>
    <cellStyle name="40% - Accent1 2 2 2 6 5" xfId="28624" xr:uid="{C8AC65D9-B5ED-4105-961C-540BB5447E6A}"/>
    <cellStyle name="40% - Accent1 2 2 2 7" xfId="4555" xr:uid="{00000000-0005-0000-0000-0000D7030000}"/>
    <cellStyle name="40% - Accent1 2 2 2 7 2" xfId="13881" xr:uid="{77DA0458-34D3-4AFA-AAA8-4ED10578BC61}"/>
    <cellStyle name="40% - Accent1 2 2 2 7 3" xfId="22328" xr:uid="{61642801-2A82-42EC-8D0F-92B00E1A2EBE}"/>
    <cellStyle name="40% - Accent1 2 2 2 7 4" xfId="30775" xr:uid="{74F9554E-59C9-4811-84E7-657879400752}"/>
    <cellStyle name="40% - Accent1 2 2 2 8" xfId="9108" xr:uid="{1189B5E8-DD3C-4F9A-ACD3-DB853C0AC60B}"/>
    <cellStyle name="40% - Accent1 2 2 2 9" xfId="9664" xr:uid="{7F108849-3BE4-4258-84D9-E443628B0B1E}"/>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16439" xr:uid="{83300220-BA1E-4A90-B8B7-82E4467689E3}"/>
    <cellStyle name="40% - Accent1 2 2 3 2 2 3" xfId="24886" xr:uid="{DAEE624B-FBCB-4C52-8241-0E39B9B4A147}"/>
    <cellStyle name="40% - Accent1 2 2 3 2 2 4" xfId="33333" xr:uid="{9A833694-CD61-4079-94FA-8A2C7B626D24}"/>
    <cellStyle name="40% - Accent1 2 2 3 2 3" xfId="12222" xr:uid="{7838B1CB-4A04-4D22-93FB-45D64D780E8C}"/>
    <cellStyle name="40% - Accent1 2 2 3 2 4" xfId="20669" xr:uid="{24AC200A-DF74-4A8B-936F-35E96694B286}"/>
    <cellStyle name="40% - Accent1 2 2 3 2 5" xfId="29116" xr:uid="{0370F52D-E787-4E9C-871D-59A90A4969EB}"/>
    <cellStyle name="40% - Accent1 2 2 3 3" xfId="4968" xr:uid="{00000000-0005-0000-0000-0000DB030000}"/>
    <cellStyle name="40% - Accent1 2 2 3 3 2" xfId="14294" xr:uid="{1B125E11-20C4-40DB-BF6A-EF040633D28B}"/>
    <cellStyle name="40% - Accent1 2 2 3 3 3" xfId="22741" xr:uid="{F42C898D-8986-485D-A5C5-0C59A05AC9FA}"/>
    <cellStyle name="40% - Accent1 2 2 3 3 4" xfId="31188" xr:uid="{A69489B8-CCA3-49F4-9B9A-8AB94D9E80AF}"/>
    <cellStyle name="40% - Accent1 2 2 3 4" xfId="9326" xr:uid="{6D693950-F4D3-4A82-8C01-49E2379281D4}"/>
    <cellStyle name="40% - Accent1 2 2 3 5" xfId="10077" xr:uid="{CBF6803F-B361-48D1-8E0D-4261EDDBFE15}"/>
    <cellStyle name="40% - Accent1 2 2 3 6" xfId="18524" xr:uid="{6947D75A-7C7A-4AB1-A327-526135333F70}"/>
    <cellStyle name="40% - Accent1 2 2 3 7" xfId="26971" xr:uid="{8A99515D-42C6-43F2-A642-B395EF0692EC}"/>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16852" xr:uid="{8A5D3C1C-D01D-44A1-995D-701C818A904E}"/>
    <cellStyle name="40% - Accent1 2 2 4 2 2 3" xfId="25299" xr:uid="{3B22CC5B-31FB-4F3F-9089-87B6C2A8E1EA}"/>
    <cellStyle name="40% - Accent1 2 2 4 2 2 4" xfId="33746" xr:uid="{51BA17C0-64C1-4D4F-A643-BED2FF4EBA9E}"/>
    <cellStyle name="40% - Accent1 2 2 4 2 3" xfId="12635" xr:uid="{7DEC41A1-E8CF-480B-BE6F-D8DFF7804162}"/>
    <cellStyle name="40% - Accent1 2 2 4 2 4" xfId="21082" xr:uid="{097C3FFB-EA7B-4073-9CD4-E2D167FA4967}"/>
    <cellStyle name="40% - Accent1 2 2 4 2 5" xfId="29529" xr:uid="{043A0787-0E38-4BC9-B06E-3CCE174261E3}"/>
    <cellStyle name="40% - Accent1 2 2 4 3" xfId="5381" xr:uid="{00000000-0005-0000-0000-0000DF030000}"/>
    <cellStyle name="40% - Accent1 2 2 4 3 2" xfId="14707" xr:uid="{17F70605-5A9E-49B2-9A6D-24081A918C3F}"/>
    <cellStyle name="40% - Accent1 2 2 4 3 3" xfId="23154" xr:uid="{FAC9B2D5-7338-4F2A-ADC5-974F1B88A72B}"/>
    <cellStyle name="40% - Accent1 2 2 4 3 4" xfId="31601" xr:uid="{624096E9-610A-42A0-891C-E54AE649D569}"/>
    <cellStyle name="40% - Accent1 2 2 4 4" xfId="10490" xr:uid="{6730BEA2-7692-46B2-9D67-29573742C939}"/>
    <cellStyle name="40% - Accent1 2 2 4 5" xfId="18937" xr:uid="{62359A11-7E1A-45E2-A995-48E3149CAE95}"/>
    <cellStyle name="40% - Accent1 2 2 4 6" xfId="27384" xr:uid="{4A05F69B-BAFA-4D35-9A46-D8AFC9DDDFCB}"/>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17265" xr:uid="{3E7CEB65-2711-4F5F-94AC-819EF6B45050}"/>
    <cellStyle name="40% - Accent1 2 2 5 2 2 3" xfId="25712" xr:uid="{85DDA923-29A5-4D1D-8274-AB3DEDF2213A}"/>
    <cellStyle name="40% - Accent1 2 2 5 2 2 4" xfId="34159" xr:uid="{DE8C7125-5C8F-488D-A87E-5B8BBFC41A29}"/>
    <cellStyle name="40% - Accent1 2 2 5 2 3" xfId="13048" xr:uid="{78054D8E-F4C7-4E1F-ABE1-4910D252B24F}"/>
    <cellStyle name="40% - Accent1 2 2 5 2 4" xfId="21495" xr:uid="{4D6C59F0-880A-486E-BE7C-51682F61B1EB}"/>
    <cellStyle name="40% - Accent1 2 2 5 2 5" xfId="29942" xr:uid="{F4590A10-9063-4436-9366-1FFE809F9F04}"/>
    <cellStyle name="40% - Accent1 2 2 5 3" xfId="5794" xr:uid="{00000000-0005-0000-0000-0000E3030000}"/>
    <cellStyle name="40% - Accent1 2 2 5 3 2" xfId="15120" xr:uid="{F0225757-4E8D-461F-97FD-0E9CAD96955B}"/>
    <cellStyle name="40% - Accent1 2 2 5 3 3" xfId="23567" xr:uid="{CF3A974B-33A2-4909-937E-F8B129F95C1B}"/>
    <cellStyle name="40% - Accent1 2 2 5 3 4" xfId="32014" xr:uid="{CA43C705-550B-4BC8-8EE8-647C452515AB}"/>
    <cellStyle name="40% - Accent1 2 2 5 4" xfId="10903" xr:uid="{1B1FA121-EA91-461C-8F56-4D0A7111B769}"/>
    <cellStyle name="40% - Accent1 2 2 5 5" xfId="19350" xr:uid="{BCE44B4B-CFE5-4BF4-A6CE-A7F4C197CE2C}"/>
    <cellStyle name="40% - Accent1 2 2 5 6" xfId="27797" xr:uid="{6B1A6E20-98CC-4E73-9B2E-F726C50476BF}"/>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17678" xr:uid="{1FA009DD-06AD-4697-B67F-DA011673F13D}"/>
    <cellStyle name="40% - Accent1 2 2 6 2 2 3" xfId="26125" xr:uid="{3E083C95-5CE0-46E4-B61A-2C669018269F}"/>
    <cellStyle name="40% - Accent1 2 2 6 2 2 4" xfId="34572" xr:uid="{3AD20DEE-416B-48D0-871D-2F8584F2E2FD}"/>
    <cellStyle name="40% - Accent1 2 2 6 2 3" xfId="13461" xr:uid="{291B9197-5848-4216-BC91-98332ECD82D6}"/>
    <cellStyle name="40% - Accent1 2 2 6 2 4" xfId="21908" xr:uid="{23E9F6CD-AB0B-4719-A727-DDCA7FE20A1E}"/>
    <cellStyle name="40% - Accent1 2 2 6 2 5" xfId="30355" xr:uid="{75D6AEA5-5831-4D58-9C06-40A054E3B250}"/>
    <cellStyle name="40% - Accent1 2 2 6 3" xfId="6207" xr:uid="{00000000-0005-0000-0000-0000E7030000}"/>
    <cellStyle name="40% - Accent1 2 2 6 3 2" xfId="15533" xr:uid="{BCE71D3B-A07F-4A32-8E1F-81679A709F70}"/>
    <cellStyle name="40% - Accent1 2 2 6 3 3" xfId="23980" xr:uid="{8179B1CA-B762-4EB6-97F0-A3041333FE5C}"/>
    <cellStyle name="40% - Accent1 2 2 6 3 4" xfId="32427" xr:uid="{5EF944C6-6841-4183-A509-E6B370313B7C}"/>
    <cellStyle name="40% - Accent1 2 2 6 4" xfId="11316" xr:uid="{B154D444-EEB6-4206-AE81-6B257A54A5B6}"/>
    <cellStyle name="40% - Accent1 2 2 6 5" xfId="19763" xr:uid="{8BCD3D81-AC78-42E8-9A70-102DCB6E786C}"/>
    <cellStyle name="40% - Accent1 2 2 6 6" xfId="28210" xr:uid="{697A0918-383F-491C-9157-D5EADF21F7A4}"/>
    <cellStyle name="40% - Accent1 2 2 7" xfId="2314" xr:uid="{00000000-0005-0000-0000-0000E8030000}"/>
    <cellStyle name="40% - Accent1 2 2 7 2" xfId="6620" xr:uid="{00000000-0005-0000-0000-0000E9030000}"/>
    <cellStyle name="40% - Accent1 2 2 7 2 2" xfId="15946" xr:uid="{3A80B96D-89D5-4B73-8A16-88B3F407E119}"/>
    <cellStyle name="40% - Accent1 2 2 7 2 3" xfId="24393" xr:uid="{5244A4DB-7E94-4030-A078-8417E8FEE976}"/>
    <cellStyle name="40% - Accent1 2 2 7 2 4" xfId="32840" xr:uid="{95CA344F-74FD-49AA-9FAE-50B11C3CEB00}"/>
    <cellStyle name="40% - Accent1 2 2 7 3" xfId="11729" xr:uid="{654803FA-E897-4E8D-A8E1-28B4DE59E871}"/>
    <cellStyle name="40% - Accent1 2 2 7 4" xfId="20176" xr:uid="{35F87EF5-80BC-4A19-898F-AAF755DB2B79}"/>
    <cellStyle name="40% - Accent1 2 2 7 5" xfId="28623" xr:uid="{35A04D5D-21B1-4666-B395-D3FF6C3CB70D}"/>
    <cellStyle name="40% - Accent1 2 2 8" xfId="4554" xr:uid="{00000000-0005-0000-0000-0000EA030000}"/>
    <cellStyle name="40% - Accent1 2 2 8 2" xfId="13880" xr:uid="{EA5CF691-8B87-4B92-A326-E5914605262F}"/>
    <cellStyle name="40% - Accent1 2 2 8 3" xfId="22327" xr:uid="{26BD4ECF-93C7-421E-9268-191FDA243C37}"/>
    <cellStyle name="40% - Accent1 2 2 8 4" xfId="30774" xr:uid="{79F81FCC-AB68-4BD8-9B9C-69C8ABA1E951}"/>
    <cellStyle name="40% - Accent1 2 2 9" xfId="8901" xr:uid="{10130317-AF31-4351-8201-FD8BD447EA3C}"/>
    <cellStyle name="40% - Accent1 2 3" xfId="53" xr:uid="{00000000-0005-0000-0000-0000EB030000}"/>
    <cellStyle name="40% - Accent1 2 3 10" xfId="18112" xr:uid="{14860F05-A97F-4F33-8592-ABF1AF133240}"/>
    <cellStyle name="40% - Accent1 2 3 11" xfId="26559" xr:uid="{F4A3486F-F038-4486-8075-8DAEF88BCD09}"/>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16441" xr:uid="{9DB8EFFF-193D-40D2-AB48-32B72079F505}"/>
    <cellStyle name="40% - Accent1 2 3 2 2 2 3" xfId="24888" xr:uid="{FF433839-A054-4E07-B67A-B60A633A524A}"/>
    <cellStyle name="40% - Accent1 2 3 2 2 2 4" xfId="33335" xr:uid="{D0DA0509-64ED-4492-9B65-CB900F6377DD}"/>
    <cellStyle name="40% - Accent1 2 3 2 2 3" xfId="12224" xr:uid="{64C49D59-258D-4D93-A521-99E2BB6BBF3C}"/>
    <cellStyle name="40% - Accent1 2 3 2 2 4" xfId="20671" xr:uid="{F49B1767-E2BB-4484-BC86-687125DD95A3}"/>
    <cellStyle name="40% - Accent1 2 3 2 2 5" xfId="29118" xr:uid="{D8577841-002E-4B49-BB15-4695ABAE6401}"/>
    <cellStyle name="40% - Accent1 2 3 2 3" xfId="4970" xr:uid="{00000000-0005-0000-0000-0000EF030000}"/>
    <cellStyle name="40% - Accent1 2 3 2 3 2" xfId="14296" xr:uid="{2E36EB60-7BF7-48D0-BF54-91BBFC6A08AC}"/>
    <cellStyle name="40% - Accent1 2 3 2 3 3" xfId="22743" xr:uid="{7A73FB71-CADF-450B-B057-C274B6A2D46E}"/>
    <cellStyle name="40% - Accent1 2 3 2 3 4" xfId="31190" xr:uid="{2DFE095D-B320-4BB6-B3CB-1F43BCC63EE8}"/>
    <cellStyle name="40% - Accent1 2 3 2 4" xfId="9430" xr:uid="{C79D1FB2-141C-4301-8F37-B3B9643C0550}"/>
    <cellStyle name="40% - Accent1 2 3 2 5" xfId="10079" xr:uid="{C02FE18F-2A47-41D1-B9AE-CF74C45E9C6C}"/>
    <cellStyle name="40% - Accent1 2 3 2 6" xfId="18526" xr:uid="{92CCE2AE-E7F8-4EAF-9972-8583235ED8FC}"/>
    <cellStyle name="40% - Accent1 2 3 2 7" xfId="26973" xr:uid="{240A30EB-19D2-4F20-AEE3-3538EA57BE67}"/>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16854" xr:uid="{47FB75D3-C1F6-4A3F-BD1B-9154C8426F30}"/>
    <cellStyle name="40% - Accent1 2 3 3 2 2 3" xfId="25301" xr:uid="{75896D0D-61E9-43A4-8958-34A516D51E9A}"/>
    <cellStyle name="40% - Accent1 2 3 3 2 2 4" xfId="33748" xr:uid="{D7D95C07-FE36-465C-A68F-E944A43234B5}"/>
    <cellStyle name="40% - Accent1 2 3 3 2 3" xfId="12637" xr:uid="{58899519-7FC1-4773-A795-916EF1487C26}"/>
    <cellStyle name="40% - Accent1 2 3 3 2 4" xfId="21084" xr:uid="{3EA158B6-A1B2-400C-987F-60996316280B}"/>
    <cellStyle name="40% - Accent1 2 3 3 2 5" xfId="29531" xr:uid="{13EAF091-5B07-4346-9ECC-1427584D1D8F}"/>
    <cellStyle name="40% - Accent1 2 3 3 3" xfId="5383" xr:uid="{00000000-0005-0000-0000-0000F3030000}"/>
    <cellStyle name="40% - Accent1 2 3 3 3 2" xfId="14709" xr:uid="{F907A2BF-5339-481D-A2FB-79D6526458E9}"/>
    <cellStyle name="40% - Accent1 2 3 3 3 3" xfId="23156" xr:uid="{B8B97209-2BBF-4A0D-80AA-066AF806B325}"/>
    <cellStyle name="40% - Accent1 2 3 3 3 4" xfId="31603" xr:uid="{8A4072BC-3FBA-4FBC-AC67-48AE6EB661CE}"/>
    <cellStyle name="40% - Accent1 2 3 3 4" xfId="10492" xr:uid="{90F3FFB1-98E5-44D4-A0F1-32E9D47A8B0C}"/>
    <cellStyle name="40% - Accent1 2 3 3 5" xfId="18939" xr:uid="{EECD9644-FEAE-42E1-8C84-2099F91EA25A}"/>
    <cellStyle name="40% - Accent1 2 3 3 6" xfId="27386" xr:uid="{3A13F863-F95E-4AB5-BBC8-58C0294F76CC}"/>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17267" xr:uid="{7DF80E31-67AF-47FE-85F5-470C8CCC13F3}"/>
    <cellStyle name="40% - Accent1 2 3 4 2 2 3" xfId="25714" xr:uid="{D1F6BA90-C58E-43DE-99CB-45EA0BCA4857}"/>
    <cellStyle name="40% - Accent1 2 3 4 2 2 4" xfId="34161" xr:uid="{CFA2CB03-928C-44A0-83DB-5C2333868A30}"/>
    <cellStyle name="40% - Accent1 2 3 4 2 3" xfId="13050" xr:uid="{F3669AE1-EA07-4862-AB28-6AD7D095EDE3}"/>
    <cellStyle name="40% - Accent1 2 3 4 2 4" xfId="21497" xr:uid="{A55C2862-0F48-4916-AF80-D933EBD43553}"/>
    <cellStyle name="40% - Accent1 2 3 4 2 5" xfId="29944" xr:uid="{C1BFF0CC-EB62-4F11-8159-2C52EC24A6AF}"/>
    <cellStyle name="40% - Accent1 2 3 4 3" xfId="5796" xr:uid="{00000000-0005-0000-0000-0000F7030000}"/>
    <cellStyle name="40% - Accent1 2 3 4 3 2" xfId="15122" xr:uid="{C6033D7B-9557-4500-A0C8-35D7F44CE4C4}"/>
    <cellStyle name="40% - Accent1 2 3 4 3 3" xfId="23569" xr:uid="{A1E94866-7B54-4ABB-8234-BEE8DD62170C}"/>
    <cellStyle name="40% - Accent1 2 3 4 3 4" xfId="32016" xr:uid="{CA929811-325D-4D8B-9C87-068C0A268816}"/>
    <cellStyle name="40% - Accent1 2 3 4 4" xfId="10905" xr:uid="{E8BA8757-7F7C-4E8E-A4E3-C0E628E2D762}"/>
    <cellStyle name="40% - Accent1 2 3 4 5" xfId="19352" xr:uid="{E26AA7A3-42E1-4E81-B625-9C3D1EF7CA6B}"/>
    <cellStyle name="40% - Accent1 2 3 4 6" xfId="27799" xr:uid="{4B4AFA62-BE82-49E6-A460-78EDACC73E49}"/>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17680" xr:uid="{F79745F0-255D-4294-998A-509BA7423B9D}"/>
    <cellStyle name="40% - Accent1 2 3 5 2 2 3" xfId="26127" xr:uid="{23183AF2-6336-4993-83E0-B887C7A55445}"/>
    <cellStyle name="40% - Accent1 2 3 5 2 2 4" xfId="34574" xr:uid="{82F6A057-7A1C-45F4-BB2B-936AC5DE72E0}"/>
    <cellStyle name="40% - Accent1 2 3 5 2 3" xfId="13463" xr:uid="{643413DA-8AB9-4AD1-9F6F-A5E7C5B8EB32}"/>
    <cellStyle name="40% - Accent1 2 3 5 2 4" xfId="21910" xr:uid="{BBFB964E-B743-41AF-A416-920C29F82EE2}"/>
    <cellStyle name="40% - Accent1 2 3 5 2 5" xfId="30357" xr:uid="{15ED9EB2-7CFA-43C6-AE84-796C52B7B027}"/>
    <cellStyle name="40% - Accent1 2 3 5 3" xfId="6209" xr:uid="{00000000-0005-0000-0000-0000FB030000}"/>
    <cellStyle name="40% - Accent1 2 3 5 3 2" xfId="15535" xr:uid="{9B97E3F8-BC2C-422F-B702-F949D77BB746}"/>
    <cellStyle name="40% - Accent1 2 3 5 3 3" xfId="23982" xr:uid="{928F3EB6-44DC-4BAB-A422-D2DA67F1B161}"/>
    <cellStyle name="40% - Accent1 2 3 5 3 4" xfId="32429" xr:uid="{EE539DC3-10B4-437B-9B3E-9E28CFC33792}"/>
    <cellStyle name="40% - Accent1 2 3 5 4" xfId="11318" xr:uid="{358309B4-E3CA-47FC-95E1-003CEF570390}"/>
    <cellStyle name="40% - Accent1 2 3 5 5" xfId="19765" xr:uid="{7AED5AF5-1D42-466D-AE0A-065C3735E863}"/>
    <cellStyle name="40% - Accent1 2 3 5 6" xfId="28212" xr:uid="{19EFCEC2-0EEF-476C-BB47-BF5D50EFD230}"/>
    <cellStyle name="40% - Accent1 2 3 6" xfId="2316" xr:uid="{00000000-0005-0000-0000-0000FC030000}"/>
    <cellStyle name="40% - Accent1 2 3 6 2" xfId="6622" xr:uid="{00000000-0005-0000-0000-0000FD030000}"/>
    <cellStyle name="40% - Accent1 2 3 6 2 2" xfId="15948" xr:uid="{36AC2E99-5E66-4500-9D96-98E9144EDDC9}"/>
    <cellStyle name="40% - Accent1 2 3 6 2 3" xfId="24395" xr:uid="{A0B8BB13-C660-44DB-97CB-D3FFE71A4642}"/>
    <cellStyle name="40% - Accent1 2 3 6 2 4" xfId="32842" xr:uid="{26D86398-1C23-4991-BECA-6E8B62BB4F2F}"/>
    <cellStyle name="40% - Accent1 2 3 6 3" xfId="11731" xr:uid="{D306CA1F-7EF6-424E-B9B2-9A951164C46E}"/>
    <cellStyle name="40% - Accent1 2 3 6 4" xfId="20178" xr:uid="{0C426A8C-25D9-49E2-B6F7-8593C4B8F3D6}"/>
    <cellStyle name="40% - Accent1 2 3 6 5" xfId="28625" xr:uid="{FFC73459-37E9-436D-9EB1-C411584DEF86}"/>
    <cellStyle name="40% - Accent1 2 3 7" xfId="4556" xr:uid="{00000000-0005-0000-0000-0000FE030000}"/>
    <cellStyle name="40% - Accent1 2 3 7 2" xfId="13882" xr:uid="{A005A2ED-4163-4C4E-B310-612465A8126F}"/>
    <cellStyle name="40% - Accent1 2 3 7 3" xfId="22329" xr:uid="{148C30C8-CCCB-49C9-BF56-5C9B8894E623}"/>
    <cellStyle name="40% - Accent1 2 3 7 4" xfId="30776" xr:uid="{FFF746AA-5468-4CCE-8959-FAA611C91FB6}"/>
    <cellStyle name="40% - Accent1 2 3 8" xfId="9005" xr:uid="{83AF69B9-664F-4E19-B721-7989C2FEBC0C}"/>
    <cellStyle name="40% - Accent1 2 3 9" xfId="9665" xr:uid="{9311B136-839D-448D-8EE7-BC93101A7FD9}"/>
    <cellStyle name="40% - Accent1 2 4" xfId="619" xr:uid="{00000000-0005-0000-0000-0000FF030000}"/>
    <cellStyle name="40% - Accent1 2 4 2" xfId="2890" xr:uid="{00000000-0005-0000-0000-000000040000}"/>
    <cellStyle name="40% - Accent1 2 4 2 2" xfId="7112" xr:uid="{00000000-0005-0000-0000-000001040000}"/>
    <cellStyle name="40% - Accent1 2 4 2 2 2" xfId="16438" xr:uid="{256A2C87-189C-4DA1-8A26-9B5630A09CCA}"/>
    <cellStyle name="40% - Accent1 2 4 2 2 3" xfId="24885" xr:uid="{B9C85C63-6DA2-47DD-8A4E-3097B20276A2}"/>
    <cellStyle name="40% - Accent1 2 4 2 2 4" xfId="33332" xr:uid="{771F1BED-ACE9-4C0D-BE2C-D0A2EBB76A5F}"/>
    <cellStyle name="40% - Accent1 2 4 2 3" xfId="12221" xr:uid="{BE19D7E1-FC5C-4D73-A474-892188359FB5}"/>
    <cellStyle name="40% - Accent1 2 4 2 4" xfId="20668" xr:uid="{E0EF8316-02DB-46BE-8F7F-13F3D3635786}"/>
    <cellStyle name="40% - Accent1 2 4 2 5" xfId="29115" xr:uid="{F9EDED48-75BE-4D48-ADB9-7A0FE064435F}"/>
    <cellStyle name="40% - Accent1 2 4 3" xfId="4967" xr:uid="{00000000-0005-0000-0000-000002040000}"/>
    <cellStyle name="40% - Accent1 2 4 3 2" xfId="14293" xr:uid="{FC75369D-14CA-4331-9FBF-7FDBB4A6D9D3}"/>
    <cellStyle name="40% - Accent1 2 4 3 3" xfId="22740" xr:uid="{AC82D126-70CD-4E7F-AFB1-2C084B45EC3D}"/>
    <cellStyle name="40% - Accent1 2 4 3 4" xfId="31187" xr:uid="{BE618016-91CE-42CF-A8B5-1840063E45F9}"/>
    <cellStyle name="40% - Accent1 2 4 4" xfId="9222" xr:uid="{A6B83122-AC98-4E58-AA4D-EC5ECC38FC6B}"/>
    <cellStyle name="40% - Accent1 2 4 5" xfId="10076" xr:uid="{4BCC2715-5FD4-455B-ABE7-2D5E1B7FDD93}"/>
    <cellStyle name="40% - Accent1 2 4 6" xfId="18523" xr:uid="{692235D1-3095-4381-A040-83FBFAC1D08F}"/>
    <cellStyle name="40% - Accent1 2 4 7" xfId="26970" xr:uid="{60BD025D-2581-4022-ACF3-4A8C6E80426D}"/>
    <cellStyle name="40% - Accent1 2 5" xfId="1072" xr:uid="{00000000-0005-0000-0000-000003040000}"/>
    <cellStyle name="40% - Accent1 2 5 2" xfId="3303" xr:uid="{00000000-0005-0000-0000-000004040000}"/>
    <cellStyle name="40% - Accent1 2 5 2 2" xfId="7525" xr:uid="{00000000-0005-0000-0000-000005040000}"/>
    <cellStyle name="40% - Accent1 2 5 2 2 2" xfId="16851" xr:uid="{1CC5F2B3-62D0-488A-9DFB-E5DEE8EE3542}"/>
    <cellStyle name="40% - Accent1 2 5 2 2 3" xfId="25298" xr:uid="{F346F0D0-F93E-4E19-8FA9-AA956173CBF2}"/>
    <cellStyle name="40% - Accent1 2 5 2 2 4" xfId="33745" xr:uid="{BC128DC2-FA0F-416E-AF9B-CB99572D3BC8}"/>
    <cellStyle name="40% - Accent1 2 5 2 3" xfId="12634" xr:uid="{36A7F87D-140C-4621-9C56-54AE2DF8D7F8}"/>
    <cellStyle name="40% - Accent1 2 5 2 4" xfId="21081" xr:uid="{E1037FC8-42EF-4680-B546-EA1B419A814E}"/>
    <cellStyle name="40% - Accent1 2 5 2 5" xfId="29528" xr:uid="{9964193C-78FF-4475-BC2F-C32B4FAB89C7}"/>
    <cellStyle name="40% - Accent1 2 5 3" xfId="5380" xr:uid="{00000000-0005-0000-0000-000006040000}"/>
    <cellStyle name="40% - Accent1 2 5 3 2" xfId="14706" xr:uid="{7090A8F4-6F40-45FD-99DD-95B63AB3657E}"/>
    <cellStyle name="40% - Accent1 2 5 3 3" xfId="23153" xr:uid="{F40F55D4-8094-4923-8254-D294A1E849FD}"/>
    <cellStyle name="40% - Accent1 2 5 3 4" xfId="31600" xr:uid="{3E0ABEEB-CD0D-483D-813A-6B1ACE9C4118}"/>
    <cellStyle name="40% - Accent1 2 5 4" xfId="10489" xr:uid="{7326C89D-D999-47DB-BF94-96EA6A793F71}"/>
    <cellStyle name="40% - Accent1 2 5 5" xfId="18936" xr:uid="{FB747930-3506-45F9-A440-85265C994D79}"/>
    <cellStyle name="40% - Accent1 2 5 6" xfId="27383" xr:uid="{C58FDAE9-5906-466E-8CA4-705B479CAFE9}"/>
    <cellStyle name="40% - Accent1 2 6" xfId="1486" xr:uid="{00000000-0005-0000-0000-000007040000}"/>
    <cellStyle name="40% - Accent1 2 6 2" xfId="3716" xr:uid="{00000000-0005-0000-0000-000008040000}"/>
    <cellStyle name="40% - Accent1 2 6 2 2" xfId="7938" xr:uid="{00000000-0005-0000-0000-000009040000}"/>
    <cellStyle name="40% - Accent1 2 6 2 2 2" xfId="17264" xr:uid="{D460FEE4-1C27-4F27-8A47-694A3EFED4FF}"/>
    <cellStyle name="40% - Accent1 2 6 2 2 3" xfId="25711" xr:uid="{C4C891DD-1F17-4B30-B1F5-4CD9A5426963}"/>
    <cellStyle name="40% - Accent1 2 6 2 2 4" xfId="34158" xr:uid="{233B4A35-669C-4EDF-BD59-E28B6FD7D74C}"/>
    <cellStyle name="40% - Accent1 2 6 2 3" xfId="13047" xr:uid="{8365165D-DA97-4780-8961-5A03D0453E2E}"/>
    <cellStyle name="40% - Accent1 2 6 2 4" xfId="21494" xr:uid="{EBDBBBEE-21B9-4AE3-8501-944C7A0D1ECD}"/>
    <cellStyle name="40% - Accent1 2 6 2 5" xfId="29941" xr:uid="{2C2E9CEA-9641-4CFC-9738-8A19A730AC23}"/>
    <cellStyle name="40% - Accent1 2 6 3" xfId="5793" xr:uid="{00000000-0005-0000-0000-00000A040000}"/>
    <cellStyle name="40% - Accent1 2 6 3 2" xfId="15119" xr:uid="{00BFB90F-8A55-42A6-8AA0-446130D3909A}"/>
    <cellStyle name="40% - Accent1 2 6 3 3" xfId="23566" xr:uid="{2375A715-D557-4A26-BA87-0A7167E47D06}"/>
    <cellStyle name="40% - Accent1 2 6 3 4" xfId="32013" xr:uid="{F798D911-C88D-4431-BFE9-2BC60B5D86FC}"/>
    <cellStyle name="40% - Accent1 2 6 4" xfId="10902" xr:uid="{221C54F8-0868-4E3F-BEBA-BF3277CFDCEF}"/>
    <cellStyle name="40% - Accent1 2 6 5" xfId="19349" xr:uid="{6A30F99D-AFF4-4D6E-9B7B-AB498BCC9E0D}"/>
    <cellStyle name="40% - Accent1 2 6 6" xfId="27796" xr:uid="{ACE7CDE6-1A81-4519-BCD8-252B3388B6CF}"/>
    <cellStyle name="40% - Accent1 2 7" xfId="1900" xr:uid="{00000000-0005-0000-0000-00000B040000}"/>
    <cellStyle name="40% - Accent1 2 7 2" xfId="4129" xr:uid="{00000000-0005-0000-0000-00000C040000}"/>
    <cellStyle name="40% - Accent1 2 7 2 2" xfId="8351" xr:uid="{00000000-0005-0000-0000-00000D040000}"/>
    <cellStyle name="40% - Accent1 2 7 2 2 2" xfId="17677" xr:uid="{E0D7E408-40A8-4120-B0BC-498EF9EFB2A6}"/>
    <cellStyle name="40% - Accent1 2 7 2 2 3" xfId="26124" xr:uid="{55182F5D-AA70-49EB-ABC9-3A6D7EC18B7B}"/>
    <cellStyle name="40% - Accent1 2 7 2 2 4" xfId="34571" xr:uid="{BBC89E5E-864A-413D-8D3D-3C541471BA2B}"/>
    <cellStyle name="40% - Accent1 2 7 2 3" xfId="13460" xr:uid="{4533F284-FB58-465C-B6EA-3E01335D4B32}"/>
    <cellStyle name="40% - Accent1 2 7 2 4" xfId="21907" xr:uid="{59C2C826-25BD-4284-A76F-2DD6AE7A1A6E}"/>
    <cellStyle name="40% - Accent1 2 7 2 5" xfId="30354" xr:uid="{A06771CF-5755-4198-A52D-E485C441DB44}"/>
    <cellStyle name="40% - Accent1 2 7 3" xfId="6206" xr:uid="{00000000-0005-0000-0000-00000E040000}"/>
    <cellStyle name="40% - Accent1 2 7 3 2" xfId="15532" xr:uid="{7EEF728D-99BC-4E26-B62D-4B9299CE0F58}"/>
    <cellStyle name="40% - Accent1 2 7 3 3" xfId="23979" xr:uid="{ECC8C30A-28CF-4BBA-A77E-83BB78730575}"/>
    <cellStyle name="40% - Accent1 2 7 3 4" xfId="32426" xr:uid="{C420B0EA-9848-4173-A917-4A9DDEACF670}"/>
    <cellStyle name="40% - Accent1 2 7 4" xfId="11315" xr:uid="{02E0E62D-E622-415E-B01F-84B29953DF6E}"/>
    <cellStyle name="40% - Accent1 2 7 5" xfId="19762" xr:uid="{5959AE9D-6881-4A48-92B2-18C683EAB4F8}"/>
    <cellStyle name="40% - Accent1 2 7 6" xfId="28209" xr:uid="{DED2EE1E-54B5-44A8-A28A-122B81C9B9B3}"/>
    <cellStyle name="40% - Accent1 2 8" xfId="2313" xr:uid="{00000000-0005-0000-0000-00000F040000}"/>
    <cellStyle name="40% - Accent1 2 8 2" xfId="6619" xr:uid="{00000000-0005-0000-0000-000010040000}"/>
    <cellStyle name="40% - Accent1 2 8 2 2" xfId="15945" xr:uid="{56C11306-2BDD-4901-A939-8CE6F6D0B58A}"/>
    <cellStyle name="40% - Accent1 2 8 2 3" xfId="24392" xr:uid="{806372CE-1896-44B7-AEE5-4872B661AF38}"/>
    <cellStyle name="40% - Accent1 2 8 2 4" xfId="32839" xr:uid="{64ED28AB-99C0-48E3-B88B-D8C6771CC32C}"/>
    <cellStyle name="40% - Accent1 2 8 3" xfId="11728" xr:uid="{2459CB33-D4AF-4CD7-A236-0B3E94F334B7}"/>
    <cellStyle name="40% - Accent1 2 8 4" xfId="20175" xr:uid="{E26D5E30-22EA-4F02-9809-5F2E867DF401}"/>
    <cellStyle name="40% - Accent1 2 8 5" xfId="28622" xr:uid="{8E680A29-0A84-41E8-8D95-CAFD4A86A94F}"/>
    <cellStyle name="40% - Accent1 2 9" xfId="4553" xr:uid="{00000000-0005-0000-0000-000011040000}"/>
    <cellStyle name="40% - Accent1 2 9 2" xfId="13879" xr:uid="{8819386F-431E-4527-9D02-B81F81DAA32A}"/>
    <cellStyle name="40% - Accent1 2 9 3" xfId="22326" xr:uid="{B7F4F3F9-FAF7-4133-83DA-6900B1A67A67}"/>
    <cellStyle name="40% - Accent1 2 9 4" xfId="30773" xr:uid="{41D929FC-7AE1-4D0F-8A66-AF0C6F986A01}"/>
    <cellStyle name="40% - Accent1 3" xfId="54" xr:uid="{00000000-0005-0000-0000-000012040000}"/>
    <cellStyle name="40% - Accent1 3 10" xfId="9666" xr:uid="{E556221A-A48B-4292-BC4A-A3F1A234978B}"/>
    <cellStyle name="40% - Accent1 3 11" xfId="18113" xr:uid="{90C1DF42-93EF-4FA4-86B1-67B37415CE4C}"/>
    <cellStyle name="40% - Accent1 3 12" xfId="26560" xr:uid="{67A73ABD-FA54-4FCA-B8FB-53884B5D57D4}"/>
    <cellStyle name="40% - Accent1 3 2" xfId="55" xr:uid="{00000000-0005-0000-0000-000013040000}"/>
    <cellStyle name="40% - Accent1 3 2 10" xfId="18114" xr:uid="{842F16A1-8C6F-453F-8D12-E2306096AFA7}"/>
    <cellStyle name="40% - Accent1 3 2 11" xfId="26561" xr:uid="{65F57B79-8D59-4371-82A9-F831F044D0B8}"/>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16443" xr:uid="{27E19E56-EA72-4F39-A441-4604503BE9C8}"/>
    <cellStyle name="40% - Accent1 3 2 2 2 2 3" xfId="24890" xr:uid="{ADD8123D-0693-4158-855D-0AA07B399A3E}"/>
    <cellStyle name="40% - Accent1 3 2 2 2 2 4" xfId="33337" xr:uid="{3D29595A-B2AA-4FAC-9F0F-92C10722F177}"/>
    <cellStyle name="40% - Accent1 3 2 2 2 3" xfId="12226" xr:uid="{8EA13E8E-85E0-4890-BC32-785DA03F4D38}"/>
    <cellStyle name="40% - Accent1 3 2 2 2 4" xfId="20673" xr:uid="{B583A133-EB5F-4404-8B77-1959BFD859E0}"/>
    <cellStyle name="40% - Accent1 3 2 2 2 5" xfId="29120" xr:uid="{971808D5-9750-41EC-AF6C-1A7E878BDE90}"/>
    <cellStyle name="40% - Accent1 3 2 2 3" xfId="4972" xr:uid="{00000000-0005-0000-0000-000017040000}"/>
    <cellStyle name="40% - Accent1 3 2 2 3 2" xfId="14298" xr:uid="{72FE107B-F189-432B-84B6-C930E53994AF}"/>
    <cellStyle name="40% - Accent1 3 2 2 3 3" xfId="22745" xr:uid="{63A49F6B-4AF7-4CA1-965A-4A3DCF8DE865}"/>
    <cellStyle name="40% - Accent1 3 2 2 3 4" xfId="31192" xr:uid="{09E26801-5DCF-4245-8A18-D9594870F860}"/>
    <cellStyle name="40% - Accent1 3 2 2 4" xfId="9494" xr:uid="{49092FA9-F337-44E8-98C8-15711B1C1558}"/>
    <cellStyle name="40% - Accent1 3 2 2 5" xfId="10081" xr:uid="{4CAB16AA-801A-4848-92E0-E30A3AF8BA0D}"/>
    <cellStyle name="40% - Accent1 3 2 2 6" xfId="18528" xr:uid="{3AD832FA-4C9C-439D-ACE1-704EC2318CBE}"/>
    <cellStyle name="40% - Accent1 3 2 2 7" xfId="26975" xr:uid="{F83A24F9-1D83-4861-921C-1353E244AB53}"/>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16856" xr:uid="{7AB2EB4A-9F73-46B3-A5EE-4EDD9D12EA41}"/>
    <cellStyle name="40% - Accent1 3 2 3 2 2 3" xfId="25303" xr:uid="{DA8B89B8-4BEA-4975-ACEB-1D5C66C0F22B}"/>
    <cellStyle name="40% - Accent1 3 2 3 2 2 4" xfId="33750" xr:uid="{CEE513BC-319B-469B-88B8-5AB7D0485FCA}"/>
    <cellStyle name="40% - Accent1 3 2 3 2 3" xfId="12639" xr:uid="{82371751-EF8B-4007-8C6A-C8BFAD2777D4}"/>
    <cellStyle name="40% - Accent1 3 2 3 2 4" xfId="21086" xr:uid="{73B2836E-94A1-4007-9ED6-256A355B42FF}"/>
    <cellStyle name="40% - Accent1 3 2 3 2 5" xfId="29533" xr:uid="{735166DB-8192-4E51-B3BB-B1F02C1DC030}"/>
    <cellStyle name="40% - Accent1 3 2 3 3" xfId="5385" xr:uid="{00000000-0005-0000-0000-00001B040000}"/>
    <cellStyle name="40% - Accent1 3 2 3 3 2" xfId="14711" xr:uid="{B314F7E4-5565-410A-84ED-CD8EBF5DDECC}"/>
    <cellStyle name="40% - Accent1 3 2 3 3 3" xfId="23158" xr:uid="{D99A4FAE-2F7B-4812-B354-CF1819AAFAB0}"/>
    <cellStyle name="40% - Accent1 3 2 3 3 4" xfId="31605" xr:uid="{11327E77-6221-46C4-A716-ACB1EAE98635}"/>
    <cellStyle name="40% - Accent1 3 2 3 4" xfId="10494" xr:uid="{B2D46E7F-E3C9-4D22-9132-9B2581CF05C2}"/>
    <cellStyle name="40% - Accent1 3 2 3 5" xfId="18941" xr:uid="{6876AE62-D1E9-47FA-918E-6368066EEF30}"/>
    <cellStyle name="40% - Accent1 3 2 3 6" xfId="27388" xr:uid="{84A4AEF3-DE85-4376-B58A-D205DA8A6D08}"/>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17269" xr:uid="{02898511-AF17-4B79-93E6-E66C82AD628E}"/>
    <cellStyle name="40% - Accent1 3 2 4 2 2 3" xfId="25716" xr:uid="{205CB6B5-0744-4EB1-943E-681A62A48A1B}"/>
    <cellStyle name="40% - Accent1 3 2 4 2 2 4" xfId="34163" xr:uid="{919CEF86-4959-4485-B147-F3E7818A3972}"/>
    <cellStyle name="40% - Accent1 3 2 4 2 3" xfId="13052" xr:uid="{B5114267-4CBC-4F11-B194-306FCF541CFF}"/>
    <cellStyle name="40% - Accent1 3 2 4 2 4" xfId="21499" xr:uid="{0852F82C-6BFC-42F5-8B95-47E8787B733A}"/>
    <cellStyle name="40% - Accent1 3 2 4 2 5" xfId="29946" xr:uid="{513DA261-609F-4DF5-BC13-1EBE6B268103}"/>
    <cellStyle name="40% - Accent1 3 2 4 3" xfId="5798" xr:uid="{00000000-0005-0000-0000-00001F040000}"/>
    <cellStyle name="40% - Accent1 3 2 4 3 2" xfId="15124" xr:uid="{313473B5-A869-4A98-8D13-2CF578EC6922}"/>
    <cellStyle name="40% - Accent1 3 2 4 3 3" xfId="23571" xr:uid="{0BCAC595-7A64-405F-AB27-E8CF889CEE92}"/>
    <cellStyle name="40% - Accent1 3 2 4 3 4" xfId="32018" xr:uid="{6425DC75-FCF9-4169-A9D8-F078378255EA}"/>
    <cellStyle name="40% - Accent1 3 2 4 4" xfId="10907" xr:uid="{DF3D89EC-0A3C-488F-B9AC-782B1E6A92B2}"/>
    <cellStyle name="40% - Accent1 3 2 4 5" xfId="19354" xr:uid="{C084023F-AFE2-4F1D-A313-B43F9053B75C}"/>
    <cellStyle name="40% - Accent1 3 2 4 6" xfId="27801" xr:uid="{0FF82A69-6C49-4F8E-AF33-81B5533AE08D}"/>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17682" xr:uid="{65DEF879-3E7C-488B-87E2-777B01C10A76}"/>
    <cellStyle name="40% - Accent1 3 2 5 2 2 3" xfId="26129" xr:uid="{1EC3D5E1-1F0F-4952-AF09-079FFB0173D2}"/>
    <cellStyle name="40% - Accent1 3 2 5 2 2 4" xfId="34576" xr:uid="{0A2B27F2-C598-48E6-BD59-082EC9326DF0}"/>
    <cellStyle name="40% - Accent1 3 2 5 2 3" xfId="13465" xr:uid="{87B60CE3-E851-4550-A0FD-D102A66E5A75}"/>
    <cellStyle name="40% - Accent1 3 2 5 2 4" xfId="21912" xr:uid="{94B099DC-FA34-40B8-B48D-B165BBA2EE8B}"/>
    <cellStyle name="40% - Accent1 3 2 5 2 5" xfId="30359" xr:uid="{45943793-CBDF-4588-B4A3-84BAA721192F}"/>
    <cellStyle name="40% - Accent1 3 2 5 3" xfId="6211" xr:uid="{00000000-0005-0000-0000-000023040000}"/>
    <cellStyle name="40% - Accent1 3 2 5 3 2" xfId="15537" xr:uid="{E6306C88-FB02-4852-924C-9A8401D6713B}"/>
    <cellStyle name="40% - Accent1 3 2 5 3 3" xfId="23984" xr:uid="{21B5A185-7BBC-4533-BDC5-BDD3A01EF1D8}"/>
    <cellStyle name="40% - Accent1 3 2 5 3 4" xfId="32431" xr:uid="{8D6FC02C-28C0-43A9-A5AF-119E91B19117}"/>
    <cellStyle name="40% - Accent1 3 2 5 4" xfId="11320" xr:uid="{009C133D-2975-4FFC-AEC5-0463A8548449}"/>
    <cellStyle name="40% - Accent1 3 2 5 5" xfId="19767" xr:uid="{946246DB-0573-4225-8412-9ADFE0928D47}"/>
    <cellStyle name="40% - Accent1 3 2 5 6" xfId="28214" xr:uid="{59E7BA0E-D816-43A1-BBBC-9EF2CA018D6A}"/>
    <cellStyle name="40% - Accent1 3 2 6" xfId="2318" xr:uid="{00000000-0005-0000-0000-000024040000}"/>
    <cellStyle name="40% - Accent1 3 2 6 2" xfId="6624" xr:uid="{00000000-0005-0000-0000-000025040000}"/>
    <cellStyle name="40% - Accent1 3 2 6 2 2" xfId="15950" xr:uid="{797BFCAD-C948-463D-86D3-734852C4F564}"/>
    <cellStyle name="40% - Accent1 3 2 6 2 3" xfId="24397" xr:uid="{736B47FB-391C-4D50-9B65-9433BA064497}"/>
    <cellStyle name="40% - Accent1 3 2 6 2 4" xfId="32844" xr:uid="{133C57AE-D95D-4AA2-81BE-55DCBB40E3F5}"/>
    <cellStyle name="40% - Accent1 3 2 6 3" xfId="11733" xr:uid="{BC8C927B-C79F-496D-A87C-BD62AF2D8C06}"/>
    <cellStyle name="40% - Accent1 3 2 6 4" xfId="20180" xr:uid="{896C22AE-B6C0-482D-AA55-A36C00DEE9A7}"/>
    <cellStyle name="40% - Accent1 3 2 6 5" xfId="28627" xr:uid="{155C10D9-8CD5-40EC-9F66-860047EB3001}"/>
    <cellStyle name="40% - Accent1 3 2 7" xfId="4558" xr:uid="{00000000-0005-0000-0000-000026040000}"/>
    <cellStyle name="40% - Accent1 3 2 7 2" xfId="13884" xr:uid="{5ADF1DF3-34CB-4050-B6B0-CD78B50E5E4A}"/>
    <cellStyle name="40% - Accent1 3 2 7 3" xfId="22331" xr:uid="{EF608F61-D85D-4062-A351-503B3F81EF78}"/>
    <cellStyle name="40% - Accent1 3 2 7 4" xfId="30778" xr:uid="{499C56C0-8C3D-4BD8-B2C6-BCDCEC0CFBA8}"/>
    <cellStyle name="40% - Accent1 3 2 8" xfId="9069" xr:uid="{F3D9FD63-8946-4492-B81A-42936E8B246D}"/>
    <cellStyle name="40% - Accent1 3 2 9" xfId="9667" xr:uid="{4E9269F5-B1D9-41B8-BC70-8DE94A996AB6}"/>
    <cellStyle name="40% - Accent1 3 3" xfId="623" xr:uid="{00000000-0005-0000-0000-000027040000}"/>
    <cellStyle name="40% - Accent1 3 3 2" xfId="2894" xr:uid="{00000000-0005-0000-0000-000028040000}"/>
    <cellStyle name="40% - Accent1 3 3 2 2" xfId="7116" xr:uid="{00000000-0005-0000-0000-000029040000}"/>
    <cellStyle name="40% - Accent1 3 3 2 2 2" xfId="16442" xr:uid="{027A37E2-1B2E-4242-B0F0-AA063B89E66E}"/>
    <cellStyle name="40% - Accent1 3 3 2 2 3" xfId="24889" xr:uid="{AD6FC8CF-6ED2-47D7-B053-E991ECC4BC1F}"/>
    <cellStyle name="40% - Accent1 3 3 2 2 4" xfId="33336" xr:uid="{4F43A4D0-F445-46C9-901F-468D733D55B0}"/>
    <cellStyle name="40% - Accent1 3 3 2 3" xfId="12225" xr:uid="{08AEA22D-C558-4D4D-B887-7A3799925DD4}"/>
    <cellStyle name="40% - Accent1 3 3 2 4" xfId="20672" xr:uid="{D6991E7E-91E5-475B-ACBF-F1A4D1C7D4B5}"/>
    <cellStyle name="40% - Accent1 3 3 2 5" xfId="29119" xr:uid="{E3E04F84-3A75-4B83-B0C8-53B1760FAAF2}"/>
    <cellStyle name="40% - Accent1 3 3 3" xfId="4971" xr:uid="{00000000-0005-0000-0000-00002A040000}"/>
    <cellStyle name="40% - Accent1 3 3 3 2" xfId="14297" xr:uid="{4458D383-26E9-46EB-8B1C-4AB7B516E258}"/>
    <cellStyle name="40% - Accent1 3 3 3 3" xfId="22744" xr:uid="{364F865A-1B1C-41B9-B670-BE52D89214B1}"/>
    <cellStyle name="40% - Accent1 3 3 3 4" xfId="31191" xr:uid="{9B4D57A4-7CBC-4A3B-9C7A-F9F958CA803C}"/>
    <cellStyle name="40% - Accent1 3 3 4" xfId="9287" xr:uid="{8C21B573-3D31-49DA-ACD8-D3EC7CC3A858}"/>
    <cellStyle name="40% - Accent1 3 3 5" xfId="10080" xr:uid="{3A2673D2-330F-403F-A4AE-9320AF18763C}"/>
    <cellStyle name="40% - Accent1 3 3 6" xfId="18527" xr:uid="{4CEF756E-7AEF-49DF-900A-4239F7614CFF}"/>
    <cellStyle name="40% - Accent1 3 3 7" xfId="26974" xr:uid="{78C61D30-5C44-41C5-8BA4-69E1F4A08912}"/>
    <cellStyle name="40% - Accent1 3 4" xfId="1076" xr:uid="{00000000-0005-0000-0000-00002B040000}"/>
    <cellStyle name="40% - Accent1 3 4 2" xfId="3307" xr:uid="{00000000-0005-0000-0000-00002C040000}"/>
    <cellStyle name="40% - Accent1 3 4 2 2" xfId="7529" xr:uid="{00000000-0005-0000-0000-00002D040000}"/>
    <cellStyle name="40% - Accent1 3 4 2 2 2" xfId="16855" xr:uid="{96EA7245-3CE4-4268-B396-48C68D886106}"/>
    <cellStyle name="40% - Accent1 3 4 2 2 3" xfId="25302" xr:uid="{F82EDBC2-7B82-40A6-9C2A-2C77A3538598}"/>
    <cellStyle name="40% - Accent1 3 4 2 2 4" xfId="33749" xr:uid="{0E258A54-5805-4443-9C0A-2DDD5AD7C096}"/>
    <cellStyle name="40% - Accent1 3 4 2 3" xfId="12638" xr:uid="{C4A44CBB-C4A3-43FD-A1C0-B4AF2BA7A982}"/>
    <cellStyle name="40% - Accent1 3 4 2 4" xfId="21085" xr:uid="{A959FCF3-66BE-441F-B6A6-F7E870841DBA}"/>
    <cellStyle name="40% - Accent1 3 4 2 5" xfId="29532" xr:uid="{0329C995-1B62-483F-9A97-3DD453681A55}"/>
    <cellStyle name="40% - Accent1 3 4 3" xfId="5384" xr:uid="{00000000-0005-0000-0000-00002E040000}"/>
    <cellStyle name="40% - Accent1 3 4 3 2" xfId="14710" xr:uid="{207F8057-1FC2-497D-B5E8-20877A02CFCD}"/>
    <cellStyle name="40% - Accent1 3 4 3 3" xfId="23157" xr:uid="{20FE13C2-9C94-46B8-B64B-FE4EE3C0319A}"/>
    <cellStyle name="40% - Accent1 3 4 3 4" xfId="31604" xr:uid="{37A1F3B2-A22B-4FCA-8351-18224216F3EF}"/>
    <cellStyle name="40% - Accent1 3 4 4" xfId="10493" xr:uid="{C4F19474-84B2-468F-B682-BE575FACF134}"/>
    <cellStyle name="40% - Accent1 3 4 5" xfId="18940" xr:uid="{DE69A5DB-64C1-4E73-B8CB-0D59938DB035}"/>
    <cellStyle name="40% - Accent1 3 4 6" xfId="27387" xr:uid="{E82B3629-C925-4AD6-83FF-7EC86A419BED}"/>
    <cellStyle name="40% - Accent1 3 5" xfId="1490" xr:uid="{00000000-0005-0000-0000-00002F040000}"/>
    <cellStyle name="40% - Accent1 3 5 2" xfId="3720" xr:uid="{00000000-0005-0000-0000-000030040000}"/>
    <cellStyle name="40% - Accent1 3 5 2 2" xfId="7942" xr:uid="{00000000-0005-0000-0000-000031040000}"/>
    <cellStyle name="40% - Accent1 3 5 2 2 2" xfId="17268" xr:uid="{38554D3D-D61D-438F-912B-EF9CC8DD6632}"/>
    <cellStyle name="40% - Accent1 3 5 2 2 3" xfId="25715" xr:uid="{0E41C978-FB7E-4BE0-B50F-5CBA60E7AF0B}"/>
    <cellStyle name="40% - Accent1 3 5 2 2 4" xfId="34162" xr:uid="{D89C4080-F030-4D8F-9573-00052C958B5D}"/>
    <cellStyle name="40% - Accent1 3 5 2 3" xfId="13051" xr:uid="{7892C49A-205B-4D78-B5EB-4BD478705CDB}"/>
    <cellStyle name="40% - Accent1 3 5 2 4" xfId="21498" xr:uid="{0FE2B9B7-8B0C-47CC-98B8-AE44BBB2EF11}"/>
    <cellStyle name="40% - Accent1 3 5 2 5" xfId="29945" xr:uid="{1C453418-D6C9-4740-9858-6B0CA33BFCDC}"/>
    <cellStyle name="40% - Accent1 3 5 3" xfId="5797" xr:uid="{00000000-0005-0000-0000-000032040000}"/>
    <cellStyle name="40% - Accent1 3 5 3 2" xfId="15123" xr:uid="{31BCB2A0-AE53-4E14-8C22-11EFB4BF2AD0}"/>
    <cellStyle name="40% - Accent1 3 5 3 3" xfId="23570" xr:uid="{2F2C6805-CC02-46F7-851D-C3A886D95CAD}"/>
    <cellStyle name="40% - Accent1 3 5 3 4" xfId="32017" xr:uid="{AEF96BF9-17B3-4E9B-8071-14A56C08FCC9}"/>
    <cellStyle name="40% - Accent1 3 5 4" xfId="10906" xr:uid="{84E3951B-57CE-4889-9897-47B2D4EAAE18}"/>
    <cellStyle name="40% - Accent1 3 5 5" xfId="19353" xr:uid="{076EF37D-3AA9-4220-ABA8-50D67635E4E5}"/>
    <cellStyle name="40% - Accent1 3 5 6" xfId="27800" xr:uid="{F9E58428-33A6-49D8-86CE-CA023F9E957F}"/>
    <cellStyle name="40% - Accent1 3 6" xfId="1904" xr:uid="{00000000-0005-0000-0000-000033040000}"/>
    <cellStyle name="40% - Accent1 3 6 2" xfId="4133" xr:uid="{00000000-0005-0000-0000-000034040000}"/>
    <cellStyle name="40% - Accent1 3 6 2 2" xfId="8355" xr:uid="{00000000-0005-0000-0000-000035040000}"/>
    <cellStyle name="40% - Accent1 3 6 2 2 2" xfId="17681" xr:uid="{2B9F2AC4-629A-45D9-877F-5CC1F19F87F0}"/>
    <cellStyle name="40% - Accent1 3 6 2 2 3" xfId="26128" xr:uid="{C4C66CF2-33CF-44DA-8613-C828301D9F4B}"/>
    <cellStyle name="40% - Accent1 3 6 2 2 4" xfId="34575" xr:uid="{7F8C8FE6-F209-4399-8015-C354D7329198}"/>
    <cellStyle name="40% - Accent1 3 6 2 3" xfId="13464" xr:uid="{FC8C6F53-1016-4055-892F-8B06D9B57CAA}"/>
    <cellStyle name="40% - Accent1 3 6 2 4" xfId="21911" xr:uid="{5CC3D05D-602B-4F58-8717-780CF035630B}"/>
    <cellStyle name="40% - Accent1 3 6 2 5" xfId="30358" xr:uid="{66FD2884-B8ED-470E-98C4-E43B52A4E72B}"/>
    <cellStyle name="40% - Accent1 3 6 3" xfId="6210" xr:uid="{00000000-0005-0000-0000-000036040000}"/>
    <cellStyle name="40% - Accent1 3 6 3 2" xfId="15536" xr:uid="{B566AAD3-22D3-4DCC-9EFC-DC3D7B6D6593}"/>
    <cellStyle name="40% - Accent1 3 6 3 3" xfId="23983" xr:uid="{866965BA-C31D-4E06-B070-FCE689802849}"/>
    <cellStyle name="40% - Accent1 3 6 3 4" xfId="32430" xr:uid="{089DC9F3-5E0C-4DDB-9B47-34A20AA11F16}"/>
    <cellStyle name="40% - Accent1 3 6 4" xfId="11319" xr:uid="{13B7C9A9-1BB8-4970-9A03-5DD9A077426D}"/>
    <cellStyle name="40% - Accent1 3 6 5" xfId="19766" xr:uid="{C04C4E9C-2A7E-4624-89DA-CC685C679DBE}"/>
    <cellStyle name="40% - Accent1 3 6 6" xfId="28213" xr:uid="{09070B9D-C4AF-4611-966B-7C729504AC34}"/>
    <cellStyle name="40% - Accent1 3 7" xfId="2317" xr:uid="{00000000-0005-0000-0000-000037040000}"/>
    <cellStyle name="40% - Accent1 3 7 2" xfId="6623" xr:uid="{00000000-0005-0000-0000-000038040000}"/>
    <cellStyle name="40% - Accent1 3 7 2 2" xfId="15949" xr:uid="{BE420EB4-E809-4F17-99CD-2DD0263EF2D1}"/>
    <cellStyle name="40% - Accent1 3 7 2 3" xfId="24396" xr:uid="{0FC2F756-5EF2-4F02-85ED-EDA5622B1052}"/>
    <cellStyle name="40% - Accent1 3 7 2 4" xfId="32843" xr:uid="{B6F9B57E-3C6D-4C3C-A6A4-CA94E631630C}"/>
    <cellStyle name="40% - Accent1 3 7 3" xfId="11732" xr:uid="{C9953C4F-4943-4C2B-A3B5-F8B5EB027CF6}"/>
    <cellStyle name="40% - Accent1 3 7 4" xfId="20179" xr:uid="{FF4602B5-B2F2-443F-9FEC-7A4E7082E561}"/>
    <cellStyle name="40% - Accent1 3 7 5" xfId="28626" xr:uid="{8C4A47A8-2C09-40E3-B8B0-B7F5648E31FD}"/>
    <cellStyle name="40% - Accent1 3 8" xfId="4557" xr:uid="{00000000-0005-0000-0000-000039040000}"/>
    <cellStyle name="40% - Accent1 3 8 2" xfId="13883" xr:uid="{34D5DC80-C123-40CF-9184-D70B52C12A80}"/>
    <cellStyle name="40% - Accent1 3 8 3" xfId="22330" xr:uid="{7FC3CF30-F56A-4008-B17E-26A2F4748FAF}"/>
    <cellStyle name="40% - Accent1 3 8 4" xfId="30777" xr:uid="{F2E78134-F1A1-4222-A5AF-14FC66B8786D}"/>
    <cellStyle name="40% - Accent1 3 9" xfId="8862" xr:uid="{2CC30516-31CA-485E-88BE-FCC7F9756A95}"/>
    <cellStyle name="40% - Accent1 4" xfId="56" xr:uid="{00000000-0005-0000-0000-00003A040000}"/>
    <cellStyle name="40% - Accent1 4 10" xfId="18115" xr:uid="{C9A153AE-1BF4-4238-8D15-C60254C90C07}"/>
    <cellStyle name="40% - Accent1 4 11" xfId="26562" xr:uid="{26F8E913-1320-4E4C-BD4C-CACF54F78956}"/>
    <cellStyle name="40% - Accent1 4 2" xfId="625" xr:uid="{00000000-0005-0000-0000-00003B040000}"/>
    <cellStyle name="40% - Accent1 4 2 2" xfId="2896" xr:uid="{00000000-0005-0000-0000-00003C040000}"/>
    <cellStyle name="40% - Accent1 4 2 2 2" xfId="7118" xr:uid="{00000000-0005-0000-0000-00003D040000}"/>
    <cellStyle name="40% - Accent1 4 2 2 2 2" xfId="16444" xr:uid="{32862B0A-0052-40AA-B741-6C5AE8F23C06}"/>
    <cellStyle name="40% - Accent1 4 2 2 2 3" xfId="24891" xr:uid="{3CACCA9E-F447-4481-94EC-9F944091BC30}"/>
    <cellStyle name="40% - Accent1 4 2 2 2 4" xfId="33338" xr:uid="{516770C3-1B86-4C4C-AE11-14181F5CAFE2}"/>
    <cellStyle name="40% - Accent1 4 2 2 3" xfId="12227" xr:uid="{64AE3F43-D373-4B05-BB71-77BFA83308F0}"/>
    <cellStyle name="40% - Accent1 4 2 2 4" xfId="20674" xr:uid="{1267BE5B-35DE-4DFC-92C3-C11B0FFC4429}"/>
    <cellStyle name="40% - Accent1 4 2 2 5" xfId="29121" xr:uid="{3BFCFCC8-4E47-4D22-8E9B-9CAF1B7A66B6}"/>
    <cellStyle name="40% - Accent1 4 2 3" xfId="4973" xr:uid="{00000000-0005-0000-0000-00003E040000}"/>
    <cellStyle name="40% - Accent1 4 2 3 2" xfId="14299" xr:uid="{A2717656-CCA5-4E95-BDB2-A3532BF55C4F}"/>
    <cellStyle name="40% - Accent1 4 2 3 3" xfId="22746" xr:uid="{593998E5-8F47-4A84-9173-1505959CE3FE}"/>
    <cellStyle name="40% - Accent1 4 2 3 4" xfId="31193" xr:uid="{9CB18B13-4263-4A60-AEEC-F25D4A935B05}"/>
    <cellStyle name="40% - Accent1 4 2 4" xfId="9373" xr:uid="{3BC949C7-8F86-44EA-9F10-CF277586B131}"/>
    <cellStyle name="40% - Accent1 4 2 5" xfId="10082" xr:uid="{3A969266-0AFF-4D6F-8FD0-D688F190A43F}"/>
    <cellStyle name="40% - Accent1 4 2 6" xfId="18529" xr:uid="{A849840A-A317-49F8-A4D5-A1973BDA843B}"/>
    <cellStyle name="40% - Accent1 4 2 7" xfId="26976" xr:uid="{4F69D92A-0FFC-46BE-A633-B23D3CEE97EE}"/>
    <cellStyle name="40% - Accent1 4 3" xfId="1078" xr:uid="{00000000-0005-0000-0000-00003F040000}"/>
    <cellStyle name="40% - Accent1 4 3 2" xfId="3309" xr:uid="{00000000-0005-0000-0000-000040040000}"/>
    <cellStyle name="40% - Accent1 4 3 2 2" xfId="7531" xr:uid="{00000000-0005-0000-0000-000041040000}"/>
    <cellStyle name="40% - Accent1 4 3 2 2 2" xfId="16857" xr:uid="{12CA882E-CBC0-485F-977D-23B95E28F79C}"/>
    <cellStyle name="40% - Accent1 4 3 2 2 3" xfId="25304" xr:uid="{4613743E-7075-4242-9CDC-985D6CCD0CBD}"/>
    <cellStyle name="40% - Accent1 4 3 2 2 4" xfId="33751" xr:uid="{D8FF5970-CC21-4D96-AFFD-FAC1C1D6241F}"/>
    <cellStyle name="40% - Accent1 4 3 2 3" xfId="12640" xr:uid="{C927A577-5BC9-4F6D-9AED-887624778AA2}"/>
    <cellStyle name="40% - Accent1 4 3 2 4" xfId="21087" xr:uid="{1D96456C-0685-423E-8DF6-C5964B14BDEE}"/>
    <cellStyle name="40% - Accent1 4 3 2 5" xfId="29534" xr:uid="{378F35C4-D071-4AF5-93CE-EF2A58D92226}"/>
    <cellStyle name="40% - Accent1 4 3 3" xfId="5386" xr:uid="{00000000-0005-0000-0000-000042040000}"/>
    <cellStyle name="40% - Accent1 4 3 3 2" xfId="14712" xr:uid="{E027E6B8-44FF-4542-91FF-D86EF5C57EC4}"/>
    <cellStyle name="40% - Accent1 4 3 3 3" xfId="23159" xr:uid="{B17442E3-8A66-46C9-90F0-9F83C9F4179E}"/>
    <cellStyle name="40% - Accent1 4 3 3 4" xfId="31606" xr:uid="{FB37DF38-0423-4843-A3D1-68875FC00C4D}"/>
    <cellStyle name="40% - Accent1 4 3 4" xfId="10495" xr:uid="{D1CABDD0-1FF6-4534-BF17-A0061D2DFDF0}"/>
    <cellStyle name="40% - Accent1 4 3 5" xfId="18942" xr:uid="{F7B4409A-0B25-4026-9CF2-32282D7F65C5}"/>
    <cellStyle name="40% - Accent1 4 3 6" xfId="27389" xr:uid="{7416CB63-E3C5-408F-9723-935E1AD1ABFD}"/>
    <cellStyle name="40% - Accent1 4 4" xfId="1492" xr:uid="{00000000-0005-0000-0000-000043040000}"/>
    <cellStyle name="40% - Accent1 4 4 2" xfId="3722" xr:uid="{00000000-0005-0000-0000-000044040000}"/>
    <cellStyle name="40% - Accent1 4 4 2 2" xfId="7944" xr:uid="{00000000-0005-0000-0000-000045040000}"/>
    <cellStyle name="40% - Accent1 4 4 2 2 2" xfId="17270" xr:uid="{F9461461-38FF-4A4D-80D3-AD68F3C0FF27}"/>
    <cellStyle name="40% - Accent1 4 4 2 2 3" xfId="25717" xr:uid="{C2E11FF1-E5BE-4817-A30F-4DA938A4AEFD}"/>
    <cellStyle name="40% - Accent1 4 4 2 2 4" xfId="34164" xr:uid="{C406471D-8C66-4271-9852-9E0B1730C28C}"/>
    <cellStyle name="40% - Accent1 4 4 2 3" xfId="13053" xr:uid="{F20DD88B-31D9-4ED9-80B0-520EE783A011}"/>
    <cellStyle name="40% - Accent1 4 4 2 4" xfId="21500" xr:uid="{2770AD8C-A79A-456A-89A6-3CA8983AC70B}"/>
    <cellStyle name="40% - Accent1 4 4 2 5" xfId="29947" xr:uid="{7741CD09-1438-477D-9731-83ABD429A647}"/>
    <cellStyle name="40% - Accent1 4 4 3" xfId="5799" xr:uid="{00000000-0005-0000-0000-000046040000}"/>
    <cellStyle name="40% - Accent1 4 4 3 2" xfId="15125" xr:uid="{E02771FA-942C-45E7-A4CB-A8F086B80972}"/>
    <cellStyle name="40% - Accent1 4 4 3 3" xfId="23572" xr:uid="{BEDBC22C-8B70-47C3-AFA1-495CC5DCF821}"/>
    <cellStyle name="40% - Accent1 4 4 3 4" xfId="32019" xr:uid="{46BFA30A-5A35-4DAE-BA50-225EAA9B2B72}"/>
    <cellStyle name="40% - Accent1 4 4 4" xfId="10908" xr:uid="{F892BF30-27C3-45B7-BAA1-B23510310E8F}"/>
    <cellStyle name="40% - Accent1 4 4 5" xfId="19355" xr:uid="{7F89BFFB-4E44-4A53-8AEB-D47061BB2228}"/>
    <cellStyle name="40% - Accent1 4 4 6" xfId="27802" xr:uid="{A7E17392-ECB9-4632-AA29-6050FB5A0AC0}"/>
    <cellStyle name="40% - Accent1 4 5" xfId="1906" xr:uid="{00000000-0005-0000-0000-000047040000}"/>
    <cellStyle name="40% - Accent1 4 5 2" xfId="4135" xr:uid="{00000000-0005-0000-0000-000048040000}"/>
    <cellStyle name="40% - Accent1 4 5 2 2" xfId="8357" xr:uid="{00000000-0005-0000-0000-000049040000}"/>
    <cellStyle name="40% - Accent1 4 5 2 2 2" xfId="17683" xr:uid="{5CE9A2ED-7271-4E83-A19E-BFABF4276F02}"/>
    <cellStyle name="40% - Accent1 4 5 2 2 3" xfId="26130" xr:uid="{3A83D8CA-B361-4328-9E9E-98FCBEEECD09}"/>
    <cellStyle name="40% - Accent1 4 5 2 2 4" xfId="34577" xr:uid="{DEFCA951-BCC2-4461-BA52-2AF08ED18F88}"/>
    <cellStyle name="40% - Accent1 4 5 2 3" xfId="13466" xr:uid="{45F6B5FB-770B-48F2-B09B-A84909DABBFE}"/>
    <cellStyle name="40% - Accent1 4 5 2 4" xfId="21913" xr:uid="{D84AA27D-A4BD-4390-BE14-A54237F783D4}"/>
    <cellStyle name="40% - Accent1 4 5 2 5" xfId="30360" xr:uid="{F4461E2E-D463-4EB3-B988-2677299D2124}"/>
    <cellStyle name="40% - Accent1 4 5 3" xfId="6212" xr:uid="{00000000-0005-0000-0000-00004A040000}"/>
    <cellStyle name="40% - Accent1 4 5 3 2" xfId="15538" xr:uid="{1880E64E-BE27-4408-B0B5-5167E3321CF6}"/>
    <cellStyle name="40% - Accent1 4 5 3 3" xfId="23985" xr:uid="{80D60A53-47D4-4188-ADD4-D33273EFE7F5}"/>
    <cellStyle name="40% - Accent1 4 5 3 4" xfId="32432" xr:uid="{40F46503-2B5A-49A9-9ABE-F5350BEE646A}"/>
    <cellStyle name="40% - Accent1 4 5 4" xfId="11321" xr:uid="{23FEE935-4EC1-46AD-9182-DDA093B22109}"/>
    <cellStyle name="40% - Accent1 4 5 5" xfId="19768" xr:uid="{5F3AC8C1-408C-4B83-97E4-21FD71BCD5E5}"/>
    <cellStyle name="40% - Accent1 4 5 6" xfId="28215" xr:uid="{ADDD2D15-2362-46CD-93A2-186C50C83DAC}"/>
    <cellStyle name="40% - Accent1 4 6" xfId="2319" xr:uid="{00000000-0005-0000-0000-00004B040000}"/>
    <cellStyle name="40% - Accent1 4 6 2" xfId="6625" xr:uid="{00000000-0005-0000-0000-00004C040000}"/>
    <cellStyle name="40% - Accent1 4 6 2 2" xfId="15951" xr:uid="{F7F6DA31-AF7F-49BD-91C1-B6197D5A1DEA}"/>
    <cellStyle name="40% - Accent1 4 6 2 3" xfId="24398" xr:uid="{CFAFCD65-1B2B-46F5-91D9-CAD4661B23BE}"/>
    <cellStyle name="40% - Accent1 4 6 2 4" xfId="32845" xr:uid="{C5560CEE-8BDD-43D4-95F2-E1AE7D15DB99}"/>
    <cellStyle name="40% - Accent1 4 6 3" xfId="11734" xr:uid="{3A7FE500-DFDD-4F32-8DF2-B67EA5CF3DA9}"/>
    <cellStyle name="40% - Accent1 4 6 4" xfId="20181" xr:uid="{70B5D747-8C27-4CBE-B1B3-711DB84CD454}"/>
    <cellStyle name="40% - Accent1 4 6 5" xfId="28628" xr:uid="{995EA824-1683-4E4F-BB6B-8EC68B9C444B}"/>
    <cellStyle name="40% - Accent1 4 7" xfId="4559" xr:uid="{00000000-0005-0000-0000-00004D040000}"/>
    <cellStyle name="40% - Accent1 4 7 2" xfId="13885" xr:uid="{BED77BFB-FC51-4A1F-91B3-898E41032F2D}"/>
    <cellStyle name="40% - Accent1 4 7 3" xfId="22332" xr:uid="{3272921D-1134-4DBB-9D6F-D09B7205916B}"/>
    <cellStyle name="40% - Accent1 4 7 4" xfId="30779" xr:uid="{6463AC40-70B0-47F3-9C34-C6A44D8A0E06}"/>
    <cellStyle name="40% - Accent1 4 8" xfId="8948" xr:uid="{7BCBB449-71B8-4468-A700-0125C7659C3D}"/>
    <cellStyle name="40% - Accent1 4 9" xfId="9668" xr:uid="{160E0C59-DE91-41DA-9840-40EE57FDCB55}"/>
    <cellStyle name="40% - Accent1 5" xfId="618" xr:uid="{00000000-0005-0000-0000-00004E040000}"/>
    <cellStyle name="40% - Accent1 5 2" xfId="2889" xr:uid="{00000000-0005-0000-0000-00004F040000}"/>
    <cellStyle name="40% - Accent1 5 2 2" xfId="7111" xr:uid="{00000000-0005-0000-0000-000050040000}"/>
    <cellStyle name="40% - Accent1 5 2 2 2" xfId="16437" xr:uid="{2FB2735F-B288-469A-A360-12C307D61525}"/>
    <cellStyle name="40% - Accent1 5 2 2 3" xfId="24884" xr:uid="{CA0EB76C-EFD5-455A-B3D7-7FC3A16053A5}"/>
    <cellStyle name="40% - Accent1 5 2 2 4" xfId="33331" xr:uid="{A8E0AF81-A58B-4F13-B05B-34A35797E54E}"/>
    <cellStyle name="40% - Accent1 5 2 3" xfId="12220" xr:uid="{4E1DEB9F-C6F5-4AFC-867F-C9BB063221EE}"/>
    <cellStyle name="40% - Accent1 5 2 4" xfId="20667" xr:uid="{398CD7DE-1F34-4954-939B-3B63938F79C3}"/>
    <cellStyle name="40% - Accent1 5 2 5" xfId="29114" xr:uid="{7859ACB0-7633-4DBC-ADED-093A7D135FC1}"/>
    <cellStyle name="40% - Accent1 5 3" xfId="4966" xr:uid="{00000000-0005-0000-0000-000051040000}"/>
    <cellStyle name="40% - Accent1 5 3 2" xfId="14292" xr:uid="{67AA6BD0-6A08-441D-8862-19C7B4BA39B0}"/>
    <cellStyle name="40% - Accent1 5 3 3" xfId="22739" xr:uid="{7B2DC3FD-3CD6-40EA-B07C-FE52307D58F3}"/>
    <cellStyle name="40% - Accent1 5 3 4" xfId="31186" xr:uid="{4F1BBDCA-ADB6-411F-9298-AB7373CC4FAB}"/>
    <cellStyle name="40% - Accent1 5 4" xfId="9181" xr:uid="{332DA761-F1AA-4FF3-9BBB-9ECEE19D2DFF}"/>
    <cellStyle name="40% - Accent1 5 5" xfId="10075" xr:uid="{480B2A6F-2310-49AB-8F49-6C172C8A9C87}"/>
    <cellStyle name="40% - Accent1 5 6" xfId="18522" xr:uid="{91782156-1213-4F5B-9032-C89A6C3E610D}"/>
    <cellStyle name="40% - Accent1 5 7" xfId="26969" xr:uid="{C2B7F2F2-A101-4A12-8E03-788271CC88B3}"/>
    <cellStyle name="40% - Accent1 6" xfId="1071" xr:uid="{00000000-0005-0000-0000-000052040000}"/>
    <cellStyle name="40% - Accent1 6 2" xfId="3302" xr:uid="{00000000-0005-0000-0000-000053040000}"/>
    <cellStyle name="40% - Accent1 6 2 2" xfId="7524" xr:uid="{00000000-0005-0000-0000-000054040000}"/>
    <cellStyle name="40% - Accent1 6 2 2 2" xfId="16850" xr:uid="{193FA177-A06B-40DD-804D-92B28C04DA07}"/>
    <cellStyle name="40% - Accent1 6 2 2 3" xfId="25297" xr:uid="{AFC2F97E-C867-4712-A864-9481D7D16C8F}"/>
    <cellStyle name="40% - Accent1 6 2 2 4" xfId="33744" xr:uid="{F62F457E-9182-4E74-A9F5-2DB0101208F9}"/>
    <cellStyle name="40% - Accent1 6 2 3" xfId="12633" xr:uid="{C51D2634-DE6D-4A7F-B6F8-B1CB5B4E2649}"/>
    <cellStyle name="40% - Accent1 6 2 4" xfId="21080" xr:uid="{E906103F-178F-4BBF-81A1-A89FDC7065D1}"/>
    <cellStyle name="40% - Accent1 6 2 5" xfId="29527" xr:uid="{181E92F0-E77B-4F0B-BE0D-D2A18414CDAB}"/>
    <cellStyle name="40% - Accent1 6 3" xfId="5379" xr:uid="{00000000-0005-0000-0000-000055040000}"/>
    <cellStyle name="40% - Accent1 6 3 2" xfId="14705" xr:uid="{543EF053-B82B-499A-B902-56624657665F}"/>
    <cellStyle name="40% - Accent1 6 3 3" xfId="23152" xr:uid="{30270F9A-75CF-48BC-825A-00282B104E37}"/>
    <cellStyle name="40% - Accent1 6 3 4" xfId="31599" xr:uid="{727E01F7-1C1C-4CBE-AE76-08E5897B6F4E}"/>
    <cellStyle name="40% - Accent1 6 4" xfId="10488" xr:uid="{3DE09E94-C399-4D03-8417-935E68E2A300}"/>
    <cellStyle name="40% - Accent1 6 5" xfId="18935" xr:uid="{026534AF-126B-4483-A5D7-282A2B8EF492}"/>
    <cellStyle name="40% - Accent1 6 6" xfId="27382" xr:uid="{57A21A9E-5AB8-4B76-B7EC-04E40AE08740}"/>
    <cellStyle name="40% - Accent1 7" xfId="1485" xr:uid="{00000000-0005-0000-0000-000056040000}"/>
    <cellStyle name="40% - Accent1 7 2" xfId="3715" xr:uid="{00000000-0005-0000-0000-000057040000}"/>
    <cellStyle name="40% - Accent1 7 2 2" xfId="7937" xr:uid="{00000000-0005-0000-0000-000058040000}"/>
    <cellStyle name="40% - Accent1 7 2 2 2" xfId="17263" xr:uid="{C8246620-1852-4A59-AB25-E3D118AE3891}"/>
    <cellStyle name="40% - Accent1 7 2 2 3" xfId="25710" xr:uid="{AAA42D85-F329-4D87-874E-967417D466B7}"/>
    <cellStyle name="40% - Accent1 7 2 2 4" xfId="34157" xr:uid="{66450F02-6F07-47A5-9B96-A07C08157899}"/>
    <cellStyle name="40% - Accent1 7 2 3" xfId="13046" xr:uid="{21E942FC-C8E4-471D-9BFC-3E9C064D1091}"/>
    <cellStyle name="40% - Accent1 7 2 4" xfId="21493" xr:uid="{435B2786-892B-462D-A489-56BA0095B2A6}"/>
    <cellStyle name="40% - Accent1 7 2 5" xfId="29940" xr:uid="{E111DC00-30FF-4623-AC5E-B57A973130A2}"/>
    <cellStyle name="40% - Accent1 7 3" xfId="5792" xr:uid="{00000000-0005-0000-0000-000059040000}"/>
    <cellStyle name="40% - Accent1 7 3 2" xfId="15118" xr:uid="{6D3BDDEA-02B0-4BB1-A75D-CB45336BE2DA}"/>
    <cellStyle name="40% - Accent1 7 3 3" xfId="23565" xr:uid="{AF5FD13D-1C0C-44CB-93F6-C999B04BB23F}"/>
    <cellStyle name="40% - Accent1 7 3 4" xfId="32012" xr:uid="{8C049D37-CD6C-4A0E-B9B4-3230DA34C50D}"/>
    <cellStyle name="40% - Accent1 7 4" xfId="10901" xr:uid="{0CFFD1B8-29C0-4C4D-BA09-6D2D05BBB4A3}"/>
    <cellStyle name="40% - Accent1 7 5" xfId="19348" xr:uid="{171BD228-1CFD-4BF4-9A44-BBA2BCE791A0}"/>
    <cellStyle name="40% - Accent1 7 6" xfId="27795" xr:uid="{954821C3-4157-4809-A5D1-B8FCA9B2B109}"/>
    <cellStyle name="40% - Accent1 8" xfId="1899" xr:uid="{00000000-0005-0000-0000-00005A040000}"/>
    <cellStyle name="40% - Accent1 8 2" xfId="4128" xr:uid="{00000000-0005-0000-0000-00005B040000}"/>
    <cellStyle name="40% - Accent1 8 2 2" xfId="8350" xr:uid="{00000000-0005-0000-0000-00005C040000}"/>
    <cellStyle name="40% - Accent1 8 2 2 2" xfId="17676" xr:uid="{CB60CFFE-89CB-40E3-92A0-D1ABDCCC0455}"/>
    <cellStyle name="40% - Accent1 8 2 2 3" xfId="26123" xr:uid="{0D9F674E-4523-48AE-BC21-1103C50AF837}"/>
    <cellStyle name="40% - Accent1 8 2 2 4" xfId="34570" xr:uid="{EA1DAEA7-A0D0-408E-ABC3-0C95D901D302}"/>
    <cellStyle name="40% - Accent1 8 2 3" xfId="13459" xr:uid="{72C0DDC5-26BB-4974-A07A-5BE6C82ADE9B}"/>
    <cellStyle name="40% - Accent1 8 2 4" xfId="21906" xr:uid="{280936CA-EB77-43B9-A00A-15F0E6805A75}"/>
    <cellStyle name="40% - Accent1 8 2 5" xfId="30353" xr:uid="{142DC32E-E47B-4E6D-AF29-3D09A75FE7B6}"/>
    <cellStyle name="40% - Accent1 8 3" xfId="6205" xr:uid="{00000000-0005-0000-0000-00005D040000}"/>
    <cellStyle name="40% - Accent1 8 3 2" xfId="15531" xr:uid="{46C25471-E358-493A-80C8-F82B3FE8522D}"/>
    <cellStyle name="40% - Accent1 8 3 3" xfId="23978" xr:uid="{CF8BAD45-4CA7-4986-9D8D-0834A67F6B17}"/>
    <cellStyle name="40% - Accent1 8 3 4" xfId="32425" xr:uid="{A5AA6D98-2CD7-4470-B9F4-9BC0C85BFC27}"/>
    <cellStyle name="40% - Accent1 8 4" xfId="11314" xr:uid="{B8174A2C-6071-4EC2-9A39-736CCB432B41}"/>
    <cellStyle name="40% - Accent1 8 5" xfId="19761" xr:uid="{1F690A76-8ACD-42FC-A499-83C3F2AC5EBD}"/>
    <cellStyle name="40% - Accent1 8 6" xfId="28208" xr:uid="{2521F57C-751C-47A9-9795-1333EFC660B6}"/>
    <cellStyle name="40% - Accent1 9" xfId="2312" xr:uid="{00000000-0005-0000-0000-00005E040000}"/>
    <cellStyle name="40% - Accent1 9 2" xfId="6618" xr:uid="{00000000-0005-0000-0000-00005F040000}"/>
    <cellStyle name="40% - Accent1 9 2 2" xfId="15944" xr:uid="{6FEC3FF7-3CE0-450F-9F6B-6BDD023C35D4}"/>
    <cellStyle name="40% - Accent1 9 2 3" xfId="24391" xr:uid="{23E224C4-05C2-485F-8E28-718A8EB348CB}"/>
    <cellStyle name="40% - Accent1 9 2 4" xfId="32838" xr:uid="{613E5DC4-7E70-404A-A65C-4345195284F4}"/>
    <cellStyle name="40% - Accent1 9 3" xfId="11727" xr:uid="{E7E90E84-B3A7-4A24-9189-F078D9B7B8F6}"/>
    <cellStyle name="40% - Accent1 9 4" xfId="20174" xr:uid="{826149CD-401B-489C-BEA1-8DA46F5F5A01}"/>
    <cellStyle name="40% - Accent1 9 5" xfId="28621" xr:uid="{A76628D0-5AAE-442E-B7B0-88687C20667D}"/>
    <cellStyle name="40% - Accent2" xfId="57" builtinId="35" customBuiltin="1"/>
    <cellStyle name="40% - Accent2 10" xfId="4560" xr:uid="{00000000-0005-0000-0000-000061040000}"/>
    <cellStyle name="40% - Accent2 10 2" xfId="13886" xr:uid="{F3CC1D8A-A527-4401-AFE5-2E485F760461}"/>
    <cellStyle name="40% - Accent2 10 3" xfId="22333" xr:uid="{4A6F309E-D1E4-404A-8AB8-175C96D74164}"/>
    <cellStyle name="40% - Accent2 10 4" xfId="30780" xr:uid="{D8B183FC-84C1-4ACB-8121-F016A45C1DF2}"/>
    <cellStyle name="40% - Accent2 11" xfId="8761" xr:uid="{8631D9D1-53DA-4958-8F7C-AD68B7B91D61}"/>
    <cellStyle name="40% - Accent2 12" xfId="9669" xr:uid="{B61D3FD8-D020-4663-8680-2D309D66A811}"/>
    <cellStyle name="40% - Accent2 13" xfId="18116" xr:uid="{967E37E9-879F-464F-9265-17FFBA005C88}"/>
    <cellStyle name="40% - Accent2 14" xfId="26563" xr:uid="{B9466607-FEFC-4118-9B33-31D2A5B4F9FC}"/>
    <cellStyle name="40% - Accent2 2" xfId="58" xr:uid="{00000000-0005-0000-0000-000062040000}"/>
    <cellStyle name="40% - Accent2 2 10" xfId="8799" xr:uid="{E3EEC046-6E76-44A5-8D1B-64621A8F0AC5}"/>
    <cellStyle name="40% - Accent2 2 11" xfId="9670" xr:uid="{265F8F56-1AD3-48C8-909E-47AB3EF58B0A}"/>
    <cellStyle name="40% - Accent2 2 12" xfId="18117" xr:uid="{5D57318C-DD3D-4C27-846C-BDCAFCD16B1B}"/>
    <cellStyle name="40% - Accent2 2 13" xfId="26564" xr:uid="{9D0EAB1D-EF8C-4015-84EB-C4E32970A64C}"/>
    <cellStyle name="40% - Accent2 2 2" xfId="59" xr:uid="{00000000-0005-0000-0000-000063040000}"/>
    <cellStyle name="40% - Accent2 2 2 10" xfId="9671" xr:uid="{5D5E2AE9-3CC3-4C0C-989E-BD599B0889E2}"/>
    <cellStyle name="40% - Accent2 2 2 11" xfId="18118" xr:uid="{FFC9C9D3-420D-434E-AFB8-A6EF1A89783F}"/>
    <cellStyle name="40% - Accent2 2 2 12" xfId="26565" xr:uid="{950A7CB3-2130-4D5D-B852-CA282889FDDD}"/>
    <cellStyle name="40% - Accent2 2 2 2" xfId="60" xr:uid="{00000000-0005-0000-0000-000064040000}"/>
    <cellStyle name="40% - Accent2 2 2 2 10" xfId="18119" xr:uid="{2FA56C8F-E2F2-4EDD-B840-D920A8AE924A}"/>
    <cellStyle name="40% - Accent2 2 2 2 11" xfId="26566" xr:uid="{33F0784E-329A-47F9-A03D-CF1CF7EF753C}"/>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16448" xr:uid="{A7E834F3-89DC-4456-85E9-746F03AA3E82}"/>
    <cellStyle name="40% - Accent2 2 2 2 2 2 2 3" xfId="24895" xr:uid="{F26E77B1-C569-49B8-B005-94C2BE55EC39}"/>
    <cellStyle name="40% - Accent2 2 2 2 2 2 2 4" xfId="33342" xr:uid="{FF7267DA-2227-4DD7-B90B-A0D7A29E5F0D}"/>
    <cellStyle name="40% - Accent2 2 2 2 2 2 3" xfId="12231" xr:uid="{9F1551F5-79FF-4904-9570-E50033194CBB}"/>
    <cellStyle name="40% - Accent2 2 2 2 2 2 4" xfId="20678" xr:uid="{72689D43-BAD1-494E-8BE9-3C5579FD3EAD}"/>
    <cellStyle name="40% - Accent2 2 2 2 2 2 5" xfId="29125" xr:uid="{BFE2AAAB-EF8F-4674-BFFD-0DCF9302F7DB}"/>
    <cellStyle name="40% - Accent2 2 2 2 2 3" xfId="4977" xr:uid="{00000000-0005-0000-0000-000068040000}"/>
    <cellStyle name="40% - Accent2 2 2 2 2 3 2" xfId="14303" xr:uid="{00C3327E-A7D4-4378-8077-5BEBE6F2E8C8}"/>
    <cellStyle name="40% - Accent2 2 2 2 2 3 3" xfId="22750" xr:uid="{24781C7E-AB21-4133-8428-FD118292AE18}"/>
    <cellStyle name="40% - Accent2 2 2 2 2 3 4" xfId="31197" xr:uid="{916C3279-A785-42F2-AF3B-0A0395B2E392}"/>
    <cellStyle name="40% - Accent2 2 2 2 2 4" xfId="9534" xr:uid="{9F53A086-33FC-422E-9DFF-72D04AC43949}"/>
    <cellStyle name="40% - Accent2 2 2 2 2 5" xfId="10086" xr:uid="{5A088BA9-FEF7-4F0E-9725-85DAC8617F2F}"/>
    <cellStyle name="40% - Accent2 2 2 2 2 6" xfId="18533" xr:uid="{1B385593-5E61-46A2-8463-328B210A40B1}"/>
    <cellStyle name="40% - Accent2 2 2 2 2 7" xfId="26980" xr:uid="{E838FCE1-6807-4A96-B948-1EEB37252BB3}"/>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16861" xr:uid="{D4047364-ADE5-4703-8F14-8D1CA17343C3}"/>
    <cellStyle name="40% - Accent2 2 2 2 3 2 2 3" xfId="25308" xr:uid="{43C083DE-5D4D-48FA-B427-79A61598B09F}"/>
    <cellStyle name="40% - Accent2 2 2 2 3 2 2 4" xfId="33755" xr:uid="{BD028E99-B82D-487B-8CEE-AA18F7397BEE}"/>
    <cellStyle name="40% - Accent2 2 2 2 3 2 3" xfId="12644" xr:uid="{5A5BECED-B0F0-4282-81C5-067B40CDC0F8}"/>
    <cellStyle name="40% - Accent2 2 2 2 3 2 4" xfId="21091" xr:uid="{731C0AA5-8B95-4BEB-8FBF-7E34770F47FD}"/>
    <cellStyle name="40% - Accent2 2 2 2 3 2 5" xfId="29538" xr:uid="{65FA00EC-359D-44BE-80E3-5E42D0938C01}"/>
    <cellStyle name="40% - Accent2 2 2 2 3 3" xfId="5390" xr:uid="{00000000-0005-0000-0000-00006C040000}"/>
    <cellStyle name="40% - Accent2 2 2 2 3 3 2" xfId="14716" xr:uid="{D931FFA0-FEB7-4453-AEBD-D55864673785}"/>
    <cellStyle name="40% - Accent2 2 2 2 3 3 3" xfId="23163" xr:uid="{5D9DA328-0D7E-4BD8-857A-C99A8105F36B}"/>
    <cellStyle name="40% - Accent2 2 2 2 3 3 4" xfId="31610" xr:uid="{D6C01346-6D33-486B-9D0A-92C14FF5799A}"/>
    <cellStyle name="40% - Accent2 2 2 2 3 4" xfId="10499" xr:uid="{A3A0B895-A181-4267-95F7-6609E2E80F7B}"/>
    <cellStyle name="40% - Accent2 2 2 2 3 5" xfId="18946" xr:uid="{EBD1B404-2866-4B13-8022-E5047735823B}"/>
    <cellStyle name="40% - Accent2 2 2 2 3 6" xfId="27393" xr:uid="{3DDC8AB4-B693-483D-BC40-E19132A4D398}"/>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17274" xr:uid="{E85E29C1-9E36-46D6-ABB0-736E8A76CFCF}"/>
    <cellStyle name="40% - Accent2 2 2 2 4 2 2 3" xfId="25721" xr:uid="{1856EC3D-5E0B-4667-9FCA-73288D83852D}"/>
    <cellStyle name="40% - Accent2 2 2 2 4 2 2 4" xfId="34168" xr:uid="{DB907F45-D036-4E76-A2F3-ED92F6454AD0}"/>
    <cellStyle name="40% - Accent2 2 2 2 4 2 3" xfId="13057" xr:uid="{8BA3562D-7985-4719-AF40-2187A3805F33}"/>
    <cellStyle name="40% - Accent2 2 2 2 4 2 4" xfId="21504" xr:uid="{6D5B0E72-1F6E-4E28-A23B-C8458ECB8751}"/>
    <cellStyle name="40% - Accent2 2 2 2 4 2 5" xfId="29951" xr:uid="{1CAEA544-C69F-42E5-A617-B7B68600A870}"/>
    <cellStyle name="40% - Accent2 2 2 2 4 3" xfId="5803" xr:uid="{00000000-0005-0000-0000-000070040000}"/>
    <cellStyle name="40% - Accent2 2 2 2 4 3 2" xfId="15129" xr:uid="{39757D50-62BB-42CD-93D5-2664E8A692AB}"/>
    <cellStyle name="40% - Accent2 2 2 2 4 3 3" xfId="23576" xr:uid="{68EC18C0-C51C-40CC-9BD8-6E8B5AC2DAE6}"/>
    <cellStyle name="40% - Accent2 2 2 2 4 3 4" xfId="32023" xr:uid="{D1D99347-C518-4059-BF9F-82D45DA4E4F6}"/>
    <cellStyle name="40% - Accent2 2 2 2 4 4" xfId="10912" xr:uid="{96EFC36F-C05A-4604-8BA6-8461AE889ADE}"/>
    <cellStyle name="40% - Accent2 2 2 2 4 5" xfId="19359" xr:uid="{B342D848-A50F-43CF-B994-FE9E45AD1C54}"/>
    <cellStyle name="40% - Accent2 2 2 2 4 6" xfId="27806" xr:uid="{E34DB151-4219-4C45-8261-1F8AC8129CF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17687" xr:uid="{AD2F11C0-BB32-4C49-A265-0768E5D803DA}"/>
    <cellStyle name="40% - Accent2 2 2 2 5 2 2 3" xfId="26134" xr:uid="{415B9C1A-5088-4907-A5E6-18F984AC933A}"/>
    <cellStyle name="40% - Accent2 2 2 2 5 2 2 4" xfId="34581" xr:uid="{F1947E46-B9DF-464D-9C41-9A4F83BDB026}"/>
    <cellStyle name="40% - Accent2 2 2 2 5 2 3" xfId="13470" xr:uid="{8BE81808-543A-4AA2-902E-B9AE3DB0AD42}"/>
    <cellStyle name="40% - Accent2 2 2 2 5 2 4" xfId="21917" xr:uid="{6B226682-2A33-49BA-92F7-A252021B8AA4}"/>
    <cellStyle name="40% - Accent2 2 2 2 5 2 5" xfId="30364" xr:uid="{6A55F6A5-AFFE-4F84-BD60-8395CC8EC4FD}"/>
    <cellStyle name="40% - Accent2 2 2 2 5 3" xfId="6216" xr:uid="{00000000-0005-0000-0000-000074040000}"/>
    <cellStyle name="40% - Accent2 2 2 2 5 3 2" xfId="15542" xr:uid="{E64AB683-67E5-4115-97C7-9D10FC299AF5}"/>
    <cellStyle name="40% - Accent2 2 2 2 5 3 3" xfId="23989" xr:uid="{D223BEFD-48B5-4E83-8929-AA5E1CE7C578}"/>
    <cellStyle name="40% - Accent2 2 2 2 5 3 4" xfId="32436" xr:uid="{818A9054-206A-4DD6-A696-750350BBF3CB}"/>
    <cellStyle name="40% - Accent2 2 2 2 5 4" xfId="11325" xr:uid="{7235EB19-6045-4750-AD17-60E638FD6EB4}"/>
    <cellStyle name="40% - Accent2 2 2 2 5 5" xfId="19772" xr:uid="{F8D7A5EB-1D6A-49D2-A4A3-3A28652D79D6}"/>
    <cellStyle name="40% - Accent2 2 2 2 5 6" xfId="28219" xr:uid="{1706288B-697E-4684-8093-186F2F4DCAB3}"/>
    <cellStyle name="40% - Accent2 2 2 2 6" xfId="2323" xr:uid="{00000000-0005-0000-0000-000075040000}"/>
    <cellStyle name="40% - Accent2 2 2 2 6 2" xfId="6629" xr:uid="{00000000-0005-0000-0000-000076040000}"/>
    <cellStyle name="40% - Accent2 2 2 2 6 2 2" xfId="15955" xr:uid="{03A7214B-1376-4CCC-A0A3-A536D3CE35B7}"/>
    <cellStyle name="40% - Accent2 2 2 2 6 2 3" xfId="24402" xr:uid="{D523329D-3C66-416E-97DB-7D897AFFE214}"/>
    <cellStyle name="40% - Accent2 2 2 2 6 2 4" xfId="32849" xr:uid="{BCAA6834-ADBC-48F0-9CA8-E4AC74FFAD7F}"/>
    <cellStyle name="40% - Accent2 2 2 2 6 3" xfId="11738" xr:uid="{49EF79E8-10F9-43BA-99ED-8C59F6E8AC86}"/>
    <cellStyle name="40% - Accent2 2 2 2 6 4" xfId="20185" xr:uid="{15CD6237-DD5E-4609-A39F-20F8FFCDC014}"/>
    <cellStyle name="40% - Accent2 2 2 2 6 5" xfId="28632" xr:uid="{4EAFE9EB-A984-48A3-AE1D-4AC8AEA1B5BF}"/>
    <cellStyle name="40% - Accent2 2 2 2 7" xfId="4563" xr:uid="{00000000-0005-0000-0000-000077040000}"/>
    <cellStyle name="40% - Accent2 2 2 2 7 2" xfId="13889" xr:uid="{30EA61A8-1C4A-47DA-93E0-3514CF7CC491}"/>
    <cellStyle name="40% - Accent2 2 2 2 7 3" xfId="22336" xr:uid="{D98D47BB-4AD2-4BA0-B09C-4CC4C1C5140D}"/>
    <cellStyle name="40% - Accent2 2 2 2 7 4" xfId="30783" xr:uid="{802E7568-32AF-4AE0-8A2F-C1773E8D2A49}"/>
    <cellStyle name="40% - Accent2 2 2 2 8" xfId="9109" xr:uid="{73F0012D-4386-4224-BFB0-7DB1C0E98822}"/>
    <cellStyle name="40% - Accent2 2 2 2 9" xfId="9672" xr:uid="{B6344BAB-BFB5-4C3D-9D81-333E6F445139}"/>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16447" xr:uid="{8AFE3E3D-0F94-42D7-97C7-9EBCF4DC56A1}"/>
    <cellStyle name="40% - Accent2 2 2 3 2 2 3" xfId="24894" xr:uid="{D72CAE02-D8FD-427D-A726-06AC67B85298}"/>
    <cellStyle name="40% - Accent2 2 2 3 2 2 4" xfId="33341" xr:uid="{67C91D72-D576-4A71-BBA2-AC893E999512}"/>
    <cellStyle name="40% - Accent2 2 2 3 2 3" xfId="12230" xr:uid="{F47F690D-59D0-423E-84A3-F03DB303E0D2}"/>
    <cellStyle name="40% - Accent2 2 2 3 2 4" xfId="20677" xr:uid="{471ED077-E1A8-49E7-98EE-DE40E13C5DCA}"/>
    <cellStyle name="40% - Accent2 2 2 3 2 5" xfId="29124" xr:uid="{5D2B8BD9-727C-4E8F-9E79-2C4117158815}"/>
    <cellStyle name="40% - Accent2 2 2 3 3" xfId="4976" xr:uid="{00000000-0005-0000-0000-00007B040000}"/>
    <cellStyle name="40% - Accent2 2 2 3 3 2" xfId="14302" xr:uid="{7FE73F81-E421-4DAE-B29A-4D397E9818E6}"/>
    <cellStyle name="40% - Accent2 2 2 3 3 3" xfId="22749" xr:uid="{24592181-AAE2-4CCA-B44D-D07368F0A5C8}"/>
    <cellStyle name="40% - Accent2 2 2 3 3 4" xfId="31196" xr:uid="{A0FEABEB-6B6F-4EA3-9362-3518E625B6CE}"/>
    <cellStyle name="40% - Accent2 2 2 3 4" xfId="9327" xr:uid="{F2BC9A12-B689-4B73-B71E-77A9F0BC7FE4}"/>
    <cellStyle name="40% - Accent2 2 2 3 5" xfId="10085" xr:uid="{5917E5A6-9013-4EE6-842C-C91CD3D48D25}"/>
    <cellStyle name="40% - Accent2 2 2 3 6" xfId="18532" xr:uid="{793D26AC-DAC4-47F5-89FA-A136D9684ACC}"/>
    <cellStyle name="40% - Accent2 2 2 3 7" xfId="26979" xr:uid="{F776F6B6-3011-40D5-8DD4-29F40EEDDF3C}"/>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16860" xr:uid="{601A0B01-0882-45BD-8D43-A30F6FF92205}"/>
    <cellStyle name="40% - Accent2 2 2 4 2 2 3" xfId="25307" xr:uid="{83343E3D-C32F-484B-8AFC-40E88CE0F9F3}"/>
    <cellStyle name="40% - Accent2 2 2 4 2 2 4" xfId="33754" xr:uid="{06F5A8D3-FD8D-45F1-A630-2759E9F6F5DF}"/>
    <cellStyle name="40% - Accent2 2 2 4 2 3" xfId="12643" xr:uid="{ECDC0B43-2B2D-4CEA-ACD0-4F5B6DAA98F4}"/>
    <cellStyle name="40% - Accent2 2 2 4 2 4" xfId="21090" xr:uid="{51EB81C4-4669-4BD2-82D1-070FF4CDE731}"/>
    <cellStyle name="40% - Accent2 2 2 4 2 5" xfId="29537" xr:uid="{29B9D142-7529-41A6-ADA6-86328620C0DF}"/>
    <cellStyle name="40% - Accent2 2 2 4 3" xfId="5389" xr:uid="{00000000-0005-0000-0000-00007F040000}"/>
    <cellStyle name="40% - Accent2 2 2 4 3 2" xfId="14715" xr:uid="{97997853-D901-44EE-8821-0DE5D2BA6B2E}"/>
    <cellStyle name="40% - Accent2 2 2 4 3 3" xfId="23162" xr:uid="{C877FC72-70F6-483B-B6BC-5D3E811C2A1E}"/>
    <cellStyle name="40% - Accent2 2 2 4 3 4" xfId="31609" xr:uid="{A6587090-6C20-49E3-9C78-B8EB4F0A04E7}"/>
    <cellStyle name="40% - Accent2 2 2 4 4" xfId="10498" xr:uid="{3C902DB0-0FE1-4B14-B36A-1133B8214371}"/>
    <cellStyle name="40% - Accent2 2 2 4 5" xfId="18945" xr:uid="{BFF1AE5B-BBCE-48B7-A2BE-A007A201EE21}"/>
    <cellStyle name="40% - Accent2 2 2 4 6" xfId="27392" xr:uid="{1C879CCF-5CEC-4605-AA19-AE3BE8BDA205}"/>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17273" xr:uid="{6536E6E6-FF7D-4AB8-8496-1C1793E13DF3}"/>
    <cellStyle name="40% - Accent2 2 2 5 2 2 3" xfId="25720" xr:uid="{F3F5F94C-4DB7-44B4-ABE3-71194D07D47F}"/>
    <cellStyle name="40% - Accent2 2 2 5 2 2 4" xfId="34167" xr:uid="{561EF07E-40FF-49A6-BF32-36A3B8ED1265}"/>
    <cellStyle name="40% - Accent2 2 2 5 2 3" xfId="13056" xr:uid="{9ED000DB-8C78-4ABD-BC9F-A577F22FA1D7}"/>
    <cellStyle name="40% - Accent2 2 2 5 2 4" xfId="21503" xr:uid="{BED04C36-CD61-457C-8BF9-C8284749F8FC}"/>
    <cellStyle name="40% - Accent2 2 2 5 2 5" xfId="29950" xr:uid="{9EF9A938-D440-4B80-AFFB-C24CD2B7A145}"/>
    <cellStyle name="40% - Accent2 2 2 5 3" xfId="5802" xr:uid="{00000000-0005-0000-0000-000083040000}"/>
    <cellStyle name="40% - Accent2 2 2 5 3 2" xfId="15128" xr:uid="{1DB2D175-EF68-4189-8393-F236213CDF6B}"/>
    <cellStyle name="40% - Accent2 2 2 5 3 3" xfId="23575" xr:uid="{098114B4-A8C3-4806-96A9-FA78D347DF32}"/>
    <cellStyle name="40% - Accent2 2 2 5 3 4" xfId="32022" xr:uid="{182A33F8-41B8-4B6B-BE9C-DD6F38BCD971}"/>
    <cellStyle name="40% - Accent2 2 2 5 4" xfId="10911" xr:uid="{42823437-90AA-46B1-A911-2A065D738A5E}"/>
    <cellStyle name="40% - Accent2 2 2 5 5" xfId="19358" xr:uid="{81E77801-ADC1-45A8-BE85-B74123142C76}"/>
    <cellStyle name="40% - Accent2 2 2 5 6" xfId="27805" xr:uid="{573E9A97-C7CC-4F75-8821-0DD1496727BB}"/>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17686" xr:uid="{60A51116-9342-4BC7-9799-2F58DB1BB3B6}"/>
    <cellStyle name="40% - Accent2 2 2 6 2 2 3" xfId="26133" xr:uid="{6FBA4625-65CD-4DAD-BF52-285C1A5D0CA0}"/>
    <cellStyle name="40% - Accent2 2 2 6 2 2 4" xfId="34580" xr:uid="{E096A2D3-410D-4D6C-83FE-5A80CF0EE255}"/>
    <cellStyle name="40% - Accent2 2 2 6 2 3" xfId="13469" xr:uid="{54ACCA6E-328C-4D03-A792-63F2B058963F}"/>
    <cellStyle name="40% - Accent2 2 2 6 2 4" xfId="21916" xr:uid="{588BB8E9-2047-4E95-AC0A-8362ADA67BD6}"/>
    <cellStyle name="40% - Accent2 2 2 6 2 5" xfId="30363" xr:uid="{E3DFB3F2-62EE-4698-865F-844FCEDF5217}"/>
    <cellStyle name="40% - Accent2 2 2 6 3" xfId="6215" xr:uid="{00000000-0005-0000-0000-000087040000}"/>
    <cellStyle name="40% - Accent2 2 2 6 3 2" xfId="15541" xr:uid="{E3D29CAB-BFD2-49DE-A257-B3A9192917A6}"/>
    <cellStyle name="40% - Accent2 2 2 6 3 3" xfId="23988" xr:uid="{E70025D8-45B5-42A1-93F4-CC589C7A3C5A}"/>
    <cellStyle name="40% - Accent2 2 2 6 3 4" xfId="32435" xr:uid="{500AE094-F72F-4583-9CCD-7BA3A88132FA}"/>
    <cellStyle name="40% - Accent2 2 2 6 4" xfId="11324" xr:uid="{8787A35C-340E-425F-9F1B-F42182405516}"/>
    <cellStyle name="40% - Accent2 2 2 6 5" xfId="19771" xr:uid="{14876AEB-924B-465B-B770-57FCE066B3C0}"/>
    <cellStyle name="40% - Accent2 2 2 6 6" xfId="28218" xr:uid="{36BBA6EC-0691-4482-A504-00D24982F6F5}"/>
    <cellStyle name="40% - Accent2 2 2 7" xfId="2322" xr:uid="{00000000-0005-0000-0000-000088040000}"/>
    <cellStyle name="40% - Accent2 2 2 7 2" xfId="6628" xr:uid="{00000000-0005-0000-0000-000089040000}"/>
    <cellStyle name="40% - Accent2 2 2 7 2 2" xfId="15954" xr:uid="{C89E0D2F-C39B-411D-B5FF-493BF3ABC759}"/>
    <cellStyle name="40% - Accent2 2 2 7 2 3" xfId="24401" xr:uid="{4FAE7C4D-66D7-4EA9-A40A-EC72D62433E6}"/>
    <cellStyle name="40% - Accent2 2 2 7 2 4" xfId="32848" xr:uid="{F16A98A6-4E3B-4E63-9D50-719F22033F42}"/>
    <cellStyle name="40% - Accent2 2 2 7 3" xfId="11737" xr:uid="{ADEFBDC2-8BE4-450E-8434-169A3FF13A7B}"/>
    <cellStyle name="40% - Accent2 2 2 7 4" xfId="20184" xr:uid="{8A7BF7F3-4FDB-49EA-9009-DF976D465F9A}"/>
    <cellStyle name="40% - Accent2 2 2 7 5" xfId="28631" xr:uid="{77FBC107-1384-4F57-AB8C-C929A081AB43}"/>
    <cellStyle name="40% - Accent2 2 2 8" xfId="4562" xr:uid="{00000000-0005-0000-0000-00008A040000}"/>
    <cellStyle name="40% - Accent2 2 2 8 2" xfId="13888" xr:uid="{05A395DA-C753-462D-968B-3BB2D1C2A867}"/>
    <cellStyle name="40% - Accent2 2 2 8 3" xfId="22335" xr:uid="{895043D8-004B-47F3-AF2D-2337E6BF8B13}"/>
    <cellStyle name="40% - Accent2 2 2 8 4" xfId="30782" xr:uid="{6328C5D9-FCB8-4DA5-A0DF-426D1C37E2CC}"/>
    <cellStyle name="40% - Accent2 2 2 9" xfId="8902" xr:uid="{5D0C2022-B7A4-4DE2-895F-9E4BE510A7B9}"/>
    <cellStyle name="40% - Accent2 2 3" xfId="61" xr:uid="{00000000-0005-0000-0000-00008B040000}"/>
    <cellStyle name="40% - Accent2 2 3 10" xfId="18120" xr:uid="{6A31E80C-CECB-4ED4-96E1-163A436ECFD0}"/>
    <cellStyle name="40% - Accent2 2 3 11" xfId="26567" xr:uid="{0FBC17BC-1CDE-4BD6-BF14-20A4B0B2F40B}"/>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16449" xr:uid="{C1AF63FB-D946-4BB0-B36E-07163B24557B}"/>
    <cellStyle name="40% - Accent2 2 3 2 2 2 3" xfId="24896" xr:uid="{8DBC87FC-D51A-4A8D-8606-7A73581A3681}"/>
    <cellStyle name="40% - Accent2 2 3 2 2 2 4" xfId="33343" xr:uid="{C62D5A2B-C78F-47C3-A9AD-C1F74EEE0002}"/>
    <cellStyle name="40% - Accent2 2 3 2 2 3" xfId="12232" xr:uid="{C20EC2DE-5D68-4750-968A-B6FC83242C1C}"/>
    <cellStyle name="40% - Accent2 2 3 2 2 4" xfId="20679" xr:uid="{72D33044-43D5-49EE-B698-E5D508AD3F6E}"/>
    <cellStyle name="40% - Accent2 2 3 2 2 5" xfId="29126" xr:uid="{06EF1017-5D93-4E68-ADF1-F9F48A9F0DD0}"/>
    <cellStyle name="40% - Accent2 2 3 2 3" xfId="4978" xr:uid="{00000000-0005-0000-0000-00008F040000}"/>
    <cellStyle name="40% - Accent2 2 3 2 3 2" xfId="14304" xr:uid="{D8101664-AE07-4DA2-A296-4B6FBA7305EB}"/>
    <cellStyle name="40% - Accent2 2 3 2 3 3" xfId="22751" xr:uid="{BA1A88F0-87EF-4F9D-9CAB-FBDC10EFD959}"/>
    <cellStyle name="40% - Accent2 2 3 2 3 4" xfId="31198" xr:uid="{63370DDF-F135-4494-BE43-2316549B682D}"/>
    <cellStyle name="40% - Accent2 2 3 2 4" xfId="9431" xr:uid="{BD4E3561-302E-4359-AAF3-4F2E007BC697}"/>
    <cellStyle name="40% - Accent2 2 3 2 5" xfId="10087" xr:uid="{FF30B8BF-AF44-4EA9-9901-1ED681701301}"/>
    <cellStyle name="40% - Accent2 2 3 2 6" xfId="18534" xr:uid="{B9D5D39C-A5F1-481E-B9BB-69550F752347}"/>
    <cellStyle name="40% - Accent2 2 3 2 7" xfId="26981" xr:uid="{45085D68-DB63-48E6-8EAB-7161B3E5D157}"/>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16862" xr:uid="{09DE4702-1A2B-4FBF-96CD-A41B355E0850}"/>
    <cellStyle name="40% - Accent2 2 3 3 2 2 3" xfId="25309" xr:uid="{ECC49813-5316-4055-A444-353DABB93B4D}"/>
    <cellStyle name="40% - Accent2 2 3 3 2 2 4" xfId="33756" xr:uid="{CA1E93A8-3D5B-45DA-AD75-8AB1F803CF3B}"/>
    <cellStyle name="40% - Accent2 2 3 3 2 3" xfId="12645" xr:uid="{1A9EA4B7-C692-4D93-9766-DB0858858C4C}"/>
    <cellStyle name="40% - Accent2 2 3 3 2 4" xfId="21092" xr:uid="{5B394187-3313-4FD0-A6DF-7D72D6327055}"/>
    <cellStyle name="40% - Accent2 2 3 3 2 5" xfId="29539" xr:uid="{43D99F9F-CCBA-4E9D-9293-79E101D3789B}"/>
    <cellStyle name="40% - Accent2 2 3 3 3" xfId="5391" xr:uid="{00000000-0005-0000-0000-000093040000}"/>
    <cellStyle name="40% - Accent2 2 3 3 3 2" xfId="14717" xr:uid="{6EFDAA6D-7BD2-496F-BE00-5B7BA3383E8A}"/>
    <cellStyle name="40% - Accent2 2 3 3 3 3" xfId="23164" xr:uid="{F568564C-49C0-4C8B-988E-BD6100842C0E}"/>
    <cellStyle name="40% - Accent2 2 3 3 3 4" xfId="31611" xr:uid="{5455EB7C-C368-4614-858A-E48E889FF865}"/>
    <cellStyle name="40% - Accent2 2 3 3 4" xfId="10500" xr:uid="{B061A74F-CB76-48DE-B2B5-169AB87A303C}"/>
    <cellStyle name="40% - Accent2 2 3 3 5" xfId="18947" xr:uid="{C31F9C3A-6690-45AA-B9F3-EE96C8EE1F6B}"/>
    <cellStyle name="40% - Accent2 2 3 3 6" xfId="27394" xr:uid="{D9AD1F4E-297C-45C8-85DA-60DF1C15B1B6}"/>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17275" xr:uid="{767D384F-7E21-4E11-9AE3-253159192B45}"/>
    <cellStyle name="40% - Accent2 2 3 4 2 2 3" xfId="25722" xr:uid="{7BDEC731-2178-402D-8990-4DDBE7925471}"/>
    <cellStyle name="40% - Accent2 2 3 4 2 2 4" xfId="34169" xr:uid="{F774674B-1F92-40C3-95C0-586EB7986CEC}"/>
    <cellStyle name="40% - Accent2 2 3 4 2 3" xfId="13058" xr:uid="{59CF4CFC-D2F1-4497-A816-2886E002731A}"/>
    <cellStyle name="40% - Accent2 2 3 4 2 4" xfId="21505" xr:uid="{93082E83-5CF6-4621-AE32-E4C75F7970FD}"/>
    <cellStyle name="40% - Accent2 2 3 4 2 5" xfId="29952" xr:uid="{5B6B12EE-64B9-4C54-93C7-8AFB9CB0B14B}"/>
    <cellStyle name="40% - Accent2 2 3 4 3" xfId="5804" xr:uid="{00000000-0005-0000-0000-000097040000}"/>
    <cellStyle name="40% - Accent2 2 3 4 3 2" xfId="15130" xr:uid="{7DD1535F-ABBD-448A-B018-700EDF721572}"/>
    <cellStyle name="40% - Accent2 2 3 4 3 3" xfId="23577" xr:uid="{5733C3E3-A8C6-487E-A0B8-B5DBA9A75CAF}"/>
    <cellStyle name="40% - Accent2 2 3 4 3 4" xfId="32024" xr:uid="{05F19D3B-F7FB-447E-8878-10FB9B148369}"/>
    <cellStyle name="40% - Accent2 2 3 4 4" xfId="10913" xr:uid="{DEEF91F8-AD7B-4B4D-B892-BEFABAB99AA0}"/>
    <cellStyle name="40% - Accent2 2 3 4 5" xfId="19360" xr:uid="{471257E6-A444-4835-B2B7-A1EBFD5B8237}"/>
    <cellStyle name="40% - Accent2 2 3 4 6" xfId="27807" xr:uid="{4BAE2755-7269-4CBD-A795-7E39808350B7}"/>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17688" xr:uid="{D4C9624C-256F-44A5-9896-27CA56733282}"/>
    <cellStyle name="40% - Accent2 2 3 5 2 2 3" xfId="26135" xr:uid="{366BB96F-65C0-4CD6-9393-ABAF67AE6066}"/>
    <cellStyle name="40% - Accent2 2 3 5 2 2 4" xfId="34582" xr:uid="{852BF723-57A4-45D5-BB1C-8FE33FD82A16}"/>
    <cellStyle name="40% - Accent2 2 3 5 2 3" xfId="13471" xr:uid="{EF18EE7A-0A45-4294-AEC5-BC9DFF68D1BD}"/>
    <cellStyle name="40% - Accent2 2 3 5 2 4" xfId="21918" xr:uid="{F2D48CF4-50FE-4FB7-B455-DAD15488EC39}"/>
    <cellStyle name="40% - Accent2 2 3 5 2 5" xfId="30365" xr:uid="{D9D39111-5F83-43D7-9755-BB791F6618EA}"/>
    <cellStyle name="40% - Accent2 2 3 5 3" xfId="6217" xr:uid="{00000000-0005-0000-0000-00009B040000}"/>
    <cellStyle name="40% - Accent2 2 3 5 3 2" xfId="15543" xr:uid="{44A1BC67-D82D-423C-A5F1-AB85CE5C8CE8}"/>
    <cellStyle name="40% - Accent2 2 3 5 3 3" xfId="23990" xr:uid="{101AF529-53FD-46C7-9747-96F8592647F6}"/>
    <cellStyle name="40% - Accent2 2 3 5 3 4" xfId="32437" xr:uid="{B81EDF1E-4CCD-41B3-8BB1-9456015487C4}"/>
    <cellStyle name="40% - Accent2 2 3 5 4" xfId="11326" xr:uid="{7806BA3E-D175-45ED-B7E3-DE5235BF0D6A}"/>
    <cellStyle name="40% - Accent2 2 3 5 5" xfId="19773" xr:uid="{282ED789-82F3-4E1F-A25C-024E0A843951}"/>
    <cellStyle name="40% - Accent2 2 3 5 6" xfId="28220" xr:uid="{4B551B37-1853-41BC-86A2-A441F10DFAFF}"/>
    <cellStyle name="40% - Accent2 2 3 6" xfId="2324" xr:uid="{00000000-0005-0000-0000-00009C040000}"/>
    <cellStyle name="40% - Accent2 2 3 6 2" xfId="6630" xr:uid="{00000000-0005-0000-0000-00009D040000}"/>
    <cellStyle name="40% - Accent2 2 3 6 2 2" xfId="15956" xr:uid="{A75FBB1B-FEA1-4E82-8A72-7C1CE0D9DD02}"/>
    <cellStyle name="40% - Accent2 2 3 6 2 3" xfId="24403" xr:uid="{14033F12-9FE2-49AF-A593-EC0775F7CC3E}"/>
    <cellStyle name="40% - Accent2 2 3 6 2 4" xfId="32850" xr:uid="{8CDEA2C1-7181-41EC-8E24-08CAE99590C6}"/>
    <cellStyle name="40% - Accent2 2 3 6 3" xfId="11739" xr:uid="{34C476F3-854B-4C69-B43F-1B69E455B5D4}"/>
    <cellStyle name="40% - Accent2 2 3 6 4" xfId="20186" xr:uid="{178B438F-FE0B-4A03-9F9F-14875478D7DF}"/>
    <cellStyle name="40% - Accent2 2 3 6 5" xfId="28633" xr:uid="{89FF5E10-8DFA-4E6D-9D3D-E1D3CC6249CD}"/>
    <cellStyle name="40% - Accent2 2 3 7" xfId="4564" xr:uid="{00000000-0005-0000-0000-00009E040000}"/>
    <cellStyle name="40% - Accent2 2 3 7 2" xfId="13890" xr:uid="{F45FB5F5-3E72-4C3D-9FF4-FF003B3E8A88}"/>
    <cellStyle name="40% - Accent2 2 3 7 3" xfId="22337" xr:uid="{F6F6F17B-E62D-4FBA-ACCA-9299795EFB3C}"/>
    <cellStyle name="40% - Accent2 2 3 7 4" xfId="30784" xr:uid="{7AB007BE-839B-4584-BFA0-87251FF855CB}"/>
    <cellStyle name="40% - Accent2 2 3 8" xfId="9006" xr:uid="{E6E89EA5-B76F-4FCC-89B9-DD4135B6364B}"/>
    <cellStyle name="40% - Accent2 2 3 9" xfId="9673" xr:uid="{4CEE791E-A73F-4492-9788-91590CFD57BE}"/>
    <cellStyle name="40% - Accent2 2 4" xfId="627" xr:uid="{00000000-0005-0000-0000-00009F040000}"/>
    <cellStyle name="40% - Accent2 2 4 2" xfId="2898" xr:uid="{00000000-0005-0000-0000-0000A0040000}"/>
    <cellStyle name="40% - Accent2 2 4 2 2" xfId="7120" xr:uid="{00000000-0005-0000-0000-0000A1040000}"/>
    <cellStyle name="40% - Accent2 2 4 2 2 2" xfId="16446" xr:uid="{3EC95489-B26D-4EC4-A546-8D54BB68FE20}"/>
    <cellStyle name="40% - Accent2 2 4 2 2 3" xfId="24893" xr:uid="{D53D7E07-D01C-43D5-AC16-7D26BD2D411D}"/>
    <cellStyle name="40% - Accent2 2 4 2 2 4" xfId="33340" xr:uid="{7D88949F-95C1-498E-9F1E-1AA7F3DAD603}"/>
    <cellStyle name="40% - Accent2 2 4 2 3" xfId="12229" xr:uid="{ADADE002-644D-42B8-8143-60480721906F}"/>
    <cellStyle name="40% - Accent2 2 4 2 4" xfId="20676" xr:uid="{C1C3114D-B31F-47C8-8626-266AB175255F}"/>
    <cellStyle name="40% - Accent2 2 4 2 5" xfId="29123" xr:uid="{C32B6633-BC50-4E67-8D9F-ADA0DF28F2F9}"/>
    <cellStyle name="40% - Accent2 2 4 3" xfId="4975" xr:uid="{00000000-0005-0000-0000-0000A2040000}"/>
    <cellStyle name="40% - Accent2 2 4 3 2" xfId="14301" xr:uid="{DC50643E-08AD-47DF-8E07-D8BAD7B1159D}"/>
    <cellStyle name="40% - Accent2 2 4 3 3" xfId="22748" xr:uid="{C579A7AE-CF1E-4FD0-88B2-C0AED749A4BE}"/>
    <cellStyle name="40% - Accent2 2 4 3 4" xfId="31195" xr:uid="{B022FD1F-B7FC-47E8-BBD1-20E715DD9B73}"/>
    <cellStyle name="40% - Accent2 2 4 4" xfId="9223" xr:uid="{FA9890B4-781A-4E4C-81EE-BC7448559828}"/>
    <cellStyle name="40% - Accent2 2 4 5" xfId="10084" xr:uid="{97BDB19F-0C22-4385-B34D-2CC5A7851FD8}"/>
    <cellStyle name="40% - Accent2 2 4 6" xfId="18531" xr:uid="{412DA78B-64F6-4351-BF75-41B5597F54CA}"/>
    <cellStyle name="40% - Accent2 2 4 7" xfId="26978" xr:uid="{CB76A17A-6B22-4B7B-851E-2885E833CAC2}"/>
    <cellStyle name="40% - Accent2 2 5" xfId="1080" xr:uid="{00000000-0005-0000-0000-0000A3040000}"/>
    <cellStyle name="40% - Accent2 2 5 2" xfId="3311" xr:uid="{00000000-0005-0000-0000-0000A4040000}"/>
    <cellStyle name="40% - Accent2 2 5 2 2" xfId="7533" xr:uid="{00000000-0005-0000-0000-0000A5040000}"/>
    <cellStyle name="40% - Accent2 2 5 2 2 2" xfId="16859" xr:uid="{83ADBF70-7DCF-4786-A06D-FC5F05BE2CD9}"/>
    <cellStyle name="40% - Accent2 2 5 2 2 3" xfId="25306" xr:uid="{3501DAF3-2079-4B0E-ACFA-34F185E3B7B6}"/>
    <cellStyle name="40% - Accent2 2 5 2 2 4" xfId="33753" xr:uid="{A4FC92D1-917A-48FB-B37F-B53AD4D01527}"/>
    <cellStyle name="40% - Accent2 2 5 2 3" xfId="12642" xr:uid="{C70124A8-558D-4D4E-A589-9BD09D9ADD69}"/>
    <cellStyle name="40% - Accent2 2 5 2 4" xfId="21089" xr:uid="{BE114B88-3DD8-4406-8DB5-4761296B64E4}"/>
    <cellStyle name="40% - Accent2 2 5 2 5" xfId="29536" xr:uid="{28188556-F6AE-45FC-B33C-B16C881CB92E}"/>
    <cellStyle name="40% - Accent2 2 5 3" xfId="5388" xr:uid="{00000000-0005-0000-0000-0000A6040000}"/>
    <cellStyle name="40% - Accent2 2 5 3 2" xfId="14714" xr:uid="{188D80EC-93A8-47CD-A4E0-AEA3D9BD0A80}"/>
    <cellStyle name="40% - Accent2 2 5 3 3" xfId="23161" xr:uid="{82CE4763-8AD4-4CE5-9B73-6FF8E32E7552}"/>
    <cellStyle name="40% - Accent2 2 5 3 4" xfId="31608" xr:uid="{D65AD99C-86A9-48E5-B56E-577F98601ABD}"/>
    <cellStyle name="40% - Accent2 2 5 4" xfId="10497" xr:uid="{205F36A3-11D8-4995-908D-0C5D43AB45EB}"/>
    <cellStyle name="40% - Accent2 2 5 5" xfId="18944" xr:uid="{AF4F1861-5D6F-4048-83E1-7135FAD4E196}"/>
    <cellStyle name="40% - Accent2 2 5 6" xfId="27391" xr:uid="{8B73118A-59CA-4A39-A7E9-FABA44866A21}"/>
    <cellStyle name="40% - Accent2 2 6" xfId="1494" xr:uid="{00000000-0005-0000-0000-0000A7040000}"/>
    <cellStyle name="40% - Accent2 2 6 2" xfId="3724" xr:uid="{00000000-0005-0000-0000-0000A8040000}"/>
    <cellStyle name="40% - Accent2 2 6 2 2" xfId="7946" xr:uid="{00000000-0005-0000-0000-0000A9040000}"/>
    <cellStyle name="40% - Accent2 2 6 2 2 2" xfId="17272" xr:uid="{D51F5745-561A-4CE0-B5D9-E3F80FC5968B}"/>
    <cellStyle name="40% - Accent2 2 6 2 2 3" xfId="25719" xr:uid="{8DD195F9-C037-4B15-A158-07960779F07C}"/>
    <cellStyle name="40% - Accent2 2 6 2 2 4" xfId="34166" xr:uid="{A4A7C7C2-B508-4817-8E70-C92F640F3AEB}"/>
    <cellStyle name="40% - Accent2 2 6 2 3" xfId="13055" xr:uid="{79EE4321-CE40-4A7B-BD39-B91075AE67ED}"/>
    <cellStyle name="40% - Accent2 2 6 2 4" xfId="21502" xr:uid="{2D54238C-C3B8-4D84-8D85-14E49150E6F6}"/>
    <cellStyle name="40% - Accent2 2 6 2 5" xfId="29949" xr:uid="{4EA67267-C5B8-465E-8BEE-F1E61B46788B}"/>
    <cellStyle name="40% - Accent2 2 6 3" xfId="5801" xr:uid="{00000000-0005-0000-0000-0000AA040000}"/>
    <cellStyle name="40% - Accent2 2 6 3 2" xfId="15127" xr:uid="{E391A152-AF30-4868-88ED-6E3A3656B26C}"/>
    <cellStyle name="40% - Accent2 2 6 3 3" xfId="23574" xr:uid="{8126A3F2-EC3E-4373-8B63-0EF59C4B8E26}"/>
    <cellStyle name="40% - Accent2 2 6 3 4" xfId="32021" xr:uid="{1DF7E487-20CB-4C6D-92E6-97E2B5CF4B78}"/>
    <cellStyle name="40% - Accent2 2 6 4" xfId="10910" xr:uid="{F76D2CFA-2160-48CB-91AC-25BB787F888B}"/>
    <cellStyle name="40% - Accent2 2 6 5" xfId="19357" xr:uid="{55DB83C7-B1D4-41E8-BEA9-93DFB21EC91C}"/>
    <cellStyle name="40% - Accent2 2 6 6" xfId="27804" xr:uid="{67B48C18-F85A-4A30-B2CE-2FD779B41E90}"/>
    <cellStyle name="40% - Accent2 2 7" xfId="1908" xr:uid="{00000000-0005-0000-0000-0000AB040000}"/>
    <cellStyle name="40% - Accent2 2 7 2" xfId="4137" xr:uid="{00000000-0005-0000-0000-0000AC040000}"/>
    <cellStyle name="40% - Accent2 2 7 2 2" xfId="8359" xr:uid="{00000000-0005-0000-0000-0000AD040000}"/>
    <cellStyle name="40% - Accent2 2 7 2 2 2" xfId="17685" xr:uid="{BDB345BB-26B9-4096-9427-5AB4895434EA}"/>
    <cellStyle name="40% - Accent2 2 7 2 2 3" xfId="26132" xr:uid="{2FB582AB-4E48-4D28-8DE0-5604128D1AE6}"/>
    <cellStyle name="40% - Accent2 2 7 2 2 4" xfId="34579" xr:uid="{4520F2DE-60E6-4B38-B0C5-C50464694045}"/>
    <cellStyle name="40% - Accent2 2 7 2 3" xfId="13468" xr:uid="{F0B58417-EF90-4AC0-9E8D-CF5401FB2652}"/>
    <cellStyle name="40% - Accent2 2 7 2 4" xfId="21915" xr:uid="{1D240ED4-52D1-42B8-95BE-5CA97A8E06C2}"/>
    <cellStyle name="40% - Accent2 2 7 2 5" xfId="30362" xr:uid="{7A08B416-7A2A-4F07-BBF9-A997B4C74488}"/>
    <cellStyle name="40% - Accent2 2 7 3" xfId="6214" xr:uid="{00000000-0005-0000-0000-0000AE040000}"/>
    <cellStyle name="40% - Accent2 2 7 3 2" xfId="15540" xr:uid="{D253C0EE-77BE-4929-98DF-A8BB184C98E6}"/>
    <cellStyle name="40% - Accent2 2 7 3 3" xfId="23987" xr:uid="{70B5E610-CE4E-4DD2-88E0-F16D9977D423}"/>
    <cellStyle name="40% - Accent2 2 7 3 4" xfId="32434" xr:uid="{4339A249-260F-44EB-B1EB-49121B56A23C}"/>
    <cellStyle name="40% - Accent2 2 7 4" xfId="11323" xr:uid="{A0A90B6D-303B-4C7D-B079-C670B3753125}"/>
    <cellStyle name="40% - Accent2 2 7 5" xfId="19770" xr:uid="{2B4EC9C7-2461-48BB-A218-EEA668F6CA75}"/>
    <cellStyle name="40% - Accent2 2 7 6" xfId="28217" xr:uid="{AE2F0422-055C-415A-A6A1-50C477260F38}"/>
    <cellStyle name="40% - Accent2 2 8" xfId="2321" xr:uid="{00000000-0005-0000-0000-0000AF040000}"/>
    <cellStyle name="40% - Accent2 2 8 2" xfId="6627" xr:uid="{00000000-0005-0000-0000-0000B0040000}"/>
    <cellStyle name="40% - Accent2 2 8 2 2" xfId="15953" xr:uid="{F74E1ABB-E249-4283-9EB8-6C0D00D70FE4}"/>
    <cellStyle name="40% - Accent2 2 8 2 3" xfId="24400" xr:uid="{5835F3E0-1B28-4D34-9D55-70E25F636845}"/>
    <cellStyle name="40% - Accent2 2 8 2 4" xfId="32847" xr:uid="{019F6B74-9555-42AB-9ED9-C3F70D2918D1}"/>
    <cellStyle name="40% - Accent2 2 8 3" xfId="11736" xr:uid="{718A6424-C4ED-4104-9E57-84C9AB12C1EA}"/>
    <cellStyle name="40% - Accent2 2 8 4" xfId="20183" xr:uid="{3CCD046B-CCC2-42E8-AA6A-F95FBC9BF654}"/>
    <cellStyle name="40% - Accent2 2 8 5" xfId="28630" xr:uid="{AE10D5E9-8484-4D1D-8849-E69AC5011826}"/>
    <cellStyle name="40% - Accent2 2 9" xfId="4561" xr:uid="{00000000-0005-0000-0000-0000B1040000}"/>
    <cellStyle name="40% - Accent2 2 9 2" xfId="13887" xr:uid="{89F60909-5A9E-4BC2-932C-2E0CAF0F1BAD}"/>
    <cellStyle name="40% - Accent2 2 9 3" xfId="22334" xr:uid="{2E862C58-AA5C-4C1A-A6AC-FCE55890A761}"/>
    <cellStyle name="40% - Accent2 2 9 4" xfId="30781" xr:uid="{42DBBB01-8CA6-4213-B548-87E2B2407465}"/>
    <cellStyle name="40% - Accent2 3" xfId="62" xr:uid="{00000000-0005-0000-0000-0000B2040000}"/>
    <cellStyle name="40% - Accent2 3 10" xfId="9674" xr:uid="{ADEA6448-3E66-4FF1-92E0-6C775B06FB99}"/>
    <cellStyle name="40% - Accent2 3 11" xfId="18121" xr:uid="{93B01C01-6274-480B-8981-5E24CA5B4438}"/>
    <cellStyle name="40% - Accent2 3 12" xfId="26568" xr:uid="{19087920-4392-4AC2-9485-00AFEB829972}"/>
    <cellStyle name="40% - Accent2 3 2" xfId="63" xr:uid="{00000000-0005-0000-0000-0000B3040000}"/>
    <cellStyle name="40% - Accent2 3 2 10" xfId="18122" xr:uid="{8CCBCC2D-A232-45D9-8AD5-6F8D2560A0D5}"/>
    <cellStyle name="40% - Accent2 3 2 11" xfId="26569" xr:uid="{0C4F4242-80F7-447B-B334-B80166093FE7}"/>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16451" xr:uid="{1A3255C0-06DE-49C6-8E23-A603CEE0CA92}"/>
    <cellStyle name="40% - Accent2 3 2 2 2 2 3" xfId="24898" xr:uid="{429D20EF-DDBB-40A3-AB33-585C629F4E22}"/>
    <cellStyle name="40% - Accent2 3 2 2 2 2 4" xfId="33345" xr:uid="{A5CF77B3-2C17-4BC9-8755-81FAF74CDA9C}"/>
    <cellStyle name="40% - Accent2 3 2 2 2 3" xfId="12234" xr:uid="{FA19D066-0D04-4B02-B64E-7DFBA089C78A}"/>
    <cellStyle name="40% - Accent2 3 2 2 2 4" xfId="20681" xr:uid="{E8B1E930-1155-4303-95CE-2188ABC6FD8F}"/>
    <cellStyle name="40% - Accent2 3 2 2 2 5" xfId="29128" xr:uid="{63967E35-0DCB-4865-8FC9-1013F699366A}"/>
    <cellStyle name="40% - Accent2 3 2 2 3" xfId="4980" xr:uid="{00000000-0005-0000-0000-0000B7040000}"/>
    <cellStyle name="40% - Accent2 3 2 2 3 2" xfId="14306" xr:uid="{7B8DBECA-396F-4F58-AE83-EBEC336D64A7}"/>
    <cellStyle name="40% - Accent2 3 2 2 3 3" xfId="22753" xr:uid="{21ECD7FB-2C8A-431A-B6EB-55051EB22309}"/>
    <cellStyle name="40% - Accent2 3 2 2 3 4" xfId="31200" xr:uid="{B0A4A68D-4E88-4311-8213-0B9DADA6F359}"/>
    <cellStyle name="40% - Accent2 3 2 2 4" xfId="9496" xr:uid="{700FA1AF-D943-4FDB-BFB1-F903AD1F731A}"/>
    <cellStyle name="40% - Accent2 3 2 2 5" xfId="10089" xr:uid="{097E7F7D-789F-4418-83FC-BC0FE390561C}"/>
    <cellStyle name="40% - Accent2 3 2 2 6" xfId="18536" xr:uid="{68120AFA-88DE-45A3-9C14-565AA17A2C93}"/>
    <cellStyle name="40% - Accent2 3 2 2 7" xfId="26983" xr:uid="{C04AF824-8FB2-4D97-82FF-66DFC5BA14CE}"/>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16864" xr:uid="{1C3229FF-6EED-4730-9A62-84233D4D7569}"/>
    <cellStyle name="40% - Accent2 3 2 3 2 2 3" xfId="25311" xr:uid="{93BB64EF-0669-47E3-93FD-2D584C96B81A}"/>
    <cellStyle name="40% - Accent2 3 2 3 2 2 4" xfId="33758" xr:uid="{AE516672-2035-4586-9ECC-5C642D9AFCE8}"/>
    <cellStyle name="40% - Accent2 3 2 3 2 3" xfId="12647" xr:uid="{6AFA5EEB-E630-4827-9659-9E973DD0E059}"/>
    <cellStyle name="40% - Accent2 3 2 3 2 4" xfId="21094" xr:uid="{0BF0DE28-188F-46A4-A13C-383A0173EDBD}"/>
    <cellStyle name="40% - Accent2 3 2 3 2 5" xfId="29541" xr:uid="{0DEB3FDC-69EB-49B2-9A3F-11E7CED8ABD5}"/>
    <cellStyle name="40% - Accent2 3 2 3 3" xfId="5393" xr:uid="{00000000-0005-0000-0000-0000BB040000}"/>
    <cellStyle name="40% - Accent2 3 2 3 3 2" xfId="14719" xr:uid="{A6D710E5-1FD7-409D-84AD-16194728D65B}"/>
    <cellStyle name="40% - Accent2 3 2 3 3 3" xfId="23166" xr:uid="{D8720DB7-A7CD-400A-8F8D-E82293435D7A}"/>
    <cellStyle name="40% - Accent2 3 2 3 3 4" xfId="31613" xr:uid="{A6718A4F-E8D6-4371-863A-6C0766C84013}"/>
    <cellStyle name="40% - Accent2 3 2 3 4" xfId="10502" xr:uid="{CF7D459C-7996-4665-9B3A-C29D87B09D89}"/>
    <cellStyle name="40% - Accent2 3 2 3 5" xfId="18949" xr:uid="{AC7C6F46-DC22-4762-BE2F-F6007AE3DE7A}"/>
    <cellStyle name="40% - Accent2 3 2 3 6" xfId="27396" xr:uid="{6987FE25-6982-4C42-89CC-E6FFCE16BC17}"/>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17277" xr:uid="{0BFAF1C9-7AA9-49FA-80AA-671D98838982}"/>
    <cellStyle name="40% - Accent2 3 2 4 2 2 3" xfId="25724" xr:uid="{9490CEF7-656A-4E64-91D8-B2799FE257FE}"/>
    <cellStyle name="40% - Accent2 3 2 4 2 2 4" xfId="34171" xr:uid="{FAC5012C-33DA-4FF6-834A-9AAB25CBE21B}"/>
    <cellStyle name="40% - Accent2 3 2 4 2 3" xfId="13060" xr:uid="{00405076-BB28-4758-95A4-2DA14B0942EE}"/>
    <cellStyle name="40% - Accent2 3 2 4 2 4" xfId="21507" xr:uid="{EB90919C-5AFD-4A79-940B-637E2B69AF41}"/>
    <cellStyle name="40% - Accent2 3 2 4 2 5" xfId="29954" xr:uid="{E617ACBA-562E-4F93-8D44-723D3CD34590}"/>
    <cellStyle name="40% - Accent2 3 2 4 3" xfId="5806" xr:uid="{00000000-0005-0000-0000-0000BF040000}"/>
    <cellStyle name="40% - Accent2 3 2 4 3 2" xfId="15132" xr:uid="{39FE4124-FD50-470B-9C82-BDD563457FF9}"/>
    <cellStyle name="40% - Accent2 3 2 4 3 3" xfId="23579" xr:uid="{AAA8EA76-3497-4B90-84A9-B03148FE65E8}"/>
    <cellStyle name="40% - Accent2 3 2 4 3 4" xfId="32026" xr:uid="{85A5E4EB-357B-4D29-A101-F9C98D32BD1B}"/>
    <cellStyle name="40% - Accent2 3 2 4 4" xfId="10915" xr:uid="{59D82358-E2A3-4989-B80A-EDCCA6DD320C}"/>
    <cellStyle name="40% - Accent2 3 2 4 5" xfId="19362" xr:uid="{CD33AEE6-F53E-4CE6-A870-EA975752B7DC}"/>
    <cellStyle name="40% - Accent2 3 2 4 6" xfId="27809" xr:uid="{41CCE6E9-5ADB-48F3-AD8D-C104DC8E5DC8}"/>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17690" xr:uid="{89828AFF-D1AE-4F31-AB4B-5732F068668E}"/>
    <cellStyle name="40% - Accent2 3 2 5 2 2 3" xfId="26137" xr:uid="{AE0A9913-008D-4157-B1B8-640370CC5CF5}"/>
    <cellStyle name="40% - Accent2 3 2 5 2 2 4" xfId="34584" xr:uid="{DAB95B1D-181C-42C7-85EE-50E7F3D1A3CC}"/>
    <cellStyle name="40% - Accent2 3 2 5 2 3" xfId="13473" xr:uid="{4A272CD8-2291-4B65-BE87-82C93B8DB935}"/>
    <cellStyle name="40% - Accent2 3 2 5 2 4" xfId="21920" xr:uid="{2B6B9C48-D663-49D8-80BF-7D5732ECEB73}"/>
    <cellStyle name="40% - Accent2 3 2 5 2 5" xfId="30367" xr:uid="{97F3A82D-F03A-4854-B83C-89F636394106}"/>
    <cellStyle name="40% - Accent2 3 2 5 3" xfId="6219" xr:uid="{00000000-0005-0000-0000-0000C3040000}"/>
    <cellStyle name="40% - Accent2 3 2 5 3 2" xfId="15545" xr:uid="{698A7A4E-F930-4E8A-BA3F-A005106EF845}"/>
    <cellStyle name="40% - Accent2 3 2 5 3 3" xfId="23992" xr:uid="{973570C2-BEBB-4400-AC69-99BEE54E3E78}"/>
    <cellStyle name="40% - Accent2 3 2 5 3 4" xfId="32439" xr:uid="{85927EC4-590E-44FD-B687-23892390BD35}"/>
    <cellStyle name="40% - Accent2 3 2 5 4" xfId="11328" xr:uid="{CBDAD342-4990-47CD-8C6C-11339375D79B}"/>
    <cellStyle name="40% - Accent2 3 2 5 5" xfId="19775" xr:uid="{8399C8CD-575D-40F4-B734-2B29FB174697}"/>
    <cellStyle name="40% - Accent2 3 2 5 6" xfId="28222" xr:uid="{5A95BA81-9FB0-47B1-9B3A-A1DAB6C605E5}"/>
    <cellStyle name="40% - Accent2 3 2 6" xfId="2326" xr:uid="{00000000-0005-0000-0000-0000C4040000}"/>
    <cellStyle name="40% - Accent2 3 2 6 2" xfId="6632" xr:uid="{00000000-0005-0000-0000-0000C5040000}"/>
    <cellStyle name="40% - Accent2 3 2 6 2 2" xfId="15958" xr:uid="{87BFA819-4437-4FC4-9ED5-FB3B78428A88}"/>
    <cellStyle name="40% - Accent2 3 2 6 2 3" xfId="24405" xr:uid="{04624320-7E1F-46AD-8C25-725802CC4175}"/>
    <cellStyle name="40% - Accent2 3 2 6 2 4" xfId="32852" xr:uid="{F70304B5-A3DA-4697-ACC4-EB313C4E5D66}"/>
    <cellStyle name="40% - Accent2 3 2 6 3" xfId="11741" xr:uid="{E0B00BAC-086A-406E-9EF9-24B887AF6D46}"/>
    <cellStyle name="40% - Accent2 3 2 6 4" xfId="20188" xr:uid="{7FD235A6-88ED-4E0D-91C1-8984B4090745}"/>
    <cellStyle name="40% - Accent2 3 2 6 5" xfId="28635" xr:uid="{36DE2B38-3242-44E3-96A0-1B16B1E8BB08}"/>
    <cellStyle name="40% - Accent2 3 2 7" xfId="4566" xr:uid="{00000000-0005-0000-0000-0000C6040000}"/>
    <cellStyle name="40% - Accent2 3 2 7 2" xfId="13892" xr:uid="{B4CC1C28-C40D-41C5-9BF4-BF74F0BC9243}"/>
    <cellStyle name="40% - Accent2 3 2 7 3" xfId="22339" xr:uid="{09EB9E28-3551-4CA5-A8CA-E98DFF77A64B}"/>
    <cellStyle name="40% - Accent2 3 2 7 4" xfId="30786" xr:uid="{ACD2FBFB-8DCE-480F-AE6A-7B2CE8AA9912}"/>
    <cellStyle name="40% - Accent2 3 2 8" xfId="9071" xr:uid="{B5463F05-11FC-4377-B380-DDB549C63AA9}"/>
    <cellStyle name="40% - Accent2 3 2 9" xfId="9675" xr:uid="{D69A0F80-2760-4FC5-B218-BCC922E2C672}"/>
    <cellStyle name="40% - Accent2 3 3" xfId="631" xr:uid="{00000000-0005-0000-0000-0000C7040000}"/>
    <cellStyle name="40% - Accent2 3 3 2" xfId="2902" xr:uid="{00000000-0005-0000-0000-0000C8040000}"/>
    <cellStyle name="40% - Accent2 3 3 2 2" xfId="7124" xr:uid="{00000000-0005-0000-0000-0000C9040000}"/>
    <cellStyle name="40% - Accent2 3 3 2 2 2" xfId="16450" xr:uid="{73A0B95E-4477-4CDA-B058-E80981BBE903}"/>
    <cellStyle name="40% - Accent2 3 3 2 2 3" xfId="24897" xr:uid="{CFE9A193-2DAD-4846-8B80-998066FAB69B}"/>
    <cellStyle name="40% - Accent2 3 3 2 2 4" xfId="33344" xr:uid="{E11AA24E-AEB6-49AB-8500-CB1BCAF35D21}"/>
    <cellStyle name="40% - Accent2 3 3 2 3" xfId="12233" xr:uid="{4E3438E7-00AD-44CE-AEF3-8604DBD0E0FF}"/>
    <cellStyle name="40% - Accent2 3 3 2 4" xfId="20680" xr:uid="{5E4FD0A1-020D-4125-BCFF-ABA86298779E}"/>
    <cellStyle name="40% - Accent2 3 3 2 5" xfId="29127" xr:uid="{4E882664-F5F0-49EF-ACB9-A4A7E734F80B}"/>
    <cellStyle name="40% - Accent2 3 3 3" xfId="4979" xr:uid="{00000000-0005-0000-0000-0000CA040000}"/>
    <cellStyle name="40% - Accent2 3 3 3 2" xfId="14305" xr:uid="{7D76632B-1CC7-4E56-A065-9C4CA2329D03}"/>
    <cellStyle name="40% - Accent2 3 3 3 3" xfId="22752" xr:uid="{DB5B2250-07CA-4F00-9F21-B5BF62A67227}"/>
    <cellStyle name="40% - Accent2 3 3 3 4" xfId="31199" xr:uid="{34A6B9DB-6BA1-4BE0-A4EC-D486FDEBE52A}"/>
    <cellStyle name="40% - Accent2 3 3 4" xfId="9289" xr:uid="{B234EB9F-4AFE-41A2-A17D-ABC1D0F80875}"/>
    <cellStyle name="40% - Accent2 3 3 5" xfId="10088" xr:uid="{A3C2F577-0D2D-4490-B787-C6CF32E053A4}"/>
    <cellStyle name="40% - Accent2 3 3 6" xfId="18535" xr:uid="{EEE3EDEC-A00E-48E7-8AC1-5A8AF1E137E2}"/>
    <cellStyle name="40% - Accent2 3 3 7" xfId="26982" xr:uid="{1A600800-8674-4E5C-97E5-A0BAF1A6C5CB}"/>
    <cellStyle name="40% - Accent2 3 4" xfId="1084" xr:uid="{00000000-0005-0000-0000-0000CB040000}"/>
    <cellStyle name="40% - Accent2 3 4 2" xfId="3315" xr:uid="{00000000-0005-0000-0000-0000CC040000}"/>
    <cellStyle name="40% - Accent2 3 4 2 2" xfId="7537" xr:uid="{00000000-0005-0000-0000-0000CD040000}"/>
    <cellStyle name="40% - Accent2 3 4 2 2 2" xfId="16863" xr:uid="{A20359C9-04C9-423B-A186-86BA1E4DE3A4}"/>
    <cellStyle name="40% - Accent2 3 4 2 2 3" xfId="25310" xr:uid="{55C3AD4D-6C6E-4D6B-AF64-E4043BA312CB}"/>
    <cellStyle name="40% - Accent2 3 4 2 2 4" xfId="33757" xr:uid="{1BB749AD-EB94-4048-9A31-E7D2E541D38B}"/>
    <cellStyle name="40% - Accent2 3 4 2 3" xfId="12646" xr:uid="{31715551-8286-4FB1-B0E3-216BEFC08E71}"/>
    <cellStyle name="40% - Accent2 3 4 2 4" xfId="21093" xr:uid="{82725110-073D-4BB6-A185-EF5AB69A03F1}"/>
    <cellStyle name="40% - Accent2 3 4 2 5" xfId="29540" xr:uid="{35548010-BCA3-435A-B6C2-DFFC4947A04C}"/>
    <cellStyle name="40% - Accent2 3 4 3" xfId="5392" xr:uid="{00000000-0005-0000-0000-0000CE040000}"/>
    <cellStyle name="40% - Accent2 3 4 3 2" xfId="14718" xr:uid="{19112955-0A01-4D96-A837-CF2B2C0A37BE}"/>
    <cellStyle name="40% - Accent2 3 4 3 3" xfId="23165" xr:uid="{7C274D4A-4B6A-406C-A674-6A503E470A8C}"/>
    <cellStyle name="40% - Accent2 3 4 3 4" xfId="31612" xr:uid="{BA5C6799-D3E2-4397-8E0A-A2F7F6F01346}"/>
    <cellStyle name="40% - Accent2 3 4 4" xfId="10501" xr:uid="{F1280BA5-80A2-4D0A-9EFC-0261538CA2D9}"/>
    <cellStyle name="40% - Accent2 3 4 5" xfId="18948" xr:uid="{3CB97DCB-E75C-4D7E-B065-136E27D241F6}"/>
    <cellStyle name="40% - Accent2 3 4 6" xfId="27395" xr:uid="{B67630A7-E325-4180-BC28-6A5604A17657}"/>
    <cellStyle name="40% - Accent2 3 5" xfId="1498" xr:uid="{00000000-0005-0000-0000-0000CF040000}"/>
    <cellStyle name="40% - Accent2 3 5 2" xfId="3728" xr:uid="{00000000-0005-0000-0000-0000D0040000}"/>
    <cellStyle name="40% - Accent2 3 5 2 2" xfId="7950" xr:uid="{00000000-0005-0000-0000-0000D1040000}"/>
    <cellStyle name="40% - Accent2 3 5 2 2 2" xfId="17276" xr:uid="{54D0187E-03E4-4C66-913F-07DEA46231CA}"/>
    <cellStyle name="40% - Accent2 3 5 2 2 3" xfId="25723" xr:uid="{A69FE123-61E0-45C3-8D3B-B3E62BDF8FD3}"/>
    <cellStyle name="40% - Accent2 3 5 2 2 4" xfId="34170" xr:uid="{79F42562-6D4B-481E-B0DE-C861E35DA4EE}"/>
    <cellStyle name="40% - Accent2 3 5 2 3" xfId="13059" xr:uid="{4AB68BDA-2564-4973-92F4-CF9C8D37800D}"/>
    <cellStyle name="40% - Accent2 3 5 2 4" xfId="21506" xr:uid="{10FC0A22-7831-4094-A304-F18E51BBD85A}"/>
    <cellStyle name="40% - Accent2 3 5 2 5" xfId="29953" xr:uid="{B47C510D-1CA5-40D0-B4BF-47CFA68D6483}"/>
    <cellStyle name="40% - Accent2 3 5 3" xfId="5805" xr:uid="{00000000-0005-0000-0000-0000D2040000}"/>
    <cellStyle name="40% - Accent2 3 5 3 2" xfId="15131" xr:uid="{D5EB3A8F-02B1-4169-BAB8-AC1CDEDE76D4}"/>
    <cellStyle name="40% - Accent2 3 5 3 3" xfId="23578" xr:uid="{14085DD5-AEB1-43B6-B024-50FF3D95C008}"/>
    <cellStyle name="40% - Accent2 3 5 3 4" xfId="32025" xr:uid="{A98129A6-5B82-44CF-85DB-8F4503F3CF58}"/>
    <cellStyle name="40% - Accent2 3 5 4" xfId="10914" xr:uid="{3CA9976E-BFDE-409B-A5AC-48D95A6450A7}"/>
    <cellStyle name="40% - Accent2 3 5 5" xfId="19361" xr:uid="{DCD0635A-C9A4-452A-B5D9-92548E94C287}"/>
    <cellStyle name="40% - Accent2 3 5 6" xfId="27808" xr:uid="{8294B79D-4071-4B67-A3BA-D71DA767D697}"/>
    <cellStyle name="40% - Accent2 3 6" xfId="1912" xr:uid="{00000000-0005-0000-0000-0000D3040000}"/>
    <cellStyle name="40% - Accent2 3 6 2" xfId="4141" xr:uid="{00000000-0005-0000-0000-0000D4040000}"/>
    <cellStyle name="40% - Accent2 3 6 2 2" xfId="8363" xr:uid="{00000000-0005-0000-0000-0000D5040000}"/>
    <cellStyle name="40% - Accent2 3 6 2 2 2" xfId="17689" xr:uid="{16810E4F-A508-4242-85BA-51DDF15681BF}"/>
    <cellStyle name="40% - Accent2 3 6 2 2 3" xfId="26136" xr:uid="{E73AA636-36C0-4098-90FA-8F761F9E3525}"/>
    <cellStyle name="40% - Accent2 3 6 2 2 4" xfId="34583" xr:uid="{A8953995-AE80-4183-8FE5-CE82EF4C1884}"/>
    <cellStyle name="40% - Accent2 3 6 2 3" xfId="13472" xr:uid="{78953C5A-9677-46C3-B8D7-73401AD5C222}"/>
    <cellStyle name="40% - Accent2 3 6 2 4" xfId="21919" xr:uid="{A6C1D54F-68DA-49B7-9338-45FD34E79B4C}"/>
    <cellStyle name="40% - Accent2 3 6 2 5" xfId="30366" xr:uid="{4108A081-90A7-4B88-A2A5-C17BDC432E74}"/>
    <cellStyle name="40% - Accent2 3 6 3" xfId="6218" xr:uid="{00000000-0005-0000-0000-0000D6040000}"/>
    <cellStyle name="40% - Accent2 3 6 3 2" xfId="15544" xr:uid="{77F02F45-D8DE-4C37-8A76-8955D820CD91}"/>
    <cellStyle name="40% - Accent2 3 6 3 3" xfId="23991" xr:uid="{3E7ADAD1-D25E-405F-982F-6A1C18AC5E9A}"/>
    <cellStyle name="40% - Accent2 3 6 3 4" xfId="32438" xr:uid="{5BC0D9BF-F516-4C81-A7DF-E6C30D1CC3AB}"/>
    <cellStyle name="40% - Accent2 3 6 4" xfId="11327" xr:uid="{AED5414A-2DA6-4DA6-B81B-ED7D54E440B3}"/>
    <cellStyle name="40% - Accent2 3 6 5" xfId="19774" xr:uid="{82A6B204-D103-4B32-BE6B-4A39935BBFC8}"/>
    <cellStyle name="40% - Accent2 3 6 6" xfId="28221" xr:uid="{812B3163-0A42-4448-BC7D-3D24C1325C97}"/>
    <cellStyle name="40% - Accent2 3 7" xfId="2325" xr:uid="{00000000-0005-0000-0000-0000D7040000}"/>
    <cellStyle name="40% - Accent2 3 7 2" xfId="6631" xr:uid="{00000000-0005-0000-0000-0000D8040000}"/>
    <cellStyle name="40% - Accent2 3 7 2 2" xfId="15957" xr:uid="{2BBCA7F8-525E-4ADB-9084-915B2C77123A}"/>
    <cellStyle name="40% - Accent2 3 7 2 3" xfId="24404" xr:uid="{4F2C1392-538D-4081-8683-9F2FA92937C9}"/>
    <cellStyle name="40% - Accent2 3 7 2 4" xfId="32851" xr:uid="{4856A611-ECF3-4D0F-B0C6-56F0B35E6DD5}"/>
    <cellStyle name="40% - Accent2 3 7 3" xfId="11740" xr:uid="{C1C74B27-FF33-4D42-AAD0-443F705B3C3B}"/>
    <cellStyle name="40% - Accent2 3 7 4" xfId="20187" xr:uid="{754A1548-773C-41CB-B38E-522CA2FD8D6B}"/>
    <cellStyle name="40% - Accent2 3 7 5" xfId="28634" xr:uid="{D6117956-9613-4CA2-B941-B6F5125ADCDF}"/>
    <cellStyle name="40% - Accent2 3 8" xfId="4565" xr:uid="{00000000-0005-0000-0000-0000D9040000}"/>
    <cellStyle name="40% - Accent2 3 8 2" xfId="13891" xr:uid="{64EF5271-BDC2-4B50-A9EA-A61D3D208639}"/>
    <cellStyle name="40% - Accent2 3 8 3" xfId="22338" xr:uid="{0D7F2F44-FD4E-401D-AADB-33186DE7C970}"/>
    <cellStyle name="40% - Accent2 3 8 4" xfId="30785" xr:uid="{5CB6F915-85F0-4F8A-B56F-FD8471F6EEEE}"/>
    <cellStyle name="40% - Accent2 3 9" xfId="8864" xr:uid="{311EF031-8CA9-4ACC-8705-6D408E1B50DB}"/>
    <cellStyle name="40% - Accent2 4" xfId="64" xr:uid="{00000000-0005-0000-0000-0000DA040000}"/>
    <cellStyle name="40% - Accent2 4 10" xfId="18123" xr:uid="{CDCAE6FA-7935-4FA1-A449-A674EF2B859D}"/>
    <cellStyle name="40% - Accent2 4 11" xfId="26570" xr:uid="{079F4823-BF08-4FFF-ACA6-D6157C6CD395}"/>
    <cellStyle name="40% - Accent2 4 2" xfId="633" xr:uid="{00000000-0005-0000-0000-0000DB040000}"/>
    <cellStyle name="40% - Accent2 4 2 2" xfId="2904" xr:uid="{00000000-0005-0000-0000-0000DC040000}"/>
    <cellStyle name="40% - Accent2 4 2 2 2" xfId="7126" xr:uid="{00000000-0005-0000-0000-0000DD040000}"/>
    <cellStyle name="40% - Accent2 4 2 2 2 2" xfId="16452" xr:uid="{116E53DB-733E-430F-B336-4DA0B1576945}"/>
    <cellStyle name="40% - Accent2 4 2 2 2 3" xfId="24899" xr:uid="{16D89FF9-15CB-4092-8AB5-62950D089316}"/>
    <cellStyle name="40% - Accent2 4 2 2 2 4" xfId="33346" xr:uid="{FC0631B4-F5C8-49FE-8F42-D1441E7DDD29}"/>
    <cellStyle name="40% - Accent2 4 2 2 3" xfId="12235" xr:uid="{27851628-99CE-483D-B0F9-4FD28C5FD3A5}"/>
    <cellStyle name="40% - Accent2 4 2 2 4" xfId="20682" xr:uid="{289A58E4-503F-4032-A16D-A5C1EFA18EAE}"/>
    <cellStyle name="40% - Accent2 4 2 2 5" xfId="29129" xr:uid="{DD12485A-83E9-467A-9D93-D14CAE628822}"/>
    <cellStyle name="40% - Accent2 4 2 3" xfId="4981" xr:uid="{00000000-0005-0000-0000-0000DE040000}"/>
    <cellStyle name="40% - Accent2 4 2 3 2" xfId="14307" xr:uid="{D84A8B70-A85B-4490-8500-6BDDCFBAEAD6}"/>
    <cellStyle name="40% - Accent2 4 2 3 3" xfId="22754" xr:uid="{010605CA-393A-4165-B81F-708D87A3225D}"/>
    <cellStyle name="40% - Accent2 4 2 3 4" xfId="31201" xr:uid="{279DAEC3-392E-4605-9D4A-056FEBC62BAC}"/>
    <cellStyle name="40% - Accent2 4 2 4" xfId="9375" xr:uid="{E0F8B4F7-419E-40A5-89E1-F3F0DF6ADFF8}"/>
    <cellStyle name="40% - Accent2 4 2 5" xfId="10090" xr:uid="{55D7A1A0-4606-4401-B8C6-5F2E0B385628}"/>
    <cellStyle name="40% - Accent2 4 2 6" xfId="18537" xr:uid="{B883F7A1-6207-4BD6-B36D-9A95D71FE0E9}"/>
    <cellStyle name="40% - Accent2 4 2 7" xfId="26984" xr:uid="{EA94D813-A736-4729-9B42-13851D0C8F59}"/>
    <cellStyle name="40% - Accent2 4 3" xfId="1086" xr:uid="{00000000-0005-0000-0000-0000DF040000}"/>
    <cellStyle name="40% - Accent2 4 3 2" xfId="3317" xr:uid="{00000000-0005-0000-0000-0000E0040000}"/>
    <cellStyle name="40% - Accent2 4 3 2 2" xfId="7539" xr:uid="{00000000-0005-0000-0000-0000E1040000}"/>
    <cellStyle name="40% - Accent2 4 3 2 2 2" xfId="16865" xr:uid="{EA06A003-027F-4339-9A84-00DD006FB4F7}"/>
    <cellStyle name="40% - Accent2 4 3 2 2 3" xfId="25312" xr:uid="{5FC589DC-5BF3-4FDC-BB7F-3CBCC2F05539}"/>
    <cellStyle name="40% - Accent2 4 3 2 2 4" xfId="33759" xr:uid="{37BB0610-3686-4B9F-8A5F-2E7FA585C44B}"/>
    <cellStyle name="40% - Accent2 4 3 2 3" xfId="12648" xr:uid="{97D8480E-C79E-45BD-8537-295C76B3AD57}"/>
    <cellStyle name="40% - Accent2 4 3 2 4" xfId="21095" xr:uid="{E539C5F4-8F39-422D-BE89-5D7F8F9E6B96}"/>
    <cellStyle name="40% - Accent2 4 3 2 5" xfId="29542" xr:uid="{588D357B-CB80-4928-B3E2-5D8BEE591367}"/>
    <cellStyle name="40% - Accent2 4 3 3" xfId="5394" xr:uid="{00000000-0005-0000-0000-0000E2040000}"/>
    <cellStyle name="40% - Accent2 4 3 3 2" xfId="14720" xr:uid="{C38D60D5-7C38-4250-84E0-E5F78E22134E}"/>
    <cellStyle name="40% - Accent2 4 3 3 3" xfId="23167" xr:uid="{4BF6CC45-3A30-446A-AC9D-D1F0CB1B3180}"/>
    <cellStyle name="40% - Accent2 4 3 3 4" xfId="31614" xr:uid="{4F4E713C-F734-4E58-ADF7-12B34D1A58DC}"/>
    <cellStyle name="40% - Accent2 4 3 4" xfId="10503" xr:uid="{665947B1-5A09-49D6-9180-CBA60AA71FE1}"/>
    <cellStyle name="40% - Accent2 4 3 5" xfId="18950" xr:uid="{DABC2EA1-1ACA-4A92-8760-D11284AC0DED}"/>
    <cellStyle name="40% - Accent2 4 3 6" xfId="27397" xr:uid="{E101D5A7-3EE9-423F-BBF8-F1F175F7701A}"/>
    <cellStyle name="40% - Accent2 4 4" xfId="1500" xr:uid="{00000000-0005-0000-0000-0000E3040000}"/>
    <cellStyle name="40% - Accent2 4 4 2" xfId="3730" xr:uid="{00000000-0005-0000-0000-0000E4040000}"/>
    <cellStyle name="40% - Accent2 4 4 2 2" xfId="7952" xr:uid="{00000000-0005-0000-0000-0000E5040000}"/>
    <cellStyle name="40% - Accent2 4 4 2 2 2" xfId="17278" xr:uid="{4C056566-19A8-4E50-8A04-FBDFFE38E1E7}"/>
    <cellStyle name="40% - Accent2 4 4 2 2 3" xfId="25725" xr:uid="{5FEC5EF9-ED81-46C4-B997-DAE0980F5FEA}"/>
    <cellStyle name="40% - Accent2 4 4 2 2 4" xfId="34172" xr:uid="{0AAEED8E-132A-4CAD-B4B4-C0BBE57DB6E5}"/>
    <cellStyle name="40% - Accent2 4 4 2 3" xfId="13061" xr:uid="{D026FAB5-4A6D-4C25-9FA4-57FF01AF3BBE}"/>
    <cellStyle name="40% - Accent2 4 4 2 4" xfId="21508" xr:uid="{596506BC-1DDE-4C1F-BA47-B3572BC19233}"/>
    <cellStyle name="40% - Accent2 4 4 2 5" xfId="29955" xr:uid="{7E21589C-049E-40C5-B6AD-C47AE5B1C3E2}"/>
    <cellStyle name="40% - Accent2 4 4 3" xfId="5807" xr:uid="{00000000-0005-0000-0000-0000E6040000}"/>
    <cellStyle name="40% - Accent2 4 4 3 2" xfId="15133" xr:uid="{9AA2E9B6-878C-478E-86B5-636C9389FD1A}"/>
    <cellStyle name="40% - Accent2 4 4 3 3" xfId="23580" xr:uid="{1CA6C37B-6935-4033-AA65-C2673369845A}"/>
    <cellStyle name="40% - Accent2 4 4 3 4" xfId="32027" xr:uid="{6387DF23-0324-4D55-81B4-BF4A71F6A6A6}"/>
    <cellStyle name="40% - Accent2 4 4 4" xfId="10916" xr:uid="{98CF0924-DB8C-4D1C-911F-3C5A25B4D369}"/>
    <cellStyle name="40% - Accent2 4 4 5" xfId="19363" xr:uid="{2D849DCA-F4E1-4D0D-8EB4-3A60B65EA3A8}"/>
    <cellStyle name="40% - Accent2 4 4 6" xfId="27810" xr:uid="{D8668B1F-272C-4FA8-B1DB-89126586C5AE}"/>
    <cellStyle name="40% - Accent2 4 5" xfId="1914" xr:uid="{00000000-0005-0000-0000-0000E7040000}"/>
    <cellStyle name="40% - Accent2 4 5 2" xfId="4143" xr:uid="{00000000-0005-0000-0000-0000E8040000}"/>
    <cellStyle name="40% - Accent2 4 5 2 2" xfId="8365" xr:uid="{00000000-0005-0000-0000-0000E9040000}"/>
    <cellStyle name="40% - Accent2 4 5 2 2 2" xfId="17691" xr:uid="{A4F1205A-1005-4E35-A6FC-76C2482A5A11}"/>
    <cellStyle name="40% - Accent2 4 5 2 2 3" xfId="26138" xr:uid="{86132549-83A0-4624-99C1-FB660847182D}"/>
    <cellStyle name="40% - Accent2 4 5 2 2 4" xfId="34585" xr:uid="{97B22E03-ECFE-43E5-90B4-75B47A1CC4D3}"/>
    <cellStyle name="40% - Accent2 4 5 2 3" xfId="13474" xr:uid="{CEAC78D8-7EDB-4D0C-8D86-8E8A4B415EFE}"/>
    <cellStyle name="40% - Accent2 4 5 2 4" xfId="21921" xr:uid="{73D63A2B-A575-466B-B85D-2512EFFE776D}"/>
    <cellStyle name="40% - Accent2 4 5 2 5" xfId="30368" xr:uid="{BD6AC6D6-6E87-4EC1-94F8-D2B85618124E}"/>
    <cellStyle name="40% - Accent2 4 5 3" xfId="6220" xr:uid="{00000000-0005-0000-0000-0000EA040000}"/>
    <cellStyle name="40% - Accent2 4 5 3 2" xfId="15546" xr:uid="{924E776A-D9F1-439D-B098-F1A0E5939EB4}"/>
    <cellStyle name="40% - Accent2 4 5 3 3" xfId="23993" xr:uid="{BFE314FE-043D-445A-8620-A4A18CCAFD08}"/>
    <cellStyle name="40% - Accent2 4 5 3 4" xfId="32440" xr:uid="{952D9A9F-58E2-4D11-AF30-24629DC0578F}"/>
    <cellStyle name="40% - Accent2 4 5 4" xfId="11329" xr:uid="{C1C8AD30-1685-4EB3-9E92-72DA40C5BDD7}"/>
    <cellStyle name="40% - Accent2 4 5 5" xfId="19776" xr:uid="{F00FC5D3-4E6A-4F89-8EF9-19BFEC9EBCC7}"/>
    <cellStyle name="40% - Accent2 4 5 6" xfId="28223" xr:uid="{D2D876FD-1047-481C-AADE-E1C69FEB9CED}"/>
    <cellStyle name="40% - Accent2 4 6" xfId="2327" xr:uid="{00000000-0005-0000-0000-0000EB040000}"/>
    <cellStyle name="40% - Accent2 4 6 2" xfId="6633" xr:uid="{00000000-0005-0000-0000-0000EC040000}"/>
    <cellStyle name="40% - Accent2 4 6 2 2" xfId="15959" xr:uid="{E49CE0D6-1914-4AE1-A494-706D90E57DE9}"/>
    <cellStyle name="40% - Accent2 4 6 2 3" xfId="24406" xr:uid="{42212B58-41DA-4878-B2BA-0377E150C2E1}"/>
    <cellStyle name="40% - Accent2 4 6 2 4" xfId="32853" xr:uid="{EADDB52F-37AF-42ED-ABE6-D1BB2A924A70}"/>
    <cellStyle name="40% - Accent2 4 6 3" xfId="11742" xr:uid="{D6D42608-12E9-4737-8157-19DC4507298A}"/>
    <cellStyle name="40% - Accent2 4 6 4" xfId="20189" xr:uid="{ACD81384-20AE-49BF-B278-48B77F5470EA}"/>
    <cellStyle name="40% - Accent2 4 6 5" xfId="28636" xr:uid="{01CEAC4E-DBAE-47F3-977C-2C4498856EEC}"/>
    <cellStyle name="40% - Accent2 4 7" xfId="4567" xr:uid="{00000000-0005-0000-0000-0000ED040000}"/>
    <cellStyle name="40% - Accent2 4 7 2" xfId="13893" xr:uid="{C6ED75C5-5C0E-4A7A-8066-D9726B28DF6B}"/>
    <cellStyle name="40% - Accent2 4 7 3" xfId="22340" xr:uid="{CDF7368D-837E-464E-9C84-892529DBA582}"/>
    <cellStyle name="40% - Accent2 4 7 4" xfId="30787" xr:uid="{415481E4-31E5-4721-9CE4-4A1CA3E821D4}"/>
    <cellStyle name="40% - Accent2 4 8" xfId="8950" xr:uid="{02FCA414-0598-4779-8636-7B176A3552C0}"/>
    <cellStyle name="40% - Accent2 4 9" xfId="9676" xr:uid="{BD798213-8E5A-46B9-B884-75D5917B8D4B}"/>
    <cellStyle name="40% - Accent2 5" xfId="626" xr:uid="{00000000-0005-0000-0000-0000EE040000}"/>
    <cellStyle name="40% - Accent2 5 2" xfId="2897" xr:uid="{00000000-0005-0000-0000-0000EF040000}"/>
    <cellStyle name="40% - Accent2 5 2 2" xfId="7119" xr:uid="{00000000-0005-0000-0000-0000F0040000}"/>
    <cellStyle name="40% - Accent2 5 2 2 2" xfId="16445" xr:uid="{21AB59F2-5204-4D67-9100-2136724DF292}"/>
    <cellStyle name="40% - Accent2 5 2 2 3" xfId="24892" xr:uid="{846D75EF-E706-4234-8BAF-79A94C5F349D}"/>
    <cellStyle name="40% - Accent2 5 2 2 4" xfId="33339" xr:uid="{8BEBFC59-2826-434F-A790-F3EA450AA2F7}"/>
    <cellStyle name="40% - Accent2 5 2 3" xfId="12228" xr:uid="{793F990D-C209-43D4-8E7C-751226E2C6D0}"/>
    <cellStyle name="40% - Accent2 5 2 4" xfId="20675" xr:uid="{21592640-A051-47C5-852B-5E21813870E7}"/>
    <cellStyle name="40% - Accent2 5 2 5" xfId="29122" xr:uid="{536EC0B6-B812-440F-9878-0370EC2A8282}"/>
    <cellStyle name="40% - Accent2 5 3" xfId="4974" xr:uid="{00000000-0005-0000-0000-0000F1040000}"/>
    <cellStyle name="40% - Accent2 5 3 2" xfId="14300" xr:uid="{0816E20A-4450-440E-9E3B-6F39D75200BE}"/>
    <cellStyle name="40% - Accent2 5 3 3" xfId="22747" xr:uid="{C33D1E77-5FA8-4C89-ABDD-162F7BC851F2}"/>
    <cellStyle name="40% - Accent2 5 3 4" xfId="31194" xr:uid="{1F306A6C-34EF-48C5-9060-159145EBAB01}"/>
    <cellStyle name="40% - Accent2 5 4" xfId="9183" xr:uid="{071EDB8E-9FD1-4063-BCEF-70B734E5ECF1}"/>
    <cellStyle name="40% - Accent2 5 5" xfId="10083" xr:uid="{08105A88-404A-4402-BA07-DFB6D0A1210D}"/>
    <cellStyle name="40% - Accent2 5 6" xfId="18530" xr:uid="{236E5B0E-2C89-4AD6-A23C-19A55F462B0D}"/>
    <cellStyle name="40% - Accent2 5 7" xfId="26977" xr:uid="{E247C241-0390-4717-9F59-05A0F081C17A}"/>
    <cellStyle name="40% - Accent2 6" xfId="1079" xr:uid="{00000000-0005-0000-0000-0000F2040000}"/>
    <cellStyle name="40% - Accent2 6 2" xfId="3310" xr:uid="{00000000-0005-0000-0000-0000F3040000}"/>
    <cellStyle name="40% - Accent2 6 2 2" xfId="7532" xr:uid="{00000000-0005-0000-0000-0000F4040000}"/>
    <cellStyle name="40% - Accent2 6 2 2 2" xfId="16858" xr:uid="{C8C73B89-899D-4B6A-9AD3-2AE5C24BAE87}"/>
    <cellStyle name="40% - Accent2 6 2 2 3" xfId="25305" xr:uid="{EBDBAD02-114C-4B0B-AC3A-44B298BC8E14}"/>
    <cellStyle name="40% - Accent2 6 2 2 4" xfId="33752" xr:uid="{1E31DC56-D483-4623-BBAB-FFB11E9254EE}"/>
    <cellStyle name="40% - Accent2 6 2 3" xfId="12641" xr:uid="{92C34549-939C-4E23-96C9-3FE7B698F5DF}"/>
    <cellStyle name="40% - Accent2 6 2 4" xfId="21088" xr:uid="{499F0EDA-43F6-4ECB-BACD-0BF1AF3B95FF}"/>
    <cellStyle name="40% - Accent2 6 2 5" xfId="29535" xr:uid="{19FC73BC-E7D3-40D0-9FFC-F580DFA2ECFC}"/>
    <cellStyle name="40% - Accent2 6 3" xfId="5387" xr:uid="{00000000-0005-0000-0000-0000F5040000}"/>
    <cellStyle name="40% - Accent2 6 3 2" xfId="14713" xr:uid="{ABAFDD23-3403-47E2-B9FC-634F0B240188}"/>
    <cellStyle name="40% - Accent2 6 3 3" xfId="23160" xr:uid="{CCDD528F-10CA-4B6D-8AFB-E9FB6530F56B}"/>
    <cellStyle name="40% - Accent2 6 3 4" xfId="31607" xr:uid="{23F710AE-ABEA-471C-9DB2-A5EF19C8458B}"/>
    <cellStyle name="40% - Accent2 6 4" xfId="10496" xr:uid="{C538B660-43BA-4E62-B665-E9B26931DFF0}"/>
    <cellStyle name="40% - Accent2 6 5" xfId="18943" xr:uid="{379577A1-DFF4-45FD-B54C-68AC23890DB4}"/>
    <cellStyle name="40% - Accent2 6 6" xfId="27390" xr:uid="{5AB2803C-0A0B-483B-A868-2BFAA777AE71}"/>
    <cellStyle name="40% - Accent2 7" xfId="1493" xr:uid="{00000000-0005-0000-0000-0000F6040000}"/>
    <cellStyle name="40% - Accent2 7 2" xfId="3723" xr:uid="{00000000-0005-0000-0000-0000F7040000}"/>
    <cellStyle name="40% - Accent2 7 2 2" xfId="7945" xr:uid="{00000000-0005-0000-0000-0000F8040000}"/>
    <cellStyle name="40% - Accent2 7 2 2 2" xfId="17271" xr:uid="{A7C2BAA4-D878-4E19-9EC8-A1ED9A0937A3}"/>
    <cellStyle name="40% - Accent2 7 2 2 3" xfId="25718" xr:uid="{610FC5B3-B83A-4AD7-BE11-76F43E4E4A6D}"/>
    <cellStyle name="40% - Accent2 7 2 2 4" xfId="34165" xr:uid="{37F4E11F-F5A5-4EB6-9192-E9E40D2B8CB8}"/>
    <cellStyle name="40% - Accent2 7 2 3" xfId="13054" xr:uid="{11857387-64A3-46BD-B893-5AD7B25C1A1C}"/>
    <cellStyle name="40% - Accent2 7 2 4" xfId="21501" xr:uid="{86C7FFE9-95F3-4FD3-AF6D-D9EBFED1ABA5}"/>
    <cellStyle name="40% - Accent2 7 2 5" xfId="29948" xr:uid="{347E26E2-BBEE-4EC6-86C7-5EA0F69FC4AA}"/>
    <cellStyle name="40% - Accent2 7 3" xfId="5800" xr:uid="{00000000-0005-0000-0000-0000F9040000}"/>
    <cellStyle name="40% - Accent2 7 3 2" xfId="15126" xr:uid="{583D2656-3AD8-4989-AF77-A40AD255EBFE}"/>
    <cellStyle name="40% - Accent2 7 3 3" xfId="23573" xr:uid="{A8DF75E3-CFFD-4BDD-A965-FCFF0A4378E0}"/>
    <cellStyle name="40% - Accent2 7 3 4" xfId="32020" xr:uid="{4405F307-1FA6-4AC8-AC44-AEF63A0329E7}"/>
    <cellStyle name="40% - Accent2 7 4" xfId="10909" xr:uid="{61D30C64-2FCC-4738-924E-414B7ED7E048}"/>
    <cellStyle name="40% - Accent2 7 5" xfId="19356" xr:uid="{0B485343-0EAC-4C1B-8001-2CB7D8493547}"/>
    <cellStyle name="40% - Accent2 7 6" xfId="27803" xr:uid="{CBB364E9-098E-4F99-9A1B-6076BFD1B056}"/>
    <cellStyle name="40% - Accent2 8" xfId="1907" xr:uid="{00000000-0005-0000-0000-0000FA040000}"/>
    <cellStyle name="40% - Accent2 8 2" xfId="4136" xr:uid="{00000000-0005-0000-0000-0000FB040000}"/>
    <cellStyle name="40% - Accent2 8 2 2" xfId="8358" xr:uid="{00000000-0005-0000-0000-0000FC040000}"/>
    <cellStyle name="40% - Accent2 8 2 2 2" xfId="17684" xr:uid="{484C90EE-6C01-4416-B1DC-2DA35DAA9A44}"/>
    <cellStyle name="40% - Accent2 8 2 2 3" xfId="26131" xr:uid="{36FD6B99-BDF6-4C2F-8213-2DEB44A3A699}"/>
    <cellStyle name="40% - Accent2 8 2 2 4" xfId="34578" xr:uid="{9E4E9FB9-161E-4B90-BCE0-F86DAD8D561E}"/>
    <cellStyle name="40% - Accent2 8 2 3" xfId="13467" xr:uid="{E4B20F18-E4EF-4F1C-9A3E-7090C5A67331}"/>
    <cellStyle name="40% - Accent2 8 2 4" xfId="21914" xr:uid="{A14A2E27-8D78-47F2-9ED9-83A72EF9563B}"/>
    <cellStyle name="40% - Accent2 8 2 5" xfId="30361" xr:uid="{0624B148-CE87-4F6C-93C9-A161BB7A1B60}"/>
    <cellStyle name="40% - Accent2 8 3" xfId="6213" xr:uid="{00000000-0005-0000-0000-0000FD040000}"/>
    <cellStyle name="40% - Accent2 8 3 2" xfId="15539" xr:uid="{085BEBBE-DBCE-4473-82EF-10A300A6566D}"/>
    <cellStyle name="40% - Accent2 8 3 3" xfId="23986" xr:uid="{2FE693FB-A653-462B-B752-CF5BD29AB5DB}"/>
    <cellStyle name="40% - Accent2 8 3 4" xfId="32433" xr:uid="{D0C0049C-C99E-4CA1-94DB-28ACBA4BC6B3}"/>
    <cellStyle name="40% - Accent2 8 4" xfId="11322" xr:uid="{E405F395-83E9-4DC9-B7D1-59921B95974C}"/>
    <cellStyle name="40% - Accent2 8 5" xfId="19769" xr:uid="{B384276F-BA2F-4309-B7D5-10B21F7043D1}"/>
    <cellStyle name="40% - Accent2 8 6" xfId="28216" xr:uid="{792BA8B4-6367-4F3B-8C68-84B53EC16893}"/>
    <cellStyle name="40% - Accent2 9" xfId="2320" xr:uid="{00000000-0005-0000-0000-0000FE040000}"/>
    <cellStyle name="40% - Accent2 9 2" xfId="6626" xr:uid="{00000000-0005-0000-0000-0000FF040000}"/>
    <cellStyle name="40% - Accent2 9 2 2" xfId="15952" xr:uid="{F7FFAE2D-126D-4B79-80CB-C1193D0B9845}"/>
    <cellStyle name="40% - Accent2 9 2 3" xfId="24399" xr:uid="{66AD1B93-A3D7-4F21-8B7A-FA09C42F95F6}"/>
    <cellStyle name="40% - Accent2 9 2 4" xfId="32846" xr:uid="{A622BF44-27AD-4D3D-B407-63F6EEDDADAE}"/>
    <cellStyle name="40% - Accent2 9 3" xfId="11735" xr:uid="{833EACE5-4EC1-4A12-B500-CDE47D380417}"/>
    <cellStyle name="40% - Accent2 9 4" xfId="20182" xr:uid="{012DD559-8EC0-463A-8DAB-59BDC180C7C0}"/>
    <cellStyle name="40% - Accent2 9 5" xfId="28629" xr:uid="{AE3708FB-AC23-4EEF-BB85-6509A5C30B98}"/>
    <cellStyle name="40% - Accent3" xfId="65" builtinId="39" customBuiltin="1"/>
    <cellStyle name="40% - Accent3 10" xfId="4568" xr:uid="{00000000-0005-0000-0000-000001050000}"/>
    <cellStyle name="40% - Accent3 10 2" xfId="13894" xr:uid="{B8C29306-66EA-4D0C-92ED-B7AF1BE1B763}"/>
    <cellStyle name="40% - Accent3 10 3" xfId="22341" xr:uid="{58D52F3A-1E1F-480E-BCEC-895A963802F7}"/>
    <cellStyle name="40% - Accent3 10 4" xfId="30788" xr:uid="{1624947C-A7FD-4043-A6CB-F64E1110D9E7}"/>
    <cellStyle name="40% - Accent3 11" xfId="8763" xr:uid="{CEFBFA85-5B68-4AEB-BF0D-8E604938B05F}"/>
    <cellStyle name="40% - Accent3 12" xfId="9677" xr:uid="{A9FDE014-9F66-4361-8F00-38B785715DE6}"/>
    <cellStyle name="40% - Accent3 13" xfId="18124" xr:uid="{9275A41C-807C-44FA-9B86-36E95BB59543}"/>
    <cellStyle name="40% - Accent3 14" xfId="26571" xr:uid="{29783DDE-C36A-4956-914A-9A61F3B2BAD3}"/>
    <cellStyle name="40% - Accent3 2" xfId="66" xr:uid="{00000000-0005-0000-0000-000002050000}"/>
    <cellStyle name="40% - Accent3 2 10" xfId="8800" xr:uid="{00FF2AAD-7D96-45B5-8981-0BB923A3505B}"/>
    <cellStyle name="40% - Accent3 2 11" xfId="9678" xr:uid="{EB1ACE9F-1D3D-4BE5-A777-D98164BBE616}"/>
    <cellStyle name="40% - Accent3 2 12" xfId="18125" xr:uid="{BFB7CB60-A3FE-4A3A-98B6-1F44D9EF2E71}"/>
    <cellStyle name="40% - Accent3 2 13" xfId="26572" xr:uid="{85DEED9D-91F0-419F-A65B-8E1ACFBA5454}"/>
    <cellStyle name="40% - Accent3 2 2" xfId="67" xr:uid="{00000000-0005-0000-0000-000003050000}"/>
    <cellStyle name="40% - Accent3 2 2 10" xfId="9679" xr:uid="{6AFC4DBF-4A39-481D-884D-82A52A045F35}"/>
    <cellStyle name="40% - Accent3 2 2 11" xfId="18126" xr:uid="{E1DBCF2C-A240-4A77-958B-35FABD8BE861}"/>
    <cellStyle name="40% - Accent3 2 2 12" xfId="26573" xr:uid="{A15223F9-75F5-4502-A577-EAE368A5AD40}"/>
    <cellStyle name="40% - Accent3 2 2 2" xfId="68" xr:uid="{00000000-0005-0000-0000-000004050000}"/>
    <cellStyle name="40% - Accent3 2 2 2 10" xfId="18127" xr:uid="{9C849820-1ED2-4871-BFE4-988C3678E13C}"/>
    <cellStyle name="40% - Accent3 2 2 2 11" xfId="26574" xr:uid="{0334AD54-1584-4A2F-8CA0-3CA4B7F787D8}"/>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16456" xr:uid="{6F5D43E2-281D-423B-8897-F7A73245EA15}"/>
    <cellStyle name="40% - Accent3 2 2 2 2 2 2 3" xfId="24903" xr:uid="{C4E9ADF3-2BFB-4A9F-8D53-6538A361D20B}"/>
    <cellStyle name="40% - Accent3 2 2 2 2 2 2 4" xfId="33350" xr:uid="{610EA045-D621-4FB9-A413-E9209D008988}"/>
    <cellStyle name="40% - Accent3 2 2 2 2 2 3" xfId="12239" xr:uid="{EF1854A3-B570-462E-AFE1-1D69A693B0CB}"/>
    <cellStyle name="40% - Accent3 2 2 2 2 2 4" xfId="20686" xr:uid="{08D16DD9-56DE-4693-B3D7-9A46031E0FEF}"/>
    <cellStyle name="40% - Accent3 2 2 2 2 2 5" xfId="29133" xr:uid="{B0DB3ABD-A48C-4CED-996A-DE5BCF057783}"/>
    <cellStyle name="40% - Accent3 2 2 2 2 3" xfId="4985" xr:uid="{00000000-0005-0000-0000-000008050000}"/>
    <cellStyle name="40% - Accent3 2 2 2 2 3 2" xfId="14311" xr:uid="{474A0156-BB75-4B7F-ABFB-3FC26759F7ED}"/>
    <cellStyle name="40% - Accent3 2 2 2 2 3 3" xfId="22758" xr:uid="{C1DB0006-109B-4F86-B442-112E12DD8EB2}"/>
    <cellStyle name="40% - Accent3 2 2 2 2 3 4" xfId="31205" xr:uid="{C1828671-FB71-4820-87E4-44D33802CCC4}"/>
    <cellStyle name="40% - Accent3 2 2 2 2 4" xfId="9535" xr:uid="{3AC66435-D4C7-42EF-A799-3DC81A57BDF4}"/>
    <cellStyle name="40% - Accent3 2 2 2 2 5" xfId="10094" xr:uid="{787E6427-580E-49E4-BBD0-67A789F74CE9}"/>
    <cellStyle name="40% - Accent3 2 2 2 2 6" xfId="18541" xr:uid="{C652C0A7-132B-4C16-B80E-A0BB69D80E10}"/>
    <cellStyle name="40% - Accent3 2 2 2 2 7" xfId="26988" xr:uid="{8425C98B-500B-4AE4-8599-DC7B0B78755C}"/>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16869" xr:uid="{079A7FBC-F781-44BE-922A-777E0676DDA0}"/>
    <cellStyle name="40% - Accent3 2 2 2 3 2 2 3" xfId="25316" xr:uid="{6E1CEAD1-2614-4806-A48E-6B5C58FE6D5C}"/>
    <cellStyle name="40% - Accent3 2 2 2 3 2 2 4" xfId="33763" xr:uid="{94063599-1041-486E-9319-FD9954583005}"/>
    <cellStyle name="40% - Accent3 2 2 2 3 2 3" xfId="12652" xr:uid="{8C5116E2-81E4-4FB8-BC1F-8A3CC3B6EF0E}"/>
    <cellStyle name="40% - Accent3 2 2 2 3 2 4" xfId="21099" xr:uid="{AE42E3EB-EA6A-4B8F-ABD4-163082E4694A}"/>
    <cellStyle name="40% - Accent3 2 2 2 3 2 5" xfId="29546" xr:uid="{D859820A-B91D-401D-A7A8-4DFA0AD2D7EA}"/>
    <cellStyle name="40% - Accent3 2 2 2 3 3" xfId="5398" xr:uid="{00000000-0005-0000-0000-00000C050000}"/>
    <cellStyle name="40% - Accent3 2 2 2 3 3 2" xfId="14724" xr:uid="{9B08EC4A-5C35-4F1A-9A52-4F5A39836EE5}"/>
    <cellStyle name="40% - Accent3 2 2 2 3 3 3" xfId="23171" xr:uid="{8CAB6043-9047-4503-A95C-EE51F64A4561}"/>
    <cellStyle name="40% - Accent3 2 2 2 3 3 4" xfId="31618" xr:uid="{0E25F036-7E65-46A2-8D66-3148CB2F703E}"/>
    <cellStyle name="40% - Accent3 2 2 2 3 4" xfId="10507" xr:uid="{2EE3A4BE-5932-4E9C-9EBA-EF69B81A87E1}"/>
    <cellStyle name="40% - Accent3 2 2 2 3 5" xfId="18954" xr:uid="{AC857E86-7A8B-4EB4-BF53-CADD7037FB25}"/>
    <cellStyle name="40% - Accent3 2 2 2 3 6" xfId="27401" xr:uid="{8B26254D-EA71-4FD1-BE5C-9324AF44F0C3}"/>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17282" xr:uid="{F2B4DBC1-3D45-4D29-A8E8-0177472C779A}"/>
    <cellStyle name="40% - Accent3 2 2 2 4 2 2 3" xfId="25729" xr:uid="{377E73A7-911A-45CD-BA6C-3FE8A7FA4D8E}"/>
    <cellStyle name="40% - Accent3 2 2 2 4 2 2 4" xfId="34176" xr:uid="{16A2BCB1-31ED-42AE-A12E-F0BC44AF40A6}"/>
    <cellStyle name="40% - Accent3 2 2 2 4 2 3" xfId="13065" xr:uid="{3F4800BA-5E1C-40E8-AF1B-96AB84065ABA}"/>
    <cellStyle name="40% - Accent3 2 2 2 4 2 4" xfId="21512" xr:uid="{9BA307EF-924A-4E80-9420-AD935E562CD7}"/>
    <cellStyle name="40% - Accent3 2 2 2 4 2 5" xfId="29959" xr:uid="{DF816047-D802-4833-949B-6D6152AB0CCA}"/>
    <cellStyle name="40% - Accent3 2 2 2 4 3" xfId="5811" xr:uid="{00000000-0005-0000-0000-000010050000}"/>
    <cellStyle name="40% - Accent3 2 2 2 4 3 2" xfId="15137" xr:uid="{A44214A5-6838-4980-AD2D-A2C4B0734EEE}"/>
    <cellStyle name="40% - Accent3 2 2 2 4 3 3" xfId="23584" xr:uid="{11A07E7B-4476-4114-89C7-CE11A2DEFD85}"/>
    <cellStyle name="40% - Accent3 2 2 2 4 3 4" xfId="32031" xr:uid="{D0342764-3FCC-460D-814B-EFC32107F9CA}"/>
    <cellStyle name="40% - Accent3 2 2 2 4 4" xfId="10920" xr:uid="{7AD0D8CC-5E30-4B7D-A8D7-426DDDDA70F3}"/>
    <cellStyle name="40% - Accent3 2 2 2 4 5" xfId="19367" xr:uid="{8FE50C76-13D9-475D-A0BC-37E703080424}"/>
    <cellStyle name="40% - Accent3 2 2 2 4 6" xfId="27814" xr:uid="{EDA4D652-D99F-4496-898A-75DC239787DE}"/>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17695" xr:uid="{C39BE417-41F0-4524-8AD4-B4A92083F369}"/>
    <cellStyle name="40% - Accent3 2 2 2 5 2 2 3" xfId="26142" xr:uid="{23669ADD-0940-4EF5-9ECB-54096C3E22F8}"/>
    <cellStyle name="40% - Accent3 2 2 2 5 2 2 4" xfId="34589" xr:uid="{E62C8653-8394-430F-815F-5831615C9169}"/>
    <cellStyle name="40% - Accent3 2 2 2 5 2 3" xfId="13478" xr:uid="{ADA2D69C-42DE-4E7C-8D2C-4EA5A0A77658}"/>
    <cellStyle name="40% - Accent3 2 2 2 5 2 4" xfId="21925" xr:uid="{6FE4CEF3-2FA9-43CA-888B-B12D7382FC64}"/>
    <cellStyle name="40% - Accent3 2 2 2 5 2 5" xfId="30372" xr:uid="{BEEC7073-451F-455C-91CC-D99CFC1D38B3}"/>
    <cellStyle name="40% - Accent3 2 2 2 5 3" xfId="6224" xr:uid="{00000000-0005-0000-0000-000014050000}"/>
    <cellStyle name="40% - Accent3 2 2 2 5 3 2" xfId="15550" xr:uid="{5AE0AFC2-2A23-4BA6-9991-C065088417A3}"/>
    <cellStyle name="40% - Accent3 2 2 2 5 3 3" xfId="23997" xr:uid="{68413CF9-1046-404C-939D-A5BCAEF3F3D4}"/>
    <cellStyle name="40% - Accent3 2 2 2 5 3 4" xfId="32444" xr:uid="{7C0D3E03-B3BA-4CCF-BABC-6672E624F26E}"/>
    <cellStyle name="40% - Accent3 2 2 2 5 4" xfId="11333" xr:uid="{4CFDFA54-4276-419C-9252-7ED5A3255ECC}"/>
    <cellStyle name="40% - Accent3 2 2 2 5 5" xfId="19780" xr:uid="{27CA67D9-F92F-4117-B589-0ABB7B9DD8DC}"/>
    <cellStyle name="40% - Accent3 2 2 2 5 6" xfId="28227" xr:uid="{DB4677CE-CA61-4E8B-855B-4B02E69FD6C1}"/>
    <cellStyle name="40% - Accent3 2 2 2 6" xfId="2331" xr:uid="{00000000-0005-0000-0000-000015050000}"/>
    <cellStyle name="40% - Accent3 2 2 2 6 2" xfId="6637" xr:uid="{00000000-0005-0000-0000-000016050000}"/>
    <cellStyle name="40% - Accent3 2 2 2 6 2 2" xfId="15963" xr:uid="{98C9EDDB-2521-4180-BB24-9CE16D5503E5}"/>
    <cellStyle name="40% - Accent3 2 2 2 6 2 3" xfId="24410" xr:uid="{F42033D7-09DE-4098-AB8C-A177201A4A39}"/>
    <cellStyle name="40% - Accent3 2 2 2 6 2 4" xfId="32857" xr:uid="{338771BE-1BBD-4753-A7FA-AE08D5D96717}"/>
    <cellStyle name="40% - Accent3 2 2 2 6 3" xfId="11746" xr:uid="{B2DB108C-FD77-4EFA-9897-6F7EE911800E}"/>
    <cellStyle name="40% - Accent3 2 2 2 6 4" xfId="20193" xr:uid="{D33BFCF2-3424-4113-96D0-433713884689}"/>
    <cellStyle name="40% - Accent3 2 2 2 6 5" xfId="28640" xr:uid="{95D93430-7C68-4D77-9005-55F0A50CFD3C}"/>
    <cellStyle name="40% - Accent3 2 2 2 7" xfId="4571" xr:uid="{00000000-0005-0000-0000-000017050000}"/>
    <cellStyle name="40% - Accent3 2 2 2 7 2" xfId="13897" xr:uid="{129C1184-D569-4939-BFC1-64E313942037}"/>
    <cellStyle name="40% - Accent3 2 2 2 7 3" xfId="22344" xr:uid="{0D4B612E-9971-4FB7-9E32-56208373B21E}"/>
    <cellStyle name="40% - Accent3 2 2 2 7 4" xfId="30791" xr:uid="{CDB2545B-8B07-4D42-AD39-988F1673CBCC}"/>
    <cellStyle name="40% - Accent3 2 2 2 8" xfId="9110" xr:uid="{E41CBEF9-86F8-44B9-895F-532A7BDC9A2A}"/>
    <cellStyle name="40% - Accent3 2 2 2 9" xfId="9680" xr:uid="{C1FF61C1-EEFF-4AB1-96CC-082766B60FA6}"/>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16455" xr:uid="{5DE5EAA4-6263-4274-95E9-0A0CDBD9521C}"/>
    <cellStyle name="40% - Accent3 2 2 3 2 2 3" xfId="24902" xr:uid="{A0DB6F69-F8E2-4605-A94C-BF413D1A7C37}"/>
    <cellStyle name="40% - Accent3 2 2 3 2 2 4" xfId="33349" xr:uid="{1604495A-4747-4F7F-B7EA-F14A3CEAB4BF}"/>
    <cellStyle name="40% - Accent3 2 2 3 2 3" xfId="12238" xr:uid="{422F39D9-1EEB-4D5E-8696-ABFF9B5B3759}"/>
    <cellStyle name="40% - Accent3 2 2 3 2 4" xfId="20685" xr:uid="{2A7D4D0F-A655-4C13-9D97-B7658A29A833}"/>
    <cellStyle name="40% - Accent3 2 2 3 2 5" xfId="29132" xr:uid="{9D491D45-A2ED-4267-823B-E766F1BBF6E5}"/>
    <cellStyle name="40% - Accent3 2 2 3 3" xfId="4984" xr:uid="{00000000-0005-0000-0000-00001B050000}"/>
    <cellStyle name="40% - Accent3 2 2 3 3 2" xfId="14310" xr:uid="{CB3431E9-1AB2-4D68-9801-D4C89CF8CA97}"/>
    <cellStyle name="40% - Accent3 2 2 3 3 3" xfId="22757" xr:uid="{DDCD21D8-22FE-4719-9097-BB98760A1D4B}"/>
    <cellStyle name="40% - Accent3 2 2 3 3 4" xfId="31204" xr:uid="{23302B55-6907-44E9-AE20-ECBCC88ABC83}"/>
    <cellStyle name="40% - Accent3 2 2 3 4" xfId="9328" xr:uid="{1DAEB9B9-01CE-426D-A8F1-CE08999D7264}"/>
    <cellStyle name="40% - Accent3 2 2 3 5" xfId="10093" xr:uid="{23666803-51E9-4DD6-9A64-DE0ADA292E13}"/>
    <cellStyle name="40% - Accent3 2 2 3 6" xfId="18540" xr:uid="{AE3CAA40-72A8-4F55-B4BC-D2DD5BC02CCF}"/>
    <cellStyle name="40% - Accent3 2 2 3 7" xfId="26987" xr:uid="{3F28BC2A-E2E4-46B0-A1FB-9075BBC13BEB}"/>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16868" xr:uid="{D9A45AB1-9765-4655-B8AB-B4460078819B}"/>
    <cellStyle name="40% - Accent3 2 2 4 2 2 3" xfId="25315" xr:uid="{5B3286D1-1099-41D9-8CA5-652343A7B828}"/>
    <cellStyle name="40% - Accent3 2 2 4 2 2 4" xfId="33762" xr:uid="{CE773CED-617E-4C73-9055-F2FCBF57E9BE}"/>
    <cellStyle name="40% - Accent3 2 2 4 2 3" xfId="12651" xr:uid="{8A8F00A0-878B-46C5-A8F5-F7B4D30376E8}"/>
    <cellStyle name="40% - Accent3 2 2 4 2 4" xfId="21098" xr:uid="{7079E763-834C-416E-8001-C804DD746C15}"/>
    <cellStyle name="40% - Accent3 2 2 4 2 5" xfId="29545" xr:uid="{BFC21850-7C46-4B3B-BDF2-0C98F5C6C142}"/>
    <cellStyle name="40% - Accent3 2 2 4 3" xfId="5397" xr:uid="{00000000-0005-0000-0000-00001F050000}"/>
    <cellStyle name="40% - Accent3 2 2 4 3 2" xfId="14723" xr:uid="{0DFEA6AD-C52B-4BC0-B895-C1A14F39CCD2}"/>
    <cellStyle name="40% - Accent3 2 2 4 3 3" xfId="23170" xr:uid="{D99E560C-7BF7-4C0F-9CE2-280361375E63}"/>
    <cellStyle name="40% - Accent3 2 2 4 3 4" xfId="31617" xr:uid="{A7A48F92-5828-4138-BF62-3E9F6C16D2D6}"/>
    <cellStyle name="40% - Accent3 2 2 4 4" xfId="10506" xr:uid="{91049720-3BD7-41BD-904D-E674A7C20B07}"/>
    <cellStyle name="40% - Accent3 2 2 4 5" xfId="18953" xr:uid="{FD0F1F30-082B-4D0F-9549-226A2F794F0E}"/>
    <cellStyle name="40% - Accent3 2 2 4 6" xfId="27400" xr:uid="{D4FB48AC-0913-43AB-8DAE-66560733BDD5}"/>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17281" xr:uid="{C98AA043-95CB-4280-AE9A-05D2DC0DB7BE}"/>
    <cellStyle name="40% - Accent3 2 2 5 2 2 3" xfId="25728" xr:uid="{06F1DD7D-AA8E-46AE-A560-0A3E17E80143}"/>
    <cellStyle name="40% - Accent3 2 2 5 2 2 4" xfId="34175" xr:uid="{140666A1-7FE3-4E50-986C-65AEEAC84319}"/>
    <cellStyle name="40% - Accent3 2 2 5 2 3" xfId="13064" xr:uid="{9B25D5CF-039B-4BD3-8626-33ED4F555F23}"/>
    <cellStyle name="40% - Accent3 2 2 5 2 4" xfId="21511" xr:uid="{FF56EDCC-C503-4181-9D26-C44CF4CF3A7A}"/>
    <cellStyle name="40% - Accent3 2 2 5 2 5" xfId="29958" xr:uid="{B1C0A3B5-A4D1-405F-A8FE-267557835752}"/>
    <cellStyle name="40% - Accent3 2 2 5 3" xfId="5810" xr:uid="{00000000-0005-0000-0000-000023050000}"/>
    <cellStyle name="40% - Accent3 2 2 5 3 2" xfId="15136" xr:uid="{6FCD5BFE-3268-488C-A675-A56D7C6554DF}"/>
    <cellStyle name="40% - Accent3 2 2 5 3 3" xfId="23583" xr:uid="{C7AF1FFA-97BC-48D0-8E11-1778C08DFD43}"/>
    <cellStyle name="40% - Accent3 2 2 5 3 4" xfId="32030" xr:uid="{F50DEC7E-2A37-44E2-880F-B9ABD37BA75C}"/>
    <cellStyle name="40% - Accent3 2 2 5 4" xfId="10919" xr:uid="{BA648C33-1A53-4399-9A94-E592F917B73B}"/>
    <cellStyle name="40% - Accent3 2 2 5 5" xfId="19366" xr:uid="{A124CC79-04EA-4678-BE4D-859BA23A25EE}"/>
    <cellStyle name="40% - Accent3 2 2 5 6" xfId="27813" xr:uid="{D8A14A33-8491-4CE7-BF66-818CA31D3CC9}"/>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17694" xr:uid="{7A8ACA40-7C9D-4D09-AB24-B96A941659AB}"/>
    <cellStyle name="40% - Accent3 2 2 6 2 2 3" xfId="26141" xr:uid="{EF30C0E9-A024-4C04-A441-988B5395519E}"/>
    <cellStyle name="40% - Accent3 2 2 6 2 2 4" xfId="34588" xr:uid="{C123DA14-0F8C-43C8-AB61-99725AB519D0}"/>
    <cellStyle name="40% - Accent3 2 2 6 2 3" xfId="13477" xr:uid="{633482D2-49A7-423B-9D13-8338A16B3C92}"/>
    <cellStyle name="40% - Accent3 2 2 6 2 4" xfId="21924" xr:uid="{F94CF7EA-ECBF-4C1F-BB64-C6EE6D1F3A90}"/>
    <cellStyle name="40% - Accent3 2 2 6 2 5" xfId="30371" xr:uid="{699485DC-37D8-4EE4-9AE8-518C0A57EDAD}"/>
    <cellStyle name="40% - Accent3 2 2 6 3" xfId="6223" xr:uid="{00000000-0005-0000-0000-000027050000}"/>
    <cellStyle name="40% - Accent3 2 2 6 3 2" xfId="15549" xr:uid="{16DD3867-6A83-4F3E-859C-4158AFC27A2B}"/>
    <cellStyle name="40% - Accent3 2 2 6 3 3" xfId="23996" xr:uid="{B67F02A1-9D11-4BCD-B45D-91F6749D1115}"/>
    <cellStyle name="40% - Accent3 2 2 6 3 4" xfId="32443" xr:uid="{B2080B7E-A68A-4535-AEBE-FF9949421B08}"/>
    <cellStyle name="40% - Accent3 2 2 6 4" xfId="11332" xr:uid="{034579BE-6255-4B58-8805-741373C3450C}"/>
    <cellStyle name="40% - Accent3 2 2 6 5" xfId="19779" xr:uid="{035DC169-8F96-4BCF-BAD6-6410969545AF}"/>
    <cellStyle name="40% - Accent3 2 2 6 6" xfId="28226" xr:uid="{5EC9531F-6DDA-427B-985D-ECD8B5421070}"/>
    <cellStyle name="40% - Accent3 2 2 7" xfId="2330" xr:uid="{00000000-0005-0000-0000-000028050000}"/>
    <cellStyle name="40% - Accent3 2 2 7 2" xfId="6636" xr:uid="{00000000-0005-0000-0000-000029050000}"/>
    <cellStyle name="40% - Accent3 2 2 7 2 2" xfId="15962" xr:uid="{C9EB74BF-0D01-48B6-9352-2511DD3E4A53}"/>
    <cellStyle name="40% - Accent3 2 2 7 2 3" xfId="24409" xr:uid="{3B9C89F8-AE1D-4C9D-AAD4-93780C6F9711}"/>
    <cellStyle name="40% - Accent3 2 2 7 2 4" xfId="32856" xr:uid="{19128079-7ACC-4C44-8B59-D0C9B1498E89}"/>
    <cellStyle name="40% - Accent3 2 2 7 3" xfId="11745" xr:uid="{6A3F9048-02DF-4FF1-B873-D801E6673186}"/>
    <cellStyle name="40% - Accent3 2 2 7 4" xfId="20192" xr:uid="{22755F17-C7EE-4255-A462-B87CBDD404FE}"/>
    <cellStyle name="40% - Accent3 2 2 7 5" xfId="28639" xr:uid="{A01E590A-EA05-452C-9CD2-C21425FFF1C7}"/>
    <cellStyle name="40% - Accent3 2 2 8" xfId="4570" xr:uid="{00000000-0005-0000-0000-00002A050000}"/>
    <cellStyle name="40% - Accent3 2 2 8 2" xfId="13896" xr:uid="{9A359B06-E070-4410-96CB-12FC32A3DDD9}"/>
    <cellStyle name="40% - Accent3 2 2 8 3" xfId="22343" xr:uid="{0FCE2A5E-E0AB-406F-8069-CD52A84C6A1E}"/>
    <cellStyle name="40% - Accent3 2 2 8 4" xfId="30790" xr:uid="{BD16FED5-0B8C-44B3-B939-EADCE6223DCD}"/>
    <cellStyle name="40% - Accent3 2 2 9" xfId="8903" xr:uid="{D9C85917-26AE-466C-8B98-905BCDA9E329}"/>
    <cellStyle name="40% - Accent3 2 3" xfId="69" xr:uid="{00000000-0005-0000-0000-00002B050000}"/>
    <cellStyle name="40% - Accent3 2 3 10" xfId="18128" xr:uid="{417D4029-566B-4371-9DDD-DFC7192BE095}"/>
    <cellStyle name="40% - Accent3 2 3 11" xfId="26575" xr:uid="{DD0A2AF4-4FFC-4371-BD4E-D9B5547D3E6A}"/>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16457" xr:uid="{C4A59429-0E77-4F1C-8558-7E47C79B057C}"/>
    <cellStyle name="40% - Accent3 2 3 2 2 2 3" xfId="24904" xr:uid="{07543362-F32E-41A2-A8BE-874D0B398F63}"/>
    <cellStyle name="40% - Accent3 2 3 2 2 2 4" xfId="33351" xr:uid="{5B36F8F7-B8BC-4730-AD7F-C7703BEF4520}"/>
    <cellStyle name="40% - Accent3 2 3 2 2 3" xfId="12240" xr:uid="{9D229DA9-0E9C-4CA8-A0C3-CF5F025A5671}"/>
    <cellStyle name="40% - Accent3 2 3 2 2 4" xfId="20687" xr:uid="{445214E0-51BD-4B9B-A03B-E5CC31E15C96}"/>
    <cellStyle name="40% - Accent3 2 3 2 2 5" xfId="29134" xr:uid="{F6A1659E-878F-40F6-B791-4E2F25C2F96B}"/>
    <cellStyle name="40% - Accent3 2 3 2 3" xfId="4986" xr:uid="{00000000-0005-0000-0000-00002F050000}"/>
    <cellStyle name="40% - Accent3 2 3 2 3 2" xfId="14312" xr:uid="{F448B896-E975-4ECC-BD9E-035DFBE5A0EA}"/>
    <cellStyle name="40% - Accent3 2 3 2 3 3" xfId="22759" xr:uid="{2D205062-F8F2-44FD-B5E3-257D7435CDB1}"/>
    <cellStyle name="40% - Accent3 2 3 2 3 4" xfId="31206" xr:uid="{5D06ADBD-80FE-448E-8070-20A1FAFF3BD2}"/>
    <cellStyle name="40% - Accent3 2 3 2 4" xfId="9432" xr:uid="{54D6848B-0200-4F42-820D-262A8F9A2C0F}"/>
    <cellStyle name="40% - Accent3 2 3 2 5" xfId="10095" xr:uid="{B75BE14B-70B1-4FB7-A399-FE7F2D2A9C04}"/>
    <cellStyle name="40% - Accent3 2 3 2 6" xfId="18542" xr:uid="{44FF5D53-C825-4896-8B3E-276BBA7E9042}"/>
    <cellStyle name="40% - Accent3 2 3 2 7" xfId="26989" xr:uid="{68BAA8E1-12AF-42B8-BA7C-0318EC671F88}"/>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16870" xr:uid="{6B398094-E886-48C5-A7B9-D42A50069168}"/>
    <cellStyle name="40% - Accent3 2 3 3 2 2 3" xfId="25317" xr:uid="{1FA250B4-4AB6-43AE-987A-EB509022C546}"/>
    <cellStyle name="40% - Accent3 2 3 3 2 2 4" xfId="33764" xr:uid="{AC2D5B6E-211A-47A2-8E1B-033095CA276D}"/>
    <cellStyle name="40% - Accent3 2 3 3 2 3" xfId="12653" xr:uid="{A905C0F5-9026-460A-926F-86B97809F2A8}"/>
    <cellStyle name="40% - Accent3 2 3 3 2 4" xfId="21100" xr:uid="{DF7506A7-3B9D-419C-B96D-A1BC00727286}"/>
    <cellStyle name="40% - Accent3 2 3 3 2 5" xfId="29547" xr:uid="{AD6B5F13-22ED-4E7F-B023-3F0697B2E762}"/>
    <cellStyle name="40% - Accent3 2 3 3 3" xfId="5399" xr:uid="{00000000-0005-0000-0000-000033050000}"/>
    <cellStyle name="40% - Accent3 2 3 3 3 2" xfId="14725" xr:uid="{C934ECB5-659E-4516-B5F1-BF96737C3224}"/>
    <cellStyle name="40% - Accent3 2 3 3 3 3" xfId="23172" xr:uid="{654B13E2-2E25-4236-AE77-B3B990895E5A}"/>
    <cellStyle name="40% - Accent3 2 3 3 3 4" xfId="31619" xr:uid="{20FBA1A3-8514-4A7D-A185-A37F4CFCB1BB}"/>
    <cellStyle name="40% - Accent3 2 3 3 4" xfId="10508" xr:uid="{3DFB0FA0-EF34-444D-B4D6-0E4AC0AE9A48}"/>
    <cellStyle name="40% - Accent3 2 3 3 5" xfId="18955" xr:uid="{75AFB18C-C7B1-4CD6-A947-5331E65B5AC9}"/>
    <cellStyle name="40% - Accent3 2 3 3 6" xfId="27402" xr:uid="{9CA083E4-961C-45CE-B86C-DAB8D09E056A}"/>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17283" xr:uid="{3AD7C3BE-9C24-4E4C-B8FD-E7EBC637B0C9}"/>
    <cellStyle name="40% - Accent3 2 3 4 2 2 3" xfId="25730" xr:uid="{5898B734-1501-4B8A-80FF-149BE0F70B67}"/>
    <cellStyle name="40% - Accent3 2 3 4 2 2 4" xfId="34177" xr:uid="{894AFFE4-930F-4295-B76F-7E36EF3A7F07}"/>
    <cellStyle name="40% - Accent3 2 3 4 2 3" xfId="13066" xr:uid="{A6D56531-1859-41D4-8DD3-06E6CF4BB52F}"/>
    <cellStyle name="40% - Accent3 2 3 4 2 4" xfId="21513" xr:uid="{A65163EC-3F9E-47DE-8025-B8FD1FEEC48D}"/>
    <cellStyle name="40% - Accent3 2 3 4 2 5" xfId="29960" xr:uid="{E6530A51-C1EE-471A-AC2C-AA80C5C78FA2}"/>
    <cellStyle name="40% - Accent3 2 3 4 3" xfId="5812" xr:uid="{00000000-0005-0000-0000-000037050000}"/>
    <cellStyle name="40% - Accent3 2 3 4 3 2" xfId="15138" xr:uid="{72E9093E-7A73-4C07-B336-03E097A62482}"/>
    <cellStyle name="40% - Accent3 2 3 4 3 3" xfId="23585" xr:uid="{CDE60BC5-004D-49F7-9678-DF317F776723}"/>
    <cellStyle name="40% - Accent3 2 3 4 3 4" xfId="32032" xr:uid="{5F914436-6CCD-4795-8A21-AE77CC40F606}"/>
    <cellStyle name="40% - Accent3 2 3 4 4" xfId="10921" xr:uid="{CBB4CF4C-5F59-4967-890C-8134A0454E7F}"/>
    <cellStyle name="40% - Accent3 2 3 4 5" xfId="19368" xr:uid="{A55F736E-7586-4F8A-AF30-9AC4D02D91F3}"/>
    <cellStyle name="40% - Accent3 2 3 4 6" xfId="27815" xr:uid="{85173C80-F711-454C-8870-C89C05A6ACCE}"/>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17696" xr:uid="{43473564-1869-4589-AEF4-DF9906842C86}"/>
    <cellStyle name="40% - Accent3 2 3 5 2 2 3" xfId="26143" xr:uid="{E4CF70B8-6CDD-46B8-BBCD-468E548AB2FD}"/>
    <cellStyle name="40% - Accent3 2 3 5 2 2 4" xfId="34590" xr:uid="{49E03315-4407-4807-A057-BAA597ABC9F0}"/>
    <cellStyle name="40% - Accent3 2 3 5 2 3" xfId="13479" xr:uid="{369A4F1B-7649-4F78-8BEC-97E0D22CF8D1}"/>
    <cellStyle name="40% - Accent3 2 3 5 2 4" xfId="21926" xr:uid="{CC316587-E1E4-4931-B266-1AAF569D0B90}"/>
    <cellStyle name="40% - Accent3 2 3 5 2 5" xfId="30373" xr:uid="{AAE65371-D146-433F-814A-E36C61B4007B}"/>
    <cellStyle name="40% - Accent3 2 3 5 3" xfId="6225" xr:uid="{00000000-0005-0000-0000-00003B050000}"/>
    <cellStyle name="40% - Accent3 2 3 5 3 2" xfId="15551" xr:uid="{901ABEA7-C8A1-4686-97BE-7DC81E9111ED}"/>
    <cellStyle name="40% - Accent3 2 3 5 3 3" xfId="23998" xr:uid="{79EE7B8C-7792-4EE5-B1B2-68DBE572134B}"/>
    <cellStyle name="40% - Accent3 2 3 5 3 4" xfId="32445" xr:uid="{A6B99EDA-B94B-4EDE-8362-EEF0CDE28985}"/>
    <cellStyle name="40% - Accent3 2 3 5 4" xfId="11334" xr:uid="{D03C1C63-2683-495A-B8DB-EFA4176846A2}"/>
    <cellStyle name="40% - Accent3 2 3 5 5" xfId="19781" xr:uid="{FD7EE116-95D1-4E0A-93D4-F54B947F8212}"/>
    <cellStyle name="40% - Accent3 2 3 5 6" xfId="28228" xr:uid="{749B4EE9-94E4-47CC-84CB-C7B4825E438A}"/>
    <cellStyle name="40% - Accent3 2 3 6" xfId="2332" xr:uid="{00000000-0005-0000-0000-00003C050000}"/>
    <cellStyle name="40% - Accent3 2 3 6 2" xfId="6638" xr:uid="{00000000-0005-0000-0000-00003D050000}"/>
    <cellStyle name="40% - Accent3 2 3 6 2 2" xfId="15964" xr:uid="{4E934ED3-31C2-4E63-8692-441CA4406180}"/>
    <cellStyle name="40% - Accent3 2 3 6 2 3" xfId="24411" xr:uid="{902B3CEA-BBD8-4AA8-94B0-DE7190310EF3}"/>
    <cellStyle name="40% - Accent3 2 3 6 2 4" xfId="32858" xr:uid="{D660D03E-464F-4655-B358-7A7B73FFC346}"/>
    <cellStyle name="40% - Accent3 2 3 6 3" xfId="11747" xr:uid="{4D8A8EE3-9C18-4607-857E-6C49985C6767}"/>
    <cellStyle name="40% - Accent3 2 3 6 4" xfId="20194" xr:uid="{A9F60B33-AA44-47D0-B386-16D23C58E482}"/>
    <cellStyle name="40% - Accent3 2 3 6 5" xfId="28641" xr:uid="{9B9F1D4E-1812-4958-921A-28554FB57A41}"/>
    <cellStyle name="40% - Accent3 2 3 7" xfId="4572" xr:uid="{00000000-0005-0000-0000-00003E050000}"/>
    <cellStyle name="40% - Accent3 2 3 7 2" xfId="13898" xr:uid="{C0D315AC-539E-44D8-8FDE-61A5E63E7C8E}"/>
    <cellStyle name="40% - Accent3 2 3 7 3" xfId="22345" xr:uid="{64EA6BB5-A53E-43FD-BEFF-619ECCE1BAF9}"/>
    <cellStyle name="40% - Accent3 2 3 7 4" xfId="30792" xr:uid="{3031436C-343F-4EAD-A761-D69CBEDE23AC}"/>
    <cellStyle name="40% - Accent3 2 3 8" xfId="9007" xr:uid="{2DEFD82C-2A62-4C1E-AA8D-7F2606BD9091}"/>
    <cellStyle name="40% - Accent3 2 3 9" xfId="9681" xr:uid="{F176348A-505D-44D7-8AE5-9F3129996564}"/>
    <cellStyle name="40% - Accent3 2 4" xfId="635" xr:uid="{00000000-0005-0000-0000-00003F050000}"/>
    <cellStyle name="40% - Accent3 2 4 2" xfId="2906" xr:uid="{00000000-0005-0000-0000-000040050000}"/>
    <cellStyle name="40% - Accent3 2 4 2 2" xfId="7128" xr:uid="{00000000-0005-0000-0000-000041050000}"/>
    <cellStyle name="40% - Accent3 2 4 2 2 2" xfId="16454" xr:uid="{6376E1E0-7598-44AC-9E26-DE982778D407}"/>
    <cellStyle name="40% - Accent3 2 4 2 2 3" xfId="24901" xr:uid="{01FB7A4C-7216-4CB4-8500-434CAAF31DD0}"/>
    <cellStyle name="40% - Accent3 2 4 2 2 4" xfId="33348" xr:uid="{20F5E1DF-D295-4985-9284-D421A651987D}"/>
    <cellStyle name="40% - Accent3 2 4 2 3" xfId="12237" xr:uid="{5C6571A2-6325-4389-B8B8-604E0ACA3E73}"/>
    <cellStyle name="40% - Accent3 2 4 2 4" xfId="20684" xr:uid="{65BEA7D2-2EC7-4CE5-9962-339CC1F57180}"/>
    <cellStyle name="40% - Accent3 2 4 2 5" xfId="29131" xr:uid="{5A4F65DD-EE9B-4D39-B392-42275BFDFAC8}"/>
    <cellStyle name="40% - Accent3 2 4 3" xfId="4983" xr:uid="{00000000-0005-0000-0000-000042050000}"/>
    <cellStyle name="40% - Accent3 2 4 3 2" xfId="14309" xr:uid="{9B72D066-BD4C-4543-82A2-17B277861682}"/>
    <cellStyle name="40% - Accent3 2 4 3 3" xfId="22756" xr:uid="{4671971E-CF50-4AFA-B3CF-21020DC13E88}"/>
    <cellStyle name="40% - Accent3 2 4 3 4" xfId="31203" xr:uid="{B96B1CA1-2462-4701-A157-4269250FFC10}"/>
    <cellStyle name="40% - Accent3 2 4 4" xfId="9224" xr:uid="{6B91012A-BFF2-4F1F-901C-A91F06F80031}"/>
    <cellStyle name="40% - Accent3 2 4 5" xfId="10092" xr:uid="{818FB568-BE33-4DAE-9C83-93F45B47458F}"/>
    <cellStyle name="40% - Accent3 2 4 6" xfId="18539" xr:uid="{EACDBE1A-FD52-4130-82F4-BCA3EB25A96B}"/>
    <cellStyle name="40% - Accent3 2 4 7" xfId="26986" xr:uid="{D4926242-F701-456C-B8CB-3D07BC6A4408}"/>
    <cellStyle name="40% - Accent3 2 5" xfId="1088" xr:uid="{00000000-0005-0000-0000-000043050000}"/>
    <cellStyle name="40% - Accent3 2 5 2" xfId="3319" xr:uid="{00000000-0005-0000-0000-000044050000}"/>
    <cellStyle name="40% - Accent3 2 5 2 2" xfId="7541" xr:uid="{00000000-0005-0000-0000-000045050000}"/>
    <cellStyle name="40% - Accent3 2 5 2 2 2" xfId="16867" xr:uid="{B712E78A-6DFB-431D-87BD-B14E59251721}"/>
    <cellStyle name="40% - Accent3 2 5 2 2 3" xfId="25314" xr:uid="{4A17E680-1654-4823-A1CC-5A7E546DAB0D}"/>
    <cellStyle name="40% - Accent3 2 5 2 2 4" xfId="33761" xr:uid="{12401E34-092C-4883-B6A9-1B7198E0DB72}"/>
    <cellStyle name="40% - Accent3 2 5 2 3" xfId="12650" xr:uid="{0C4FFB41-DF6C-4B42-AC94-87C19361B832}"/>
    <cellStyle name="40% - Accent3 2 5 2 4" xfId="21097" xr:uid="{D0F82489-E0B0-4382-A46A-9B04C6F1CD20}"/>
    <cellStyle name="40% - Accent3 2 5 2 5" xfId="29544" xr:uid="{B047EAEB-7051-4163-9BE2-5D060EA90854}"/>
    <cellStyle name="40% - Accent3 2 5 3" xfId="5396" xr:uid="{00000000-0005-0000-0000-000046050000}"/>
    <cellStyle name="40% - Accent3 2 5 3 2" xfId="14722" xr:uid="{0D8CE421-9DED-40A0-B29E-645920943416}"/>
    <cellStyle name="40% - Accent3 2 5 3 3" xfId="23169" xr:uid="{DA5695AC-4CE5-42E8-9872-15B262E29D1F}"/>
    <cellStyle name="40% - Accent3 2 5 3 4" xfId="31616" xr:uid="{CC34407F-1470-4D32-A341-0BF844F4FAA4}"/>
    <cellStyle name="40% - Accent3 2 5 4" xfId="10505" xr:uid="{B3444C77-6DC6-44AD-8E02-3569EC81DEFF}"/>
    <cellStyle name="40% - Accent3 2 5 5" xfId="18952" xr:uid="{2C07055E-05E7-489E-9D09-E5E5032E8922}"/>
    <cellStyle name="40% - Accent3 2 5 6" xfId="27399" xr:uid="{4DFF77D1-D14D-4DCC-8A24-81DB348A52F9}"/>
    <cellStyle name="40% - Accent3 2 6" xfId="1502" xr:uid="{00000000-0005-0000-0000-000047050000}"/>
    <cellStyle name="40% - Accent3 2 6 2" xfId="3732" xr:uid="{00000000-0005-0000-0000-000048050000}"/>
    <cellStyle name="40% - Accent3 2 6 2 2" xfId="7954" xr:uid="{00000000-0005-0000-0000-000049050000}"/>
    <cellStyle name="40% - Accent3 2 6 2 2 2" xfId="17280" xr:uid="{07E9C52F-F009-4581-99F5-C09663F7BA3D}"/>
    <cellStyle name="40% - Accent3 2 6 2 2 3" xfId="25727" xr:uid="{A18F93E0-2352-45D2-9E9C-3D818AFD6367}"/>
    <cellStyle name="40% - Accent3 2 6 2 2 4" xfId="34174" xr:uid="{71A9102C-945C-48B8-ADD2-B48E9D1A6DC8}"/>
    <cellStyle name="40% - Accent3 2 6 2 3" xfId="13063" xr:uid="{F824DF4C-68AD-4E61-B193-8925DE251489}"/>
    <cellStyle name="40% - Accent3 2 6 2 4" xfId="21510" xr:uid="{4E254777-7331-4F3C-B7DB-AFF2E0914FE7}"/>
    <cellStyle name="40% - Accent3 2 6 2 5" xfId="29957" xr:uid="{A8189590-2D3E-4942-A758-F355EFA15672}"/>
    <cellStyle name="40% - Accent3 2 6 3" xfId="5809" xr:uid="{00000000-0005-0000-0000-00004A050000}"/>
    <cellStyle name="40% - Accent3 2 6 3 2" xfId="15135" xr:uid="{F4EE6640-1085-4E16-B11C-12778B0C0704}"/>
    <cellStyle name="40% - Accent3 2 6 3 3" xfId="23582" xr:uid="{83C054A9-86DD-4AA2-A869-4A9F090F3480}"/>
    <cellStyle name="40% - Accent3 2 6 3 4" xfId="32029" xr:uid="{08CE5FD8-0A0A-49AB-93FA-497A4A9A41AC}"/>
    <cellStyle name="40% - Accent3 2 6 4" xfId="10918" xr:uid="{92653BFC-1D41-4F1E-8755-349EA0E52F6C}"/>
    <cellStyle name="40% - Accent3 2 6 5" xfId="19365" xr:uid="{438CF02F-D50B-4FBE-BEDC-C29A038B62B4}"/>
    <cellStyle name="40% - Accent3 2 6 6" xfId="27812" xr:uid="{3652D5BE-C2BA-41C4-9599-6555725577B7}"/>
    <cellStyle name="40% - Accent3 2 7" xfId="1916" xr:uid="{00000000-0005-0000-0000-00004B050000}"/>
    <cellStyle name="40% - Accent3 2 7 2" xfId="4145" xr:uid="{00000000-0005-0000-0000-00004C050000}"/>
    <cellStyle name="40% - Accent3 2 7 2 2" xfId="8367" xr:uid="{00000000-0005-0000-0000-00004D050000}"/>
    <cellStyle name="40% - Accent3 2 7 2 2 2" xfId="17693" xr:uid="{55CAFBFD-DFE1-48E5-9CBA-84C46840AAF2}"/>
    <cellStyle name="40% - Accent3 2 7 2 2 3" xfId="26140" xr:uid="{E2C9148B-C4F0-4C39-8AF8-7867CFE80D2A}"/>
    <cellStyle name="40% - Accent3 2 7 2 2 4" xfId="34587" xr:uid="{834602A7-58B0-4A29-BFAD-C2B1160E857E}"/>
    <cellStyle name="40% - Accent3 2 7 2 3" xfId="13476" xr:uid="{927C39BB-5EDF-4D8B-8283-C6AF267006BD}"/>
    <cellStyle name="40% - Accent3 2 7 2 4" xfId="21923" xr:uid="{07B1989D-ED0C-4EBB-B82E-3A1F4A44383F}"/>
    <cellStyle name="40% - Accent3 2 7 2 5" xfId="30370" xr:uid="{CD1C8C84-57E3-41A2-8A92-FE82CCC00848}"/>
    <cellStyle name="40% - Accent3 2 7 3" xfId="6222" xr:uid="{00000000-0005-0000-0000-00004E050000}"/>
    <cellStyle name="40% - Accent3 2 7 3 2" xfId="15548" xr:uid="{5B8330BA-ECBA-492D-983B-AE6DCD39220C}"/>
    <cellStyle name="40% - Accent3 2 7 3 3" xfId="23995" xr:uid="{6B74BEA9-DBC6-4711-87F3-5AF5A83DBE6C}"/>
    <cellStyle name="40% - Accent3 2 7 3 4" xfId="32442" xr:uid="{138F1A4D-066A-4325-86BF-34AE58FA29D8}"/>
    <cellStyle name="40% - Accent3 2 7 4" xfId="11331" xr:uid="{2B1DC2F2-2010-4256-82FC-0879A47EEC15}"/>
    <cellStyle name="40% - Accent3 2 7 5" xfId="19778" xr:uid="{EB582DDE-2212-453B-8AA8-0DE592D05AC0}"/>
    <cellStyle name="40% - Accent3 2 7 6" xfId="28225" xr:uid="{0761C623-E3DF-4327-90F1-CEC4A84A9DAB}"/>
    <cellStyle name="40% - Accent3 2 8" xfId="2329" xr:uid="{00000000-0005-0000-0000-00004F050000}"/>
    <cellStyle name="40% - Accent3 2 8 2" xfId="6635" xr:uid="{00000000-0005-0000-0000-000050050000}"/>
    <cellStyle name="40% - Accent3 2 8 2 2" xfId="15961" xr:uid="{6066DBEC-6C95-46ED-985E-C993BC5D836B}"/>
    <cellStyle name="40% - Accent3 2 8 2 3" xfId="24408" xr:uid="{C64CB242-C765-48FA-84FB-02D9DF2A8EAF}"/>
    <cellStyle name="40% - Accent3 2 8 2 4" xfId="32855" xr:uid="{2D2085FC-9FE7-424D-98C5-AB5B59501AC5}"/>
    <cellStyle name="40% - Accent3 2 8 3" xfId="11744" xr:uid="{0D3F8943-52CE-425F-849C-BCBC997DD544}"/>
    <cellStyle name="40% - Accent3 2 8 4" xfId="20191" xr:uid="{120BD188-9E1C-4716-8303-A97C12A47F4E}"/>
    <cellStyle name="40% - Accent3 2 8 5" xfId="28638" xr:uid="{0B8B6CDF-7BC3-4466-89BE-C375B893632C}"/>
    <cellStyle name="40% - Accent3 2 9" xfId="4569" xr:uid="{00000000-0005-0000-0000-000051050000}"/>
    <cellStyle name="40% - Accent3 2 9 2" xfId="13895" xr:uid="{FD419DF5-2E9E-42FF-AC64-F5984F590C88}"/>
    <cellStyle name="40% - Accent3 2 9 3" xfId="22342" xr:uid="{6E960E61-CA7E-4AD0-BEBC-B35ECD6305BC}"/>
    <cellStyle name="40% - Accent3 2 9 4" xfId="30789" xr:uid="{D8C4BB0F-9905-4B37-AF9F-B7A7898E263F}"/>
    <cellStyle name="40% - Accent3 3" xfId="70" xr:uid="{00000000-0005-0000-0000-000052050000}"/>
    <cellStyle name="40% - Accent3 3 10" xfId="9682" xr:uid="{B196066B-D86B-43A5-9BD2-30D6BB968D00}"/>
    <cellStyle name="40% - Accent3 3 11" xfId="18129" xr:uid="{3447A299-D5EA-4278-8145-EF328E394518}"/>
    <cellStyle name="40% - Accent3 3 12" xfId="26576" xr:uid="{AF7BA335-FF1A-40D8-9564-B4BD2C6C25ED}"/>
    <cellStyle name="40% - Accent3 3 2" xfId="71" xr:uid="{00000000-0005-0000-0000-000053050000}"/>
    <cellStyle name="40% - Accent3 3 2 10" xfId="18130" xr:uid="{83D689BE-D3C2-4C31-89A9-56BE016393C4}"/>
    <cellStyle name="40% - Accent3 3 2 11" xfId="26577" xr:uid="{D77F0D53-2F5B-4F0A-A28D-8A86C349C1F2}"/>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16459" xr:uid="{7440C72D-64E9-4FE1-BDB2-5F801A385D62}"/>
    <cellStyle name="40% - Accent3 3 2 2 2 2 3" xfId="24906" xr:uid="{A1D0905E-1D79-41C5-AC24-62838A360864}"/>
    <cellStyle name="40% - Accent3 3 2 2 2 2 4" xfId="33353" xr:uid="{92166F28-E98C-4277-B336-C9863353B807}"/>
    <cellStyle name="40% - Accent3 3 2 2 2 3" xfId="12242" xr:uid="{14129C2D-CAA9-408C-AB9B-EAFA947C4F9E}"/>
    <cellStyle name="40% - Accent3 3 2 2 2 4" xfId="20689" xr:uid="{3B72AA88-D45F-4DD3-B003-9A622D6A5D9A}"/>
    <cellStyle name="40% - Accent3 3 2 2 2 5" xfId="29136" xr:uid="{44ED6764-F6A7-4B28-927B-44B57B1EC238}"/>
    <cellStyle name="40% - Accent3 3 2 2 3" xfId="4988" xr:uid="{00000000-0005-0000-0000-000057050000}"/>
    <cellStyle name="40% - Accent3 3 2 2 3 2" xfId="14314" xr:uid="{D8466C27-5166-4D20-B316-ECFDD2F349E6}"/>
    <cellStyle name="40% - Accent3 3 2 2 3 3" xfId="22761" xr:uid="{D9A6E9E4-561F-4CBA-A691-3495F78D22B1}"/>
    <cellStyle name="40% - Accent3 3 2 2 3 4" xfId="31208" xr:uid="{1452A5AC-4F91-4890-B69B-C1071EDEC29A}"/>
    <cellStyle name="40% - Accent3 3 2 2 4" xfId="9498" xr:uid="{7C43CF58-5AE0-4BAA-9D2B-CAB92F3612F1}"/>
    <cellStyle name="40% - Accent3 3 2 2 5" xfId="10097" xr:uid="{0A87A638-9E49-4140-9A6E-2F13285974AD}"/>
    <cellStyle name="40% - Accent3 3 2 2 6" xfId="18544" xr:uid="{E73E3418-448E-4329-90A0-7EDECA6ED8EF}"/>
    <cellStyle name="40% - Accent3 3 2 2 7" xfId="26991" xr:uid="{4759369B-0743-4EFF-97B8-8891FE813A11}"/>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16872" xr:uid="{B2D53C03-1E34-43C7-BC1F-0EFBF28A9031}"/>
    <cellStyle name="40% - Accent3 3 2 3 2 2 3" xfId="25319" xr:uid="{8A61444B-1B49-4DAB-A8CD-8D227C8BFB9D}"/>
    <cellStyle name="40% - Accent3 3 2 3 2 2 4" xfId="33766" xr:uid="{8671ECF8-4486-4F0E-8F7B-D17E952EC3E5}"/>
    <cellStyle name="40% - Accent3 3 2 3 2 3" xfId="12655" xr:uid="{60674FD1-7156-4732-AC46-8251E087B3A9}"/>
    <cellStyle name="40% - Accent3 3 2 3 2 4" xfId="21102" xr:uid="{324ED0EF-C81C-46F9-B9AD-7BA0054998FC}"/>
    <cellStyle name="40% - Accent3 3 2 3 2 5" xfId="29549" xr:uid="{1CB6B638-22F1-4633-8F20-303B3841A9A0}"/>
    <cellStyle name="40% - Accent3 3 2 3 3" xfId="5401" xr:uid="{00000000-0005-0000-0000-00005B050000}"/>
    <cellStyle name="40% - Accent3 3 2 3 3 2" xfId="14727" xr:uid="{172B284C-4487-4960-B430-299F47182CFC}"/>
    <cellStyle name="40% - Accent3 3 2 3 3 3" xfId="23174" xr:uid="{005E3830-FC90-44B8-8350-F98CC5B78B3E}"/>
    <cellStyle name="40% - Accent3 3 2 3 3 4" xfId="31621" xr:uid="{397EA972-93C9-4540-B9D7-5B1A95B98593}"/>
    <cellStyle name="40% - Accent3 3 2 3 4" xfId="10510" xr:uid="{2A83758B-31DC-4397-9394-171C6AC1EBA8}"/>
    <cellStyle name="40% - Accent3 3 2 3 5" xfId="18957" xr:uid="{ACB96434-ABC6-4E09-8C6A-B4644F1EE59B}"/>
    <cellStyle name="40% - Accent3 3 2 3 6" xfId="27404" xr:uid="{56EF7DE0-8D35-40A1-A494-53C7173143AB}"/>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17285" xr:uid="{65E44069-9409-4C40-B568-DDAB463FA4B0}"/>
    <cellStyle name="40% - Accent3 3 2 4 2 2 3" xfId="25732" xr:uid="{7C8E9BAA-3B81-4ACD-8C2D-B43DB768C8D3}"/>
    <cellStyle name="40% - Accent3 3 2 4 2 2 4" xfId="34179" xr:uid="{AC4D607D-3B27-4292-98C8-2FAAC2943708}"/>
    <cellStyle name="40% - Accent3 3 2 4 2 3" xfId="13068" xr:uid="{9915FB7C-2847-4A33-BDED-F37A308B20ED}"/>
    <cellStyle name="40% - Accent3 3 2 4 2 4" xfId="21515" xr:uid="{C492E9AA-22BB-495B-810F-6165FFD2E468}"/>
    <cellStyle name="40% - Accent3 3 2 4 2 5" xfId="29962" xr:uid="{10399FA4-2109-4F40-9CDA-AD3395DAD87F}"/>
    <cellStyle name="40% - Accent3 3 2 4 3" xfId="5814" xr:uid="{00000000-0005-0000-0000-00005F050000}"/>
    <cellStyle name="40% - Accent3 3 2 4 3 2" xfId="15140" xr:uid="{F107190C-ACF9-4B94-8BE7-1D4D42B7C3E2}"/>
    <cellStyle name="40% - Accent3 3 2 4 3 3" xfId="23587" xr:uid="{E3AE4775-90A0-4D4B-90D7-1789C1159258}"/>
    <cellStyle name="40% - Accent3 3 2 4 3 4" xfId="32034" xr:uid="{DA129D40-56A5-46C2-8D7B-2D89CBAE07A7}"/>
    <cellStyle name="40% - Accent3 3 2 4 4" xfId="10923" xr:uid="{445D089B-D560-437E-B496-A4A569C27893}"/>
    <cellStyle name="40% - Accent3 3 2 4 5" xfId="19370" xr:uid="{EAD9FF09-790B-44EC-866D-73928E974D02}"/>
    <cellStyle name="40% - Accent3 3 2 4 6" xfId="27817" xr:uid="{02068082-DC9B-4CB9-99FB-172E5C45D64B}"/>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17698" xr:uid="{708F50D7-43D7-44F2-A7AF-A8EDCEFE432B}"/>
    <cellStyle name="40% - Accent3 3 2 5 2 2 3" xfId="26145" xr:uid="{F46CAAFF-AE07-473C-A747-D2F301FB72CC}"/>
    <cellStyle name="40% - Accent3 3 2 5 2 2 4" xfId="34592" xr:uid="{8489E44E-0D2D-4142-9590-D0E44200FD2B}"/>
    <cellStyle name="40% - Accent3 3 2 5 2 3" xfId="13481" xr:uid="{F5D60E59-4DD6-4B37-94A3-19E3958B3974}"/>
    <cellStyle name="40% - Accent3 3 2 5 2 4" xfId="21928" xr:uid="{150FBD01-DCC7-41F7-9608-9155054F21A7}"/>
    <cellStyle name="40% - Accent3 3 2 5 2 5" xfId="30375" xr:uid="{0BF4DDF4-0714-496B-8B49-D4ACB2BDF531}"/>
    <cellStyle name="40% - Accent3 3 2 5 3" xfId="6227" xr:uid="{00000000-0005-0000-0000-000063050000}"/>
    <cellStyle name="40% - Accent3 3 2 5 3 2" xfId="15553" xr:uid="{4E3870FA-415F-448D-AFC5-263616337816}"/>
    <cellStyle name="40% - Accent3 3 2 5 3 3" xfId="24000" xr:uid="{B01B7A89-5383-4928-844C-A2FBD5D86A17}"/>
    <cellStyle name="40% - Accent3 3 2 5 3 4" xfId="32447" xr:uid="{A5563B64-BA9A-4DCD-B176-663F9C4F5666}"/>
    <cellStyle name="40% - Accent3 3 2 5 4" xfId="11336" xr:uid="{794186C0-727C-4280-A695-E03A72F34038}"/>
    <cellStyle name="40% - Accent3 3 2 5 5" xfId="19783" xr:uid="{CE5A4016-A1C8-4D26-9509-9C4E4DC3503B}"/>
    <cellStyle name="40% - Accent3 3 2 5 6" xfId="28230" xr:uid="{7D611E90-B6F1-49C1-8D3D-6B6DB1492536}"/>
    <cellStyle name="40% - Accent3 3 2 6" xfId="2334" xr:uid="{00000000-0005-0000-0000-000064050000}"/>
    <cellStyle name="40% - Accent3 3 2 6 2" xfId="6640" xr:uid="{00000000-0005-0000-0000-000065050000}"/>
    <cellStyle name="40% - Accent3 3 2 6 2 2" xfId="15966" xr:uid="{4B478CBF-6A6E-486E-AF96-4CE1FCA50119}"/>
    <cellStyle name="40% - Accent3 3 2 6 2 3" xfId="24413" xr:uid="{50313355-1153-411A-A927-140F022D46C7}"/>
    <cellStyle name="40% - Accent3 3 2 6 2 4" xfId="32860" xr:uid="{B54E40AA-2B93-40CF-A85D-71D3A2E2550B}"/>
    <cellStyle name="40% - Accent3 3 2 6 3" xfId="11749" xr:uid="{9A1031B0-9A6C-4754-BE26-4C7DA4642545}"/>
    <cellStyle name="40% - Accent3 3 2 6 4" xfId="20196" xr:uid="{9FCC3AF7-5AB2-45C1-A834-C941A9288363}"/>
    <cellStyle name="40% - Accent3 3 2 6 5" xfId="28643" xr:uid="{0C3186C1-1B8C-444A-B7A9-A6F48DEFFF06}"/>
    <cellStyle name="40% - Accent3 3 2 7" xfId="4574" xr:uid="{00000000-0005-0000-0000-000066050000}"/>
    <cellStyle name="40% - Accent3 3 2 7 2" xfId="13900" xr:uid="{8CF218CE-0AD6-4E1C-91D7-554FA9C79594}"/>
    <cellStyle name="40% - Accent3 3 2 7 3" xfId="22347" xr:uid="{C37A7CB1-4CD9-419D-8F55-92CF985FA04B}"/>
    <cellStyle name="40% - Accent3 3 2 7 4" xfId="30794" xr:uid="{9F384824-0773-430B-8143-FF01D90E00AF}"/>
    <cellStyle name="40% - Accent3 3 2 8" xfId="9073" xr:uid="{0E71C752-2CF0-411D-A05E-4DA4A73CFC34}"/>
    <cellStyle name="40% - Accent3 3 2 9" xfId="9683" xr:uid="{3F47C0B8-F676-48B9-B585-A32FF870C0BC}"/>
    <cellStyle name="40% - Accent3 3 3" xfId="639" xr:uid="{00000000-0005-0000-0000-000067050000}"/>
    <cellStyle name="40% - Accent3 3 3 2" xfId="2910" xr:uid="{00000000-0005-0000-0000-000068050000}"/>
    <cellStyle name="40% - Accent3 3 3 2 2" xfId="7132" xr:uid="{00000000-0005-0000-0000-000069050000}"/>
    <cellStyle name="40% - Accent3 3 3 2 2 2" xfId="16458" xr:uid="{8058D11C-B042-46F9-A8C1-22C84ECA90AC}"/>
    <cellStyle name="40% - Accent3 3 3 2 2 3" xfId="24905" xr:uid="{106E4D56-C216-4428-9589-4FF8DA1B4B02}"/>
    <cellStyle name="40% - Accent3 3 3 2 2 4" xfId="33352" xr:uid="{FC3400B5-78D1-4037-9C21-627943644796}"/>
    <cellStyle name="40% - Accent3 3 3 2 3" xfId="12241" xr:uid="{5610851A-72F0-4C4F-9AC5-B66B7CD14928}"/>
    <cellStyle name="40% - Accent3 3 3 2 4" xfId="20688" xr:uid="{9977B197-7CA3-4B64-94FF-F31B2D3982E9}"/>
    <cellStyle name="40% - Accent3 3 3 2 5" xfId="29135" xr:uid="{FE4813CE-EF57-4785-9C11-558BBB08AF9D}"/>
    <cellStyle name="40% - Accent3 3 3 3" xfId="4987" xr:uid="{00000000-0005-0000-0000-00006A050000}"/>
    <cellStyle name="40% - Accent3 3 3 3 2" xfId="14313" xr:uid="{804630C8-6828-42B5-B1DE-EA4A447C094C}"/>
    <cellStyle name="40% - Accent3 3 3 3 3" xfId="22760" xr:uid="{7939B820-F197-4977-B291-B1E205A268AD}"/>
    <cellStyle name="40% - Accent3 3 3 3 4" xfId="31207" xr:uid="{D492A215-6111-4588-8450-B1E8D9035909}"/>
    <cellStyle name="40% - Accent3 3 3 4" xfId="9291" xr:uid="{59AB3F6D-A8C6-4A37-A8E3-967850079A77}"/>
    <cellStyle name="40% - Accent3 3 3 5" xfId="10096" xr:uid="{AB155290-CAD8-4C7D-BCCF-66ABD258AB4A}"/>
    <cellStyle name="40% - Accent3 3 3 6" xfId="18543" xr:uid="{CEBFFD3D-C480-43EC-8C99-0E293614CC92}"/>
    <cellStyle name="40% - Accent3 3 3 7" xfId="26990" xr:uid="{1AFB8BF8-087A-4BCD-89A6-989158D92B14}"/>
    <cellStyle name="40% - Accent3 3 4" xfId="1092" xr:uid="{00000000-0005-0000-0000-00006B050000}"/>
    <cellStyle name="40% - Accent3 3 4 2" xfId="3323" xr:uid="{00000000-0005-0000-0000-00006C050000}"/>
    <cellStyle name="40% - Accent3 3 4 2 2" xfId="7545" xr:uid="{00000000-0005-0000-0000-00006D050000}"/>
    <cellStyle name="40% - Accent3 3 4 2 2 2" xfId="16871" xr:uid="{D4A01815-BEBB-4FAB-8430-300BF0F9A1C9}"/>
    <cellStyle name="40% - Accent3 3 4 2 2 3" xfId="25318" xr:uid="{C6A72E2F-1372-45E4-8F77-5E954D94B03E}"/>
    <cellStyle name="40% - Accent3 3 4 2 2 4" xfId="33765" xr:uid="{02724AF4-AE66-4FA0-9706-654ECC6966AA}"/>
    <cellStyle name="40% - Accent3 3 4 2 3" xfId="12654" xr:uid="{5AA53CBE-D29F-434C-A5A3-799120050ED0}"/>
    <cellStyle name="40% - Accent3 3 4 2 4" xfId="21101" xr:uid="{B9749DF3-01DB-4247-B586-BEE92BAE3946}"/>
    <cellStyle name="40% - Accent3 3 4 2 5" xfId="29548" xr:uid="{2EDA5028-2480-4EF8-9343-5C32E431798F}"/>
    <cellStyle name="40% - Accent3 3 4 3" xfId="5400" xr:uid="{00000000-0005-0000-0000-00006E050000}"/>
    <cellStyle name="40% - Accent3 3 4 3 2" xfId="14726" xr:uid="{FC9A42E0-8E67-4C86-B70E-3529F914F847}"/>
    <cellStyle name="40% - Accent3 3 4 3 3" xfId="23173" xr:uid="{2A866252-FCC7-4428-9A6D-15F0A82394B2}"/>
    <cellStyle name="40% - Accent3 3 4 3 4" xfId="31620" xr:uid="{E21640DD-732A-42CF-8AD5-656D0F952194}"/>
    <cellStyle name="40% - Accent3 3 4 4" xfId="10509" xr:uid="{484395B0-4227-44FD-A95A-22C1AD460DF2}"/>
    <cellStyle name="40% - Accent3 3 4 5" xfId="18956" xr:uid="{0131768D-BFE8-4993-8E54-971238C09B06}"/>
    <cellStyle name="40% - Accent3 3 4 6" xfId="27403" xr:uid="{F5E67EEA-0EDE-40A2-A12E-9624690C5382}"/>
    <cellStyle name="40% - Accent3 3 5" xfId="1506" xr:uid="{00000000-0005-0000-0000-00006F050000}"/>
    <cellStyle name="40% - Accent3 3 5 2" xfId="3736" xr:uid="{00000000-0005-0000-0000-000070050000}"/>
    <cellStyle name="40% - Accent3 3 5 2 2" xfId="7958" xr:uid="{00000000-0005-0000-0000-000071050000}"/>
    <cellStyle name="40% - Accent3 3 5 2 2 2" xfId="17284" xr:uid="{B6C9D911-61CA-4B4C-B08E-623995398F1F}"/>
    <cellStyle name="40% - Accent3 3 5 2 2 3" xfId="25731" xr:uid="{82D672AF-8551-4CB3-AA16-10F82B8CEB86}"/>
    <cellStyle name="40% - Accent3 3 5 2 2 4" xfId="34178" xr:uid="{B8DF38E7-0E5A-4A69-9006-67B044DBEF43}"/>
    <cellStyle name="40% - Accent3 3 5 2 3" xfId="13067" xr:uid="{29B16204-D6DF-45C8-8D80-CB7DE87098E3}"/>
    <cellStyle name="40% - Accent3 3 5 2 4" xfId="21514" xr:uid="{160995E0-ECE6-4EC5-AC52-ABE0DC9168E1}"/>
    <cellStyle name="40% - Accent3 3 5 2 5" xfId="29961" xr:uid="{B6385AF0-F73A-4C58-9421-E0A9A3D77827}"/>
    <cellStyle name="40% - Accent3 3 5 3" xfId="5813" xr:uid="{00000000-0005-0000-0000-000072050000}"/>
    <cellStyle name="40% - Accent3 3 5 3 2" xfId="15139" xr:uid="{290E47D1-6EFC-4E30-8B50-47EC31C33A4F}"/>
    <cellStyle name="40% - Accent3 3 5 3 3" xfId="23586" xr:uid="{F1C5F48C-0260-4F7D-BCF7-60D0958FA22D}"/>
    <cellStyle name="40% - Accent3 3 5 3 4" xfId="32033" xr:uid="{E8370A32-0C5E-4809-8E17-60ECBCE50265}"/>
    <cellStyle name="40% - Accent3 3 5 4" xfId="10922" xr:uid="{A0A50B7E-3C74-41BB-89E1-D9A145650778}"/>
    <cellStyle name="40% - Accent3 3 5 5" xfId="19369" xr:uid="{F7127BDA-478F-4388-B646-68FC504C86BA}"/>
    <cellStyle name="40% - Accent3 3 5 6" xfId="27816" xr:uid="{7864F6C0-F172-49FE-9630-ED2266981011}"/>
    <cellStyle name="40% - Accent3 3 6" xfId="1920" xr:uid="{00000000-0005-0000-0000-000073050000}"/>
    <cellStyle name="40% - Accent3 3 6 2" xfId="4149" xr:uid="{00000000-0005-0000-0000-000074050000}"/>
    <cellStyle name="40% - Accent3 3 6 2 2" xfId="8371" xr:uid="{00000000-0005-0000-0000-000075050000}"/>
    <cellStyle name="40% - Accent3 3 6 2 2 2" xfId="17697" xr:uid="{ABF53009-06F8-4EA9-9E40-B9ACCBED790E}"/>
    <cellStyle name="40% - Accent3 3 6 2 2 3" xfId="26144" xr:uid="{389AF16D-86D9-4685-9B6F-515D4FCBCEBF}"/>
    <cellStyle name="40% - Accent3 3 6 2 2 4" xfId="34591" xr:uid="{A228F7D8-E764-4039-BC0A-EA684736CC3E}"/>
    <cellStyle name="40% - Accent3 3 6 2 3" xfId="13480" xr:uid="{924864C6-81C5-4FFA-8D35-A6FD5D917F1C}"/>
    <cellStyle name="40% - Accent3 3 6 2 4" xfId="21927" xr:uid="{684363BF-C5C9-44B2-9857-38CD68DBB71D}"/>
    <cellStyle name="40% - Accent3 3 6 2 5" xfId="30374" xr:uid="{E151AEA6-6669-4B05-AD6E-E7D83E8119B4}"/>
    <cellStyle name="40% - Accent3 3 6 3" xfId="6226" xr:uid="{00000000-0005-0000-0000-000076050000}"/>
    <cellStyle name="40% - Accent3 3 6 3 2" xfId="15552" xr:uid="{2EF6F51F-3891-4638-943A-1DB736C69417}"/>
    <cellStyle name="40% - Accent3 3 6 3 3" xfId="23999" xr:uid="{B6D4A051-4EAB-4E92-AF16-CD80AB90511D}"/>
    <cellStyle name="40% - Accent3 3 6 3 4" xfId="32446" xr:uid="{B54BA320-7029-49CB-8523-A6AFB554E302}"/>
    <cellStyle name="40% - Accent3 3 6 4" xfId="11335" xr:uid="{9541CFBA-5FBC-4F3A-9901-1C89C7E00782}"/>
    <cellStyle name="40% - Accent3 3 6 5" xfId="19782" xr:uid="{DCD7B993-8910-487C-96E5-F9BD6B53582B}"/>
    <cellStyle name="40% - Accent3 3 6 6" xfId="28229" xr:uid="{0FFC1BEC-99E9-4399-B550-8834BCA2C53B}"/>
    <cellStyle name="40% - Accent3 3 7" xfId="2333" xr:uid="{00000000-0005-0000-0000-000077050000}"/>
    <cellStyle name="40% - Accent3 3 7 2" xfId="6639" xr:uid="{00000000-0005-0000-0000-000078050000}"/>
    <cellStyle name="40% - Accent3 3 7 2 2" xfId="15965" xr:uid="{6B0F047B-61F0-4C5E-8EC4-75FE35AFD2F5}"/>
    <cellStyle name="40% - Accent3 3 7 2 3" xfId="24412" xr:uid="{1ACCE9D7-05CF-4D15-AC98-E81189DAF8A9}"/>
    <cellStyle name="40% - Accent3 3 7 2 4" xfId="32859" xr:uid="{81DC2C48-7821-4C2F-A3E3-4348FC856B36}"/>
    <cellStyle name="40% - Accent3 3 7 3" xfId="11748" xr:uid="{12B5B59E-CC00-4B0A-9B05-30F115202A5B}"/>
    <cellStyle name="40% - Accent3 3 7 4" xfId="20195" xr:uid="{A454B875-AAD5-4AD8-A587-82AA9A60DB20}"/>
    <cellStyle name="40% - Accent3 3 7 5" xfId="28642" xr:uid="{D8C5CA7E-D2EB-496C-B9D3-50FE745E2193}"/>
    <cellStyle name="40% - Accent3 3 8" xfId="4573" xr:uid="{00000000-0005-0000-0000-000079050000}"/>
    <cellStyle name="40% - Accent3 3 8 2" xfId="13899" xr:uid="{36AA8621-E3A6-4194-9601-6DB1CA2AE1C0}"/>
    <cellStyle name="40% - Accent3 3 8 3" xfId="22346" xr:uid="{3E476D6B-CDFA-485C-8744-5E401EE5624A}"/>
    <cellStyle name="40% - Accent3 3 8 4" xfId="30793" xr:uid="{372985D7-5F47-437F-BD84-FC15CCD4C146}"/>
    <cellStyle name="40% - Accent3 3 9" xfId="8866" xr:uid="{1A1EF43E-4A2B-42A8-98A3-CEC34DD3B00D}"/>
    <cellStyle name="40% - Accent3 4" xfId="72" xr:uid="{00000000-0005-0000-0000-00007A050000}"/>
    <cellStyle name="40% - Accent3 4 10" xfId="18131" xr:uid="{59A8A3C1-F746-40C9-8C31-E07AB3CE63E2}"/>
    <cellStyle name="40% - Accent3 4 11" xfId="26578" xr:uid="{9FA46F6D-6D5D-4A6C-8800-B70A2FAFAE5D}"/>
    <cellStyle name="40% - Accent3 4 2" xfId="641" xr:uid="{00000000-0005-0000-0000-00007B050000}"/>
    <cellStyle name="40% - Accent3 4 2 2" xfId="2912" xr:uid="{00000000-0005-0000-0000-00007C050000}"/>
    <cellStyle name="40% - Accent3 4 2 2 2" xfId="7134" xr:uid="{00000000-0005-0000-0000-00007D050000}"/>
    <cellStyle name="40% - Accent3 4 2 2 2 2" xfId="16460" xr:uid="{F8E250DE-02A5-4806-B74E-32BDD87A9185}"/>
    <cellStyle name="40% - Accent3 4 2 2 2 3" xfId="24907" xr:uid="{47418C79-1D2D-48AB-86EA-5153BB7DE0FE}"/>
    <cellStyle name="40% - Accent3 4 2 2 2 4" xfId="33354" xr:uid="{4F717177-9650-4684-857B-511310372B0C}"/>
    <cellStyle name="40% - Accent3 4 2 2 3" xfId="12243" xr:uid="{89CD43F2-6DB3-45F4-B329-11FB8FEEA39F}"/>
    <cellStyle name="40% - Accent3 4 2 2 4" xfId="20690" xr:uid="{4C544F33-A0A9-4E70-B2D0-5836F36773E9}"/>
    <cellStyle name="40% - Accent3 4 2 2 5" xfId="29137" xr:uid="{B351EE25-7D34-4FA5-ADF5-FF03466BEB74}"/>
    <cellStyle name="40% - Accent3 4 2 3" xfId="4989" xr:uid="{00000000-0005-0000-0000-00007E050000}"/>
    <cellStyle name="40% - Accent3 4 2 3 2" xfId="14315" xr:uid="{8C6B47DA-72F7-4AF0-A3F2-29F79EC8D346}"/>
    <cellStyle name="40% - Accent3 4 2 3 3" xfId="22762" xr:uid="{10C7FEA1-46E9-4545-9F07-D80149567496}"/>
    <cellStyle name="40% - Accent3 4 2 3 4" xfId="31209" xr:uid="{069C9844-C732-455E-B48D-0F61A5A7E084}"/>
    <cellStyle name="40% - Accent3 4 2 4" xfId="9377" xr:uid="{F4393833-4E73-4685-9332-CF918D5239A9}"/>
    <cellStyle name="40% - Accent3 4 2 5" xfId="10098" xr:uid="{5EB8C3B4-7409-49F5-A1B4-61E2F8B8205B}"/>
    <cellStyle name="40% - Accent3 4 2 6" xfId="18545" xr:uid="{484850CA-F950-4136-B1E3-1F01E836F994}"/>
    <cellStyle name="40% - Accent3 4 2 7" xfId="26992" xr:uid="{80FB3F96-EE8D-4B16-8594-A7CCE2D3603D}"/>
    <cellStyle name="40% - Accent3 4 3" xfId="1094" xr:uid="{00000000-0005-0000-0000-00007F050000}"/>
    <cellStyle name="40% - Accent3 4 3 2" xfId="3325" xr:uid="{00000000-0005-0000-0000-000080050000}"/>
    <cellStyle name="40% - Accent3 4 3 2 2" xfId="7547" xr:uid="{00000000-0005-0000-0000-000081050000}"/>
    <cellStyle name="40% - Accent3 4 3 2 2 2" xfId="16873" xr:uid="{02550D48-87FC-4778-9317-75B22440034F}"/>
    <cellStyle name="40% - Accent3 4 3 2 2 3" xfId="25320" xr:uid="{487AFEF2-34AE-426C-8363-B50DBF997879}"/>
    <cellStyle name="40% - Accent3 4 3 2 2 4" xfId="33767" xr:uid="{15E65762-F5CD-4232-8059-A102F71DED28}"/>
    <cellStyle name="40% - Accent3 4 3 2 3" xfId="12656" xr:uid="{9E03CB83-B4EC-4566-B7B2-29E528044A78}"/>
    <cellStyle name="40% - Accent3 4 3 2 4" xfId="21103" xr:uid="{085DB9AB-01E1-41D4-B349-41712D7ED089}"/>
    <cellStyle name="40% - Accent3 4 3 2 5" xfId="29550" xr:uid="{BA2532AF-F005-4EAA-B48A-D3C6C81068A9}"/>
    <cellStyle name="40% - Accent3 4 3 3" xfId="5402" xr:uid="{00000000-0005-0000-0000-000082050000}"/>
    <cellStyle name="40% - Accent3 4 3 3 2" xfId="14728" xr:uid="{A06F7B32-6D8E-4191-B384-FCE7B49DE6AE}"/>
    <cellStyle name="40% - Accent3 4 3 3 3" xfId="23175" xr:uid="{229989CA-9ACF-4330-99FC-42EA002E1704}"/>
    <cellStyle name="40% - Accent3 4 3 3 4" xfId="31622" xr:uid="{6F384524-66DD-4D3D-99AD-C689DBB0BD3B}"/>
    <cellStyle name="40% - Accent3 4 3 4" xfId="10511" xr:uid="{78C487DD-76A8-45F0-B692-907514F7FDDB}"/>
    <cellStyle name="40% - Accent3 4 3 5" xfId="18958" xr:uid="{F7BFE3BE-0EC4-4081-8753-A2CBF231F60D}"/>
    <cellStyle name="40% - Accent3 4 3 6" xfId="27405" xr:uid="{C23DD7FC-5D03-4404-BAFC-CD050665C99A}"/>
    <cellStyle name="40% - Accent3 4 4" xfId="1508" xr:uid="{00000000-0005-0000-0000-000083050000}"/>
    <cellStyle name="40% - Accent3 4 4 2" xfId="3738" xr:uid="{00000000-0005-0000-0000-000084050000}"/>
    <cellStyle name="40% - Accent3 4 4 2 2" xfId="7960" xr:uid="{00000000-0005-0000-0000-000085050000}"/>
    <cellStyle name="40% - Accent3 4 4 2 2 2" xfId="17286" xr:uid="{759CFDA5-17AB-4645-895D-13FB093150FB}"/>
    <cellStyle name="40% - Accent3 4 4 2 2 3" xfId="25733" xr:uid="{787EFE2A-A709-4978-9281-D3BD53307E15}"/>
    <cellStyle name="40% - Accent3 4 4 2 2 4" xfId="34180" xr:uid="{33D0562D-2C5E-4BC0-B6B0-3660D7E8D8C9}"/>
    <cellStyle name="40% - Accent3 4 4 2 3" xfId="13069" xr:uid="{FAA3D5F9-48D3-4ACC-8045-94430C75CB80}"/>
    <cellStyle name="40% - Accent3 4 4 2 4" xfId="21516" xr:uid="{708BD53C-3072-418C-9B2E-FC00834FC5DD}"/>
    <cellStyle name="40% - Accent3 4 4 2 5" xfId="29963" xr:uid="{BCCAF71E-2368-4D12-8406-54F804C2C363}"/>
    <cellStyle name="40% - Accent3 4 4 3" xfId="5815" xr:uid="{00000000-0005-0000-0000-000086050000}"/>
    <cellStyle name="40% - Accent3 4 4 3 2" xfId="15141" xr:uid="{D8BB66B5-AE62-463C-A085-A820A608FC90}"/>
    <cellStyle name="40% - Accent3 4 4 3 3" xfId="23588" xr:uid="{88E2F44C-B11D-4AC2-9685-1EF4D1BF8125}"/>
    <cellStyle name="40% - Accent3 4 4 3 4" xfId="32035" xr:uid="{77CDAEF7-C1A2-466A-9A6F-C7D0ACA1B168}"/>
    <cellStyle name="40% - Accent3 4 4 4" xfId="10924" xr:uid="{90A8C5A4-521B-4F4A-A96B-B80D6C4825CA}"/>
    <cellStyle name="40% - Accent3 4 4 5" xfId="19371" xr:uid="{CEF034A6-2C40-4B7F-AE00-B3E256EF52EB}"/>
    <cellStyle name="40% - Accent3 4 4 6" xfId="27818" xr:uid="{D8F6AF27-61FF-48AD-BE01-BD1102AE9638}"/>
    <cellStyle name="40% - Accent3 4 5" xfId="1922" xr:uid="{00000000-0005-0000-0000-000087050000}"/>
    <cellStyle name="40% - Accent3 4 5 2" xfId="4151" xr:uid="{00000000-0005-0000-0000-000088050000}"/>
    <cellStyle name="40% - Accent3 4 5 2 2" xfId="8373" xr:uid="{00000000-0005-0000-0000-000089050000}"/>
    <cellStyle name="40% - Accent3 4 5 2 2 2" xfId="17699" xr:uid="{CD4C0D41-07EC-49A0-99CE-B9A3B7E2D7C4}"/>
    <cellStyle name="40% - Accent3 4 5 2 2 3" xfId="26146" xr:uid="{79A37EB7-975D-4534-92D1-EBF65E334CEE}"/>
    <cellStyle name="40% - Accent3 4 5 2 2 4" xfId="34593" xr:uid="{804DE9C9-C9CE-443F-9F3D-27498A584E0F}"/>
    <cellStyle name="40% - Accent3 4 5 2 3" xfId="13482" xr:uid="{DA91C871-4960-409E-BDF8-9BF4C7CC32CC}"/>
    <cellStyle name="40% - Accent3 4 5 2 4" xfId="21929" xr:uid="{36D3909E-CDB8-45B0-A362-703F65AD0511}"/>
    <cellStyle name="40% - Accent3 4 5 2 5" xfId="30376" xr:uid="{BF5CA869-ADCF-4ADF-92B3-121DD5E20496}"/>
    <cellStyle name="40% - Accent3 4 5 3" xfId="6228" xr:uid="{00000000-0005-0000-0000-00008A050000}"/>
    <cellStyle name="40% - Accent3 4 5 3 2" xfId="15554" xr:uid="{FD1F4AFC-FF3B-4D75-A476-0FC60A251E28}"/>
    <cellStyle name="40% - Accent3 4 5 3 3" xfId="24001" xr:uid="{BD210122-5B06-4D3C-9BF9-1BD0C1AFE42A}"/>
    <cellStyle name="40% - Accent3 4 5 3 4" xfId="32448" xr:uid="{96C54CC6-89D7-45D4-8751-7EED5E68D9FD}"/>
    <cellStyle name="40% - Accent3 4 5 4" xfId="11337" xr:uid="{C8B03A3A-18CB-4488-A414-6F43DFA5C654}"/>
    <cellStyle name="40% - Accent3 4 5 5" xfId="19784" xr:uid="{B1797318-944C-46BE-9EFB-3126E564B9FE}"/>
    <cellStyle name="40% - Accent3 4 5 6" xfId="28231" xr:uid="{DC74F3C6-2876-455E-8794-44AD4DF8E3EF}"/>
    <cellStyle name="40% - Accent3 4 6" xfId="2335" xr:uid="{00000000-0005-0000-0000-00008B050000}"/>
    <cellStyle name="40% - Accent3 4 6 2" xfId="6641" xr:uid="{00000000-0005-0000-0000-00008C050000}"/>
    <cellStyle name="40% - Accent3 4 6 2 2" xfId="15967" xr:uid="{3F07219F-32FC-4DBC-B6B8-B1470578BC1A}"/>
    <cellStyle name="40% - Accent3 4 6 2 3" xfId="24414" xr:uid="{4BEE0C40-65B6-4B11-A269-22D3DE1C4488}"/>
    <cellStyle name="40% - Accent3 4 6 2 4" xfId="32861" xr:uid="{2BCB4AD6-FD1A-4F3A-96F7-6D9F8FD37056}"/>
    <cellStyle name="40% - Accent3 4 6 3" xfId="11750" xr:uid="{1E77428F-A14F-4DCD-85EB-3090183114B4}"/>
    <cellStyle name="40% - Accent3 4 6 4" xfId="20197" xr:uid="{5FB66708-EBC4-430A-9EFF-99E6E6742DEB}"/>
    <cellStyle name="40% - Accent3 4 6 5" xfId="28644" xr:uid="{BFAE567D-B85C-4255-9623-2277B24A923D}"/>
    <cellStyle name="40% - Accent3 4 7" xfId="4575" xr:uid="{00000000-0005-0000-0000-00008D050000}"/>
    <cellStyle name="40% - Accent3 4 7 2" xfId="13901" xr:uid="{A88039CA-801E-4C74-8843-AD2F093084F3}"/>
    <cellStyle name="40% - Accent3 4 7 3" xfId="22348" xr:uid="{6C9ED70D-488C-4CFB-811D-1D73928D97E3}"/>
    <cellStyle name="40% - Accent3 4 7 4" xfId="30795" xr:uid="{655E5C66-3E38-4B0C-AAB5-95A85EBD5116}"/>
    <cellStyle name="40% - Accent3 4 8" xfId="8952" xr:uid="{74BF8F1E-4A34-4787-9BA1-0B97E446635F}"/>
    <cellStyle name="40% - Accent3 4 9" xfId="9684" xr:uid="{7D37155E-7604-4047-A942-E04B3AC1BC39}"/>
    <cellStyle name="40% - Accent3 5" xfId="634" xr:uid="{00000000-0005-0000-0000-00008E050000}"/>
    <cellStyle name="40% - Accent3 5 2" xfId="2905" xr:uid="{00000000-0005-0000-0000-00008F050000}"/>
    <cellStyle name="40% - Accent3 5 2 2" xfId="7127" xr:uid="{00000000-0005-0000-0000-000090050000}"/>
    <cellStyle name="40% - Accent3 5 2 2 2" xfId="16453" xr:uid="{B7F5FB07-8D3C-4D17-B5A3-0AC4E5538784}"/>
    <cellStyle name="40% - Accent3 5 2 2 3" xfId="24900" xr:uid="{4352DB3B-5E97-4CC3-981B-001B0D819A9E}"/>
    <cellStyle name="40% - Accent3 5 2 2 4" xfId="33347" xr:uid="{2F397C48-307A-491E-A565-8BF73959E44D}"/>
    <cellStyle name="40% - Accent3 5 2 3" xfId="12236" xr:uid="{827789E6-D416-406A-9BF1-33F6C26EEA75}"/>
    <cellStyle name="40% - Accent3 5 2 4" xfId="20683" xr:uid="{E719E77E-2C84-475D-9752-105C89BAB690}"/>
    <cellStyle name="40% - Accent3 5 2 5" xfId="29130" xr:uid="{897A278C-B7B0-4CF3-B18D-C61D7E3C350E}"/>
    <cellStyle name="40% - Accent3 5 3" xfId="4982" xr:uid="{00000000-0005-0000-0000-000091050000}"/>
    <cellStyle name="40% - Accent3 5 3 2" xfId="14308" xr:uid="{25B2117E-36BD-4956-AA55-F81FF0FA2933}"/>
    <cellStyle name="40% - Accent3 5 3 3" xfId="22755" xr:uid="{1BC6D2B3-0760-4879-B408-1D4DF7712DF3}"/>
    <cellStyle name="40% - Accent3 5 3 4" xfId="31202" xr:uid="{617CE7A0-831F-4B3A-B333-5D3C8C55819A}"/>
    <cellStyle name="40% - Accent3 5 4" xfId="9185" xr:uid="{526F025D-EBF7-4976-9E38-4C0631A2843B}"/>
    <cellStyle name="40% - Accent3 5 5" xfId="10091" xr:uid="{E255A2E9-BBCA-4EC8-9BF9-0AE08A7729C1}"/>
    <cellStyle name="40% - Accent3 5 6" xfId="18538" xr:uid="{D7D10D46-3160-4034-81DF-E08E1A93136C}"/>
    <cellStyle name="40% - Accent3 5 7" xfId="26985" xr:uid="{3B821F67-7FC7-420F-AA0E-7C528073D1A0}"/>
    <cellStyle name="40% - Accent3 6" xfId="1087" xr:uid="{00000000-0005-0000-0000-000092050000}"/>
    <cellStyle name="40% - Accent3 6 2" xfId="3318" xr:uid="{00000000-0005-0000-0000-000093050000}"/>
    <cellStyle name="40% - Accent3 6 2 2" xfId="7540" xr:uid="{00000000-0005-0000-0000-000094050000}"/>
    <cellStyle name="40% - Accent3 6 2 2 2" xfId="16866" xr:uid="{D04869DD-7764-4F6E-93AF-6CC51227E9F6}"/>
    <cellStyle name="40% - Accent3 6 2 2 3" xfId="25313" xr:uid="{C46E0963-D1ED-43C4-A3AA-BDF7BFF44955}"/>
    <cellStyle name="40% - Accent3 6 2 2 4" xfId="33760" xr:uid="{750430BC-0648-431F-B82D-E495DE2A997D}"/>
    <cellStyle name="40% - Accent3 6 2 3" xfId="12649" xr:uid="{5038EBA8-510D-4DD3-A7A3-50A1E40BC78F}"/>
    <cellStyle name="40% - Accent3 6 2 4" xfId="21096" xr:uid="{C22F06D8-B355-4464-BCD7-F896DF6E379A}"/>
    <cellStyle name="40% - Accent3 6 2 5" xfId="29543" xr:uid="{E2B80936-7DCF-4FC0-8FC6-AE79A4CAC8F6}"/>
    <cellStyle name="40% - Accent3 6 3" xfId="5395" xr:uid="{00000000-0005-0000-0000-000095050000}"/>
    <cellStyle name="40% - Accent3 6 3 2" xfId="14721" xr:uid="{86AD3125-D13A-4182-996A-A8EC92E13EF4}"/>
    <cellStyle name="40% - Accent3 6 3 3" xfId="23168" xr:uid="{CE402DF0-90BF-476B-9562-6D3F7768BA1A}"/>
    <cellStyle name="40% - Accent3 6 3 4" xfId="31615" xr:uid="{9CB5C272-45B0-42EC-88A2-5BDFF45A2CD8}"/>
    <cellStyle name="40% - Accent3 6 4" xfId="10504" xr:uid="{6B3DF397-E6DC-418C-9316-E8D1DF021F2A}"/>
    <cellStyle name="40% - Accent3 6 5" xfId="18951" xr:uid="{301AD70B-8C43-4CC1-9F85-6911DAB87832}"/>
    <cellStyle name="40% - Accent3 6 6" xfId="27398" xr:uid="{55E1B470-6E15-40B0-90A0-60C72A937EA9}"/>
    <cellStyle name="40% - Accent3 7" xfId="1501" xr:uid="{00000000-0005-0000-0000-000096050000}"/>
    <cellStyle name="40% - Accent3 7 2" xfId="3731" xr:uid="{00000000-0005-0000-0000-000097050000}"/>
    <cellStyle name="40% - Accent3 7 2 2" xfId="7953" xr:uid="{00000000-0005-0000-0000-000098050000}"/>
    <cellStyle name="40% - Accent3 7 2 2 2" xfId="17279" xr:uid="{23D51A60-7846-4748-999E-627DB3C03B73}"/>
    <cellStyle name="40% - Accent3 7 2 2 3" xfId="25726" xr:uid="{BFD655DA-B5AF-47B5-B786-5A5D2996DEC4}"/>
    <cellStyle name="40% - Accent3 7 2 2 4" xfId="34173" xr:uid="{EA21231D-5066-40FD-AEB2-394AF423DA25}"/>
    <cellStyle name="40% - Accent3 7 2 3" xfId="13062" xr:uid="{9B5DC7BB-1884-4219-8D43-3095A55DF3CB}"/>
    <cellStyle name="40% - Accent3 7 2 4" xfId="21509" xr:uid="{73511A84-E973-406C-B305-76475C63CB01}"/>
    <cellStyle name="40% - Accent3 7 2 5" xfId="29956" xr:uid="{75F5557B-B83D-42D3-86E1-5173ED92C79A}"/>
    <cellStyle name="40% - Accent3 7 3" xfId="5808" xr:uid="{00000000-0005-0000-0000-000099050000}"/>
    <cellStyle name="40% - Accent3 7 3 2" xfId="15134" xr:uid="{EA1DE965-0625-4FFB-B6E2-9857E6317A1E}"/>
    <cellStyle name="40% - Accent3 7 3 3" xfId="23581" xr:uid="{6D3A5552-9911-4A29-AC1B-1BC0EF9A2924}"/>
    <cellStyle name="40% - Accent3 7 3 4" xfId="32028" xr:uid="{08DED75C-F483-46F0-96C1-EFD8B6E06AFB}"/>
    <cellStyle name="40% - Accent3 7 4" xfId="10917" xr:uid="{59BE0EEB-7C07-47B2-9832-3E33D861676F}"/>
    <cellStyle name="40% - Accent3 7 5" xfId="19364" xr:uid="{C6815942-47FF-498B-9578-EA8C78EFC347}"/>
    <cellStyle name="40% - Accent3 7 6" xfId="27811" xr:uid="{2B426D4D-7E81-4821-8685-7A852DD3937F}"/>
    <cellStyle name="40% - Accent3 8" xfId="1915" xr:uid="{00000000-0005-0000-0000-00009A050000}"/>
    <cellStyle name="40% - Accent3 8 2" xfId="4144" xr:uid="{00000000-0005-0000-0000-00009B050000}"/>
    <cellStyle name="40% - Accent3 8 2 2" xfId="8366" xr:uid="{00000000-0005-0000-0000-00009C050000}"/>
    <cellStyle name="40% - Accent3 8 2 2 2" xfId="17692" xr:uid="{758B8F6D-7F0F-46C8-A0EC-8DBF7B7E709D}"/>
    <cellStyle name="40% - Accent3 8 2 2 3" xfId="26139" xr:uid="{D3EFCC0E-3142-4B0C-A7D7-0CF880F2C662}"/>
    <cellStyle name="40% - Accent3 8 2 2 4" xfId="34586" xr:uid="{C45E0469-8983-4850-8CB2-463FCDD28A08}"/>
    <cellStyle name="40% - Accent3 8 2 3" xfId="13475" xr:uid="{8C9EA1E3-4571-4492-B35E-0B37D3F79653}"/>
    <cellStyle name="40% - Accent3 8 2 4" xfId="21922" xr:uid="{37962629-43F8-4EF8-8238-370536F67C4E}"/>
    <cellStyle name="40% - Accent3 8 2 5" xfId="30369" xr:uid="{EAC8A78A-197E-4CB5-85FE-10998208981C}"/>
    <cellStyle name="40% - Accent3 8 3" xfId="6221" xr:uid="{00000000-0005-0000-0000-00009D050000}"/>
    <cellStyle name="40% - Accent3 8 3 2" xfId="15547" xr:uid="{81F3944F-B91F-4772-8565-AE921D69DC91}"/>
    <cellStyle name="40% - Accent3 8 3 3" xfId="23994" xr:uid="{1A6C06B1-12F7-4D13-A1E7-752719A4F567}"/>
    <cellStyle name="40% - Accent3 8 3 4" xfId="32441" xr:uid="{F2E43415-8D7E-46C8-B03F-8C359506500D}"/>
    <cellStyle name="40% - Accent3 8 4" xfId="11330" xr:uid="{E287F6AD-0A65-4F3C-98F1-780B0A99FCC4}"/>
    <cellStyle name="40% - Accent3 8 5" xfId="19777" xr:uid="{0205510A-C039-4CBC-A30F-56370871C4C4}"/>
    <cellStyle name="40% - Accent3 8 6" xfId="28224" xr:uid="{1C3D1083-04D0-480E-9ABC-8CF1646ACF88}"/>
    <cellStyle name="40% - Accent3 9" xfId="2328" xr:uid="{00000000-0005-0000-0000-00009E050000}"/>
    <cellStyle name="40% - Accent3 9 2" xfId="6634" xr:uid="{00000000-0005-0000-0000-00009F050000}"/>
    <cellStyle name="40% - Accent3 9 2 2" xfId="15960" xr:uid="{3150B3A5-1DFE-409E-9F1E-1DB823B2D536}"/>
    <cellStyle name="40% - Accent3 9 2 3" xfId="24407" xr:uid="{31FAAA6F-2D65-49BB-A393-F3B789A99F8B}"/>
    <cellStyle name="40% - Accent3 9 2 4" xfId="32854" xr:uid="{9ED40BB7-D227-473B-8627-DB62785A08B3}"/>
    <cellStyle name="40% - Accent3 9 3" xfId="11743" xr:uid="{301A2D3D-2173-4C4F-A336-57E50290A879}"/>
    <cellStyle name="40% - Accent3 9 4" xfId="20190" xr:uid="{2B6CBC49-AA68-4E3C-9845-BDF598C5584B}"/>
    <cellStyle name="40% - Accent3 9 5" xfId="28637" xr:uid="{6909DA06-2660-48FA-9C23-AE4A7CE4D3F0}"/>
    <cellStyle name="40% - Accent4" xfId="73" builtinId="43" customBuiltin="1"/>
    <cellStyle name="40% - Accent4 10" xfId="4576" xr:uid="{00000000-0005-0000-0000-0000A1050000}"/>
    <cellStyle name="40% - Accent4 10 2" xfId="13902" xr:uid="{4E4725D7-04BD-4E7D-88C9-56289DFE6B77}"/>
    <cellStyle name="40% - Accent4 10 3" xfId="22349" xr:uid="{9210FB17-70BA-45C7-B0DA-CABC5C835975}"/>
    <cellStyle name="40% - Accent4 10 4" xfId="30796" xr:uid="{53D2A3C8-D27C-4FCB-AE7E-3561E6B06F08}"/>
    <cellStyle name="40% - Accent4 11" xfId="8765" xr:uid="{18B6B6D6-5043-43D1-BB02-3855BF7027C3}"/>
    <cellStyle name="40% - Accent4 12" xfId="9685" xr:uid="{CF7A251B-24EA-44C4-8B6D-1C1A918E6DF3}"/>
    <cellStyle name="40% - Accent4 13" xfId="18132" xr:uid="{91449449-9632-408C-8363-5FCA95A4B2A2}"/>
    <cellStyle name="40% - Accent4 14" xfId="26579" xr:uid="{8652284D-E330-4C5B-AEF7-DC8D0391C879}"/>
    <cellStyle name="40% - Accent4 2" xfId="74" xr:uid="{00000000-0005-0000-0000-0000A2050000}"/>
    <cellStyle name="40% - Accent4 2 10" xfId="8801" xr:uid="{223FCC58-A05E-4022-8080-E75A80678FA6}"/>
    <cellStyle name="40% - Accent4 2 11" xfId="9686" xr:uid="{1E554865-CE81-479F-BCA6-31F3A61BC721}"/>
    <cellStyle name="40% - Accent4 2 12" xfId="18133" xr:uid="{6008AE46-FBC7-417D-84DC-9178B442A206}"/>
    <cellStyle name="40% - Accent4 2 13" xfId="26580" xr:uid="{D5A94555-FD73-4CE4-9247-FE489F54805C}"/>
    <cellStyle name="40% - Accent4 2 2" xfId="75" xr:uid="{00000000-0005-0000-0000-0000A3050000}"/>
    <cellStyle name="40% - Accent4 2 2 10" xfId="9687" xr:uid="{04B7C10B-F680-480B-893F-7187B00320DF}"/>
    <cellStyle name="40% - Accent4 2 2 11" xfId="18134" xr:uid="{3F522CB3-2405-4CA9-8B08-54A59602C95F}"/>
    <cellStyle name="40% - Accent4 2 2 12" xfId="26581" xr:uid="{74840CD1-BD4F-4EBD-A9A8-61498A99F675}"/>
    <cellStyle name="40% - Accent4 2 2 2" xfId="76" xr:uid="{00000000-0005-0000-0000-0000A4050000}"/>
    <cellStyle name="40% - Accent4 2 2 2 10" xfId="18135" xr:uid="{8DC559AD-9512-4DDA-B4F6-B8E8462DF379}"/>
    <cellStyle name="40% - Accent4 2 2 2 11" xfId="26582" xr:uid="{6F79ED83-C16F-4777-8FA2-A207B34688E9}"/>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16464" xr:uid="{BC76E228-BE9B-4ADB-A2AD-AA34139D6939}"/>
    <cellStyle name="40% - Accent4 2 2 2 2 2 2 3" xfId="24911" xr:uid="{DDB14306-4143-4734-ADEF-6F48E2CC91CD}"/>
    <cellStyle name="40% - Accent4 2 2 2 2 2 2 4" xfId="33358" xr:uid="{68265090-94FC-44CB-9242-C0C1155DC9E0}"/>
    <cellStyle name="40% - Accent4 2 2 2 2 2 3" xfId="12247" xr:uid="{A7021B72-4627-4720-A34B-6AF21C9DAC87}"/>
    <cellStyle name="40% - Accent4 2 2 2 2 2 4" xfId="20694" xr:uid="{4403763A-86DC-4947-9ABD-E6A987F5FA8B}"/>
    <cellStyle name="40% - Accent4 2 2 2 2 2 5" xfId="29141" xr:uid="{B647C84A-4140-4A38-AB0E-3EAFE129B92E}"/>
    <cellStyle name="40% - Accent4 2 2 2 2 3" xfId="4993" xr:uid="{00000000-0005-0000-0000-0000A8050000}"/>
    <cellStyle name="40% - Accent4 2 2 2 2 3 2" xfId="14319" xr:uid="{4C773804-C823-4112-8616-F2E37E0CD44F}"/>
    <cellStyle name="40% - Accent4 2 2 2 2 3 3" xfId="22766" xr:uid="{CE24D512-92D5-46F7-B4FD-868DE7E5CC55}"/>
    <cellStyle name="40% - Accent4 2 2 2 2 3 4" xfId="31213" xr:uid="{3C18C974-2088-417B-AD30-FEEC5ABE380F}"/>
    <cellStyle name="40% - Accent4 2 2 2 2 4" xfId="9536" xr:uid="{4351D24F-CE30-4CFD-968F-4B882F0FC9B5}"/>
    <cellStyle name="40% - Accent4 2 2 2 2 5" xfId="10102" xr:uid="{6372A2F8-A671-4A8B-9197-42CE91A21212}"/>
    <cellStyle name="40% - Accent4 2 2 2 2 6" xfId="18549" xr:uid="{6FA0B280-DF58-4F56-92A0-4D86FAA75FC0}"/>
    <cellStyle name="40% - Accent4 2 2 2 2 7" xfId="26996" xr:uid="{9E7AEC17-25EC-407D-811D-BB860878BAFD}"/>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16877" xr:uid="{10D9B743-932D-41CD-BAFC-3FA5AAE44D34}"/>
    <cellStyle name="40% - Accent4 2 2 2 3 2 2 3" xfId="25324" xr:uid="{F5C1C124-A0E5-4BBA-AA4B-902CDE37B384}"/>
    <cellStyle name="40% - Accent4 2 2 2 3 2 2 4" xfId="33771" xr:uid="{BE590BB3-3B3C-4A83-BFC0-C9CE0B6774E8}"/>
    <cellStyle name="40% - Accent4 2 2 2 3 2 3" xfId="12660" xr:uid="{39CBDD19-4D6C-4C05-958F-5CC8D335C1C5}"/>
    <cellStyle name="40% - Accent4 2 2 2 3 2 4" xfId="21107" xr:uid="{14A50F51-5EC0-4B20-B502-379C3FF7D908}"/>
    <cellStyle name="40% - Accent4 2 2 2 3 2 5" xfId="29554" xr:uid="{4015E14A-20CA-4CEE-B70F-4672826CE5DE}"/>
    <cellStyle name="40% - Accent4 2 2 2 3 3" xfId="5406" xr:uid="{00000000-0005-0000-0000-0000AC050000}"/>
    <cellStyle name="40% - Accent4 2 2 2 3 3 2" xfId="14732" xr:uid="{1E8F2F6C-1C1B-43DC-A926-63FA09E1290B}"/>
    <cellStyle name="40% - Accent4 2 2 2 3 3 3" xfId="23179" xr:uid="{EAD79271-0351-4F69-8823-A144A880350E}"/>
    <cellStyle name="40% - Accent4 2 2 2 3 3 4" xfId="31626" xr:uid="{0E0A663D-07DD-4451-9C63-BF4D6483967E}"/>
    <cellStyle name="40% - Accent4 2 2 2 3 4" xfId="10515" xr:uid="{3E62B1E9-EFBD-4412-AA56-F6D5478F4407}"/>
    <cellStyle name="40% - Accent4 2 2 2 3 5" xfId="18962" xr:uid="{E6E7059F-D5D5-4D52-BE27-6BA6986BC20B}"/>
    <cellStyle name="40% - Accent4 2 2 2 3 6" xfId="27409" xr:uid="{A618AECF-0FFD-4ACF-9033-C89085D91386}"/>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17290" xr:uid="{C4524021-DCC1-4832-9DA3-62AF83B0E7DD}"/>
    <cellStyle name="40% - Accent4 2 2 2 4 2 2 3" xfId="25737" xr:uid="{1F96D1E8-5E65-43CB-9D8F-E9C6E6EDC544}"/>
    <cellStyle name="40% - Accent4 2 2 2 4 2 2 4" xfId="34184" xr:uid="{BC53DC6F-4E69-4C2B-817A-108D2BA09BBD}"/>
    <cellStyle name="40% - Accent4 2 2 2 4 2 3" xfId="13073" xr:uid="{710C38BC-D45D-4508-85A2-3A83869469EF}"/>
    <cellStyle name="40% - Accent4 2 2 2 4 2 4" xfId="21520" xr:uid="{1D126103-3F0A-4881-B5B4-9F0FC4FA646E}"/>
    <cellStyle name="40% - Accent4 2 2 2 4 2 5" xfId="29967" xr:uid="{3F766158-7D5F-457B-8C7B-1E27696F1F0B}"/>
    <cellStyle name="40% - Accent4 2 2 2 4 3" xfId="5819" xr:uid="{00000000-0005-0000-0000-0000B0050000}"/>
    <cellStyle name="40% - Accent4 2 2 2 4 3 2" xfId="15145" xr:uid="{A9FDCBC9-E1AD-43F8-B6AC-91654D2BF631}"/>
    <cellStyle name="40% - Accent4 2 2 2 4 3 3" xfId="23592" xr:uid="{BA09D653-DBE0-4C8D-9E46-8A14F0DAC6ED}"/>
    <cellStyle name="40% - Accent4 2 2 2 4 3 4" xfId="32039" xr:uid="{93D94C59-6842-49C0-817E-5FACA62DE000}"/>
    <cellStyle name="40% - Accent4 2 2 2 4 4" xfId="10928" xr:uid="{F60B8244-02BD-4F92-A129-0893DA8BA860}"/>
    <cellStyle name="40% - Accent4 2 2 2 4 5" xfId="19375" xr:uid="{5F47A827-2C87-4EE8-80A5-E51E72F555BE}"/>
    <cellStyle name="40% - Accent4 2 2 2 4 6" xfId="27822" xr:uid="{F3A9C418-C57C-4096-9D72-981AFA3DE297}"/>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17703" xr:uid="{081C8A83-A68E-4817-8F26-E7A4C016D0DD}"/>
    <cellStyle name="40% - Accent4 2 2 2 5 2 2 3" xfId="26150" xr:uid="{B67C3A08-74AB-4BB9-A712-73DA3396EB06}"/>
    <cellStyle name="40% - Accent4 2 2 2 5 2 2 4" xfId="34597" xr:uid="{1937D076-3BEE-4C95-9D31-7DC1E345DA8C}"/>
    <cellStyle name="40% - Accent4 2 2 2 5 2 3" xfId="13486" xr:uid="{F5D32F38-A026-4E48-B772-7677DEBF0109}"/>
    <cellStyle name="40% - Accent4 2 2 2 5 2 4" xfId="21933" xr:uid="{2B5953CA-2685-4B98-B2AE-B62A92F8C5CE}"/>
    <cellStyle name="40% - Accent4 2 2 2 5 2 5" xfId="30380" xr:uid="{EDB1ECBB-DFC1-49C0-84A2-A8F9AFBA7D68}"/>
    <cellStyle name="40% - Accent4 2 2 2 5 3" xfId="6232" xr:uid="{00000000-0005-0000-0000-0000B4050000}"/>
    <cellStyle name="40% - Accent4 2 2 2 5 3 2" xfId="15558" xr:uid="{A1B0894E-6C98-4088-941D-67919602A42E}"/>
    <cellStyle name="40% - Accent4 2 2 2 5 3 3" xfId="24005" xr:uid="{81E43536-5173-44AD-A9D9-9E3D0B469371}"/>
    <cellStyle name="40% - Accent4 2 2 2 5 3 4" xfId="32452" xr:uid="{8C6C2E56-A99A-4569-992A-1748B8A4E84F}"/>
    <cellStyle name="40% - Accent4 2 2 2 5 4" xfId="11341" xr:uid="{7433E729-8FA8-4D0C-823C-22FF100866F4}"/>
    <cellStyle name="40% - Accent4 2 2 2 5 5" xfId="19788" xr:uid="{40876C48-2F39-4443-B042-0C9CF0E2A1D7}"/>
    <cellStyle name="40% - Accent4 2 2 2 5 6" xfId="28235" xr:uid="{5E7E48C1-8F51-483F-BC2D-96AEB6E6D651}"/>
    <cellStyle name="40% - Accent4 2 2 2 6" xfId="2339" xr:uid="{00000000-0005-0000-0000-0000B5050000}"/>
    <cellStyle name="40% - Accent4 2 2 2 6 2" xfId="6645" xr:uid="{00000000-0005-0000-0000-0000B6050000}"/>
    <cellStyle name="40% - Accent4 2 2 2 6 2 2" xfId="15971" xr:uid="{1788ED6A-D099-4E98-B4B5-4EB966FDF832}"/>
    <cellStyle name="40% - Accent4 2 2 2 6 2 3" xfId="24418" xr:uid="{F2166E78-6F20-4B3D-8B15-EF053B5A878B}"/>
    <cellStyle name="40% - Accent4 2 2 2 6 2 4" xfId="32865" xr:uid="{07C3A151-75BF-4E8D-9299-ED5E56164517}"/>
    <cellStyle name="40% - Accent4 2 2 2 6 3" xfId="11754" xr:uid="{126FC60D-F734-4556-8489-67ABE027D392}"/>
    <cellStyle name="40% - Accent4 2 2 2 6 4" xfId="20201" xr:uid="{6E141635-0F24-497F-8AF5-FBB4AEA5C3F0}"/>
    <cellStyle name="40% - Accent4 2 2 2 6 5" xfId="28648" xr:uid="{90F73B72-6057-44D1-A4CF-17A6EBBF02A1}"/>
    <cellStyle name="40% - Accent4 2 2 2 7" xfId="4579" xr:uid="{00000000-0005-0000-0000-0000B7050000}"/>
    <cellStyle name="40% - Accent4 2 2 2 7 2" xfId="13905" xr:uid="{E0A499DD-E1FD-4D9C-9AB4-425FF600CDA2}"/>
    <cellStyle name="40% - Accent4 2 2 2 7 3" xfId="22352" xr:uid="{423CE94D-FF21-4B17-ADED-CADBDE526655}"/>
    <cellStyle name="40% - Accent4 2 2 2 7 4" xfId="30799" xr:uid="{9B0DCEF4-BE98-4102-AAB3-3E57BD2839A3}"/>
    <cellStyle name="40% - Accent4 2 2 2 8" xfId="9111" xr:uid="{1DD86F12-0D11-497C-88D9-78D90E1EF65F}"/>
    <cellStyle name="40% - Accent4 2 2 2 9" xfId="9688" xr:uid="{030D621D-F247-48A4-92F0-DCB3B33529D2}"/>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16463" xr:uid="{51188F6C-B4DF-4895-A6D8-A09682F10AC9}"/>
    <cellStyle name="40% - Accent4 2 2 3 2 2 3" xfId="24910" xr:uid="{F22EA3FD-D5C4-4706-932D-3AE754210ED9}"/>
    <cellStyle name="40% - Accent4 2 2 3 2 2 4" xfId="33357" xr:uid="{7DB7EC89-D81D-4679-BE86-CA5043154893}"/>
    <cellStyle name="40% - Accent4 2 2 3 2 3" xfId="12246" xr:uid="{25ACBCE5-34E6-41BB-BCFA-83C52B0631FD}"/>
    <cellStyle name="40% - Accent4 2 2 3 2 4" xfId="20693" xr:uid="{85FAF2D4-A650-424E-B98F-C48287DAB97A}"/>
    <cellStyle name="40% - Accent4 2 2 3 2 5" xfId="29140" xr:uid="{9E879A33-B597-4976-AACE-92613C90EAE5}"/>
    <cellStyle name="40% - Accent4 2 2 3 3" xfId="4992" xr:uid="{00000000-0005-0000-0000-0000BB050000}"/>
    <cellStyle name="40% - Accent4 2 2 3 3 2" xfId="14318" xr:uid="{C7F63C79-5271-4DDB-80D8-831B61A54FC6}"/>
    <cellStyle name="40% - Accent4 2 2 3 3 3" xfId="22765" xr:uid="{DDCF187F-BB5B-4512-B912-9B94F1ECF5AF}"/>
    <cellStyle name="40% - Accent4 2 2 3 3 4" xfId="31212" xr:uid="{FDE7ED27-29F4-4181-AA85-6DED84957F5D}"/>
    <cellStyle name="40% - Accent4 2 2 3 4" xfId="9329" xr:uid="{62CB3536-9FC4-4DBF-9121-AD0025D891C9}"/>
    <cellStyle name="40% - Accent4 2 2 3 5" xfId="10101" xr:uid="{23C7B39E-DFB0-4C11-813E-CA3EBB4B2A40}"/>
    <cellStyle name="40% - Accent4 2 2 3 6" xfId="18548" xr:uid="{A58C529C-C461-4207-925E-4A124F9EFC97}"/>
    <cellStyle name="40% - Accent4 2 2 3 7" xfId="26995" xr:uid="{E987C93A-A756-47B5-A87F-55F495B0C834}"/>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16876" xr:uid="{BF0A964A-C08F-45F2-A979-ADBB028BDEEB}"/>
    <cellStyle name="40% - Accent4 2 2 4 2 2 3" xfId="25323" xr:uid="{7CB976BC-920E-462D-B82D-2794C75F9C9C}"/>
    <cellStyle name="40% - Accent4 2 2 4 2 2 4" xfId="33770" xr:uid="{34827574-B051-4193-8912-00098F04D2E2}"/>
    <cellStyle name="40% - Accent4 2 2 4 2 3" xfId="12659" xr:uid="{49F40622-A71D-4701-B9C8-39C4F719B578}"/>
    <cellStyle name="40% - Accent4 2 2 4 2 4" xfId="21106" xr:uid="{9337905C-18FD-4F00-A23D-9F9BF104F5D8}"/>
    <cellStyle name="40% - Accent4 2 2 4 2 5" xfId="29553" xr:uid="{E76257AF-12F1-4FF1-8863-61160F520486}"/>
    <cellStyle name="40% - Accent4 2 2 4 3" xfId="5405" xr:uid="{00000000-0005-0000-0000-0000BF050000}"/>
    <cellStyle name="40% - Accent4 2 2 4 3 2" xfId="14731" xr:uid="{3C28685C-77FE-46BE-8DA8-B873674F1568}"/>
    <cellStyle name="40% - Accent4 2 2 4 3 3" xfId="23178" xr:uid="{20DB6372-C5B5-4894-85E4-49C67E594585}"/>
    <cellStyle name="40% - Accent4 2 2 4 3 4" xfId="31625" xr:uid="{9B86A2FA-B9AC-4EC5-AB06-F170D4FBA551}"/>
    <cellStyle name="40% - Accent4 2 2 4 4" xfId="10514" xr:uid="{33211AA1-01B3-42E1-AC4A-452AB73395C0}"/>
    <cellStyle name="40% - Accent4 2 2 4 5" xfId="18961" xr:uid="{A8C8493E-9D3B-44E3-AE0B-41768F014159}"/>
    <cellStyle name="40% - Accent4 2 2 4 6" xfId="27408" xr:uid="{577C0B75-DE28-4555-A703-B0BF0BCD80AA}"/>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17289" xr:uid="{87F18D92-0CF7-477D-9252-3BB9DC61DE78}"/>
    <cellStyle name="40% - Accent4 2 2 5 2 2 3" xfId="25736" xr:uid="{6728C2A1-4103-46F9-BC8B-5F7D78DB2298}"/>
    <cellStyle name="40% - Accent4 2 2 5 2 2 4" xfId="34183" xr:uid="{CBEBFEB5-8E64-4EDC-9E4D-3F9003513CC3}"/>
    <cellStyle name="40% - Accent4 2 2 5 2 3" xfId="13072" xr:uid="{BD558B1E-DFC8-4414-A4E1-9297EAE0721F}"/>
    <cellStyle name="40% - Accent4 2 2 5 2 4" xfId="21519" xr:uid="{AB0521BA-17BA-4964-ADFC-8F4E311BF3DB}"/>
    <cellStyle name="40% - Accent4 2 2 5 2 5" xfId="29966" xr:uid="{96F6BF00-6C0F-4394-B82B-1FFECAEB1C74}"/>
    <cellStyle name="40% - Accent4 2 2 5 3" xfId="5818" xr:uid="{00000000-0005-0000-0000-0000C3050000}"/>
    <cellStyle name="40% - Accent4 2 2 5 3 2" xfId="15144" xr:uid="{C2BC20E8-649A-4556-BBA8-47AE938D38CB}"/>
    <cellStyle name="40% - Accent4 2 2 5 3 3" xfId="23591" xr:uid="{008F040D-8B62-4E22-9769-05AEF1EE6F8E}"/>
    <cellStyle name="40% - Accent4 2 2 5 3 4" xfId="32038" xr:uid="{3AD377A5-746C-4B37-8EB1-1F10D7C70E67}"/>
    <cellStyle name="40% - Accent4 2 2 5 4" xfId="10927" xr:uid="{6CC8AACD-A83A-4273-8661-BF59EB43A66F}"/>
    <cellStyle name="40% - Accent4 2 2 5 5" xfId="19374" xr:uid="{6A2E4BC0-0C03-4EE9-8A45-3BDB0DD1CF4C}"/>
    <cellStyle name="40% - Accent4 2 2 5 6" xfId="27821" xr:uid="{83368C68-4EB7-449F-B01B-AD1FDD0FFE97}"/>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17702" xr:uid="{932B67C4-29EF-4878-A380-15194603D5F5}"/>
    <cellStyle name="40% - Accent4 2 2 6 2 2 3" xfId="26149" xr:uid="{37D926F0-26A2-4616-B69D-6A5491956632}"/>
    <cellStyle name="40% - Accent4 2 2 6 2 2 4" xfId="34596" xr:uid="{DDE7B55D-C53A-41B0-B2DC-297C5A826EC7}"/>
    <cellStyle name="40% - Accent4 2 2 6 2 3" xfId="13485" xr:uid="{A2A5986C-1316-4D4F-A643-3CEC14E9C0ED}"/>
    <cellStyle name="40% - Accent4 2 2 6 2 4" xfId="21932" xr:uid="{7647B24A-AAE3-46AF-8229-65637BDE5848}"/>
    <cellStyle name="40% - Accent4 2 2 6 2 5" xfId="30379" xr:uid="{5FB35885-81E6-4D76-AC41-51013A5AB2D2}"/>
    <cellStyle name="40% - Accent4 2 2 6 3" xfId="6231" xr:uid="{00000000-0005-0000-0000-0000C7050000}"/>
    <cellStyle name="40% - Accent4 2 2 6 3 2" xfId="15557" xr:uid="{9CFE3001-B0EC-48A9-82E0-D4E7BC919F13}"/>
    <cellStyle name="40% - Accent4 2 2 6 3 3" xfId="24004" xr:uid="{F8EFEB18-A945-4B2F-A954-93998065411A}"/>
    <cellStyle name="40% - Accent4 2 2 6 3 4" xfId="32451" xr:uid="{76C3945D-56B9-4323-9169-B8AB4EB84A4C}"/>
    <cellStyle name="40% - Accent4 2 2 6 4" xfId="11340" xr:uid="{E422DB04-5CC1-4F59-BC40-A6F03F8D66DE}"/>
    <cellStyle name="40% - Accent4 2 2 6 5" xfId="19787" xr:uid="{B42054D0-32DF-424B-A9C7-18B99383FE17}"/>
    <cellStyle name="40% - Accent4 2 2 6 6" xfId="28234" xr:uid="{4E8BDDD4-3C51-4E56-90CB-F469E35D683B}"/>
    <cellStyle name="40% - Accent4 2 2 7" xfId="2338" xr:uid="{00000000-0005-0000-0000-0000C8050000}"/>
    <cellStyle name="40% - Accent4 2 2 7 2" xfId="6644" xr:uid="{00000000-0005-0000-0000-0000C9050000}"/>
    <cellStyle name="40% - Accent4 2 2 7 2 2" xfId="15970" xr:uid="{42EC005D-F84E-409F-8EF8-64C2DE4B0118}"/>
    <cellStyle name="40% - Accent4 2 2 7 2 3" xfId="24417" xr:uid="{C3DC77CF-1E0D-47D4-8746-45A0AB1362EA}"/>
    <cellStyle name="40% - Accent4 2 2 7 2 4" xfId="32864" xr:uid="{8EC03B18-8D50-40A2-9446-EF6CB08A6C07}"/>
    <cellStyle name="40% - Accent4 2 2 7 3" xfId="11753" xr:uid="{16366F4A-5E2E-4AF8-AB41-CEF084106C0D}"/>
    <cellStyle name="40% - Accent4 2 2 7 4" xfId="20200" xr:uid="{22AF99AA-1AB2-4607-95E4-F0B133A00FD0}"/>
    <cellStyle name="40% - Accent4 2 2 7 5" xfId="28647" xr:uid="{75979BB8-C35E-4D69-AFA6-644DC2729142}"/>
    <cellStyle name="40% - Accent4 2 2 8" xfId="4578" xr:uid="{00000000-0005-0000-0000-0000CA050000}"/>
    <cellStyle name="40% - Accent4 2 2 8 2" xfId="13904" xr:uid="{C47ED559-C14D-4622-8FE4-6E917239E973}"/>
    <cellStyle name="40% - Accent4 2 2 8 3" xfId="22351" xr:uid="{F6815EDD-008E-4449-9C46-8527067BF9F2}"/>
    <cellStyle name="40% - Accent4 2 2 8 4" xfId="30798" xr:uid="{59350471-F183-45E2-8F10-09324695BE64}"/>
    <cellStyle name="40% - Accent4 2 2 9" xfId="8904" xr:uid="{64C959C5-2FAF-462D-88B6-14B59CDC763B}"/>
    <cellStyle name="40% - Accent4 2 3" xfId="77" xr:uid="{00000000-0005-0000-0000-0000CB050000}"/>
    <cellStyle name="40% - Accent4 2 3 10" xfId="18136" xr:uid="{395F62FF-39D0-4ABA-9183-47DA411FE7AD}"/>
    <cellStyle name="40% - Accent4 2 3 11" xfId="26583" xr:uid="{8EEAD874-2269-4845-AB62-AD1B8349BF66}"/>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16465" xr:uid="{6898589C-597D-4E0E-B0E8-9D5AB32E0EEC}"/>
    <cellStyle name="40% - Accent4 2 3 2 2 2 3" xfId="24912" xr:uid="{B1E84BF0-3AEC-44DC-A13B-9A754B9E0C06}"/>
    <cellStyle name="40% - Accent4 2 3 2 2 2 4" xfId="33359" xr:uid="{0EB5D65D-E662-4324-8D72-DFCB30801CA4}"/>
    <cellStyle name="40% - Accent4 2 3 2 2 3" xfId="12248" xr:uid="{29313D36-EB53-4210-9D66-46106F69EECA}"/>
    <cellStyle name="40% - Accent4 2 3 2 2 4" xfId="20695" xr:uid="{AB072EE0-2725-43DA-8452-FD6DD49C900C}"/>
    <cellStyle name="40% - Accent4 2 3 2 2 5" xfId="29142" xr:uid="{3A1CC8A2-4F64-405F-A2F2-A19B28753429}"/>
    <cellStyle name="40% - Accent4 2 3 2 3" xfId="4994" xr:uid="{00000000-0005-0000-0000-0000CF050000}"/>
    <cellStyle name="40% - Accent4 2 3 2 3 2" xfId="14320" xr:uid="{8AAD2C5C-A93B-4C7E-89C3-C1579C625C6D}"/>
    <cellStyle name="40% - Accent4 2 3 2 3 3" xfId="22767" xr:uid="{33E4D4EA-FFDC-4EB7-AE2C-D509A2E22D22}"/>
    <cellStyle name="40% - Accent4 2 3 2 3 4" xfId="31214" xr:uid="{07B01609-8499-4FEE-84BF-85027FFB2EC1}"/>
    <cellStyle name="40% - Accent4 2 3 2 4" xfId="9433" xr:uid="{058786D1-7E7D-40D9-9218-B4C7219F4E53}"/>
    <cellStyle name="40% - Accent4 2 3 2 5" xfId="10103" xr:uid="{0D310343-2211-4F82-B252-8739A71382AE}"/>
    <cellStyle name="40% - Accent4 2 3 2 6" xfId="18550" xr:uid="{35C5CDCB-B832-4CE4-A976-89A089EB549A}"/>
    <cellStyle name="40% - Accent4 2 3 2 7" xfId="26997" xr:uid="{C6ECE38A-F4E8-4343-84FA-F666B52299FC}"/>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16878" xr:uid="{25C45DE5-443F-47D2-835D-F4D953F24C99}"/>
    <cellStyle name="40% - Accent4 2 3 3 2 2 3" xfId="25325" xr:uid="{E9C0F553-0F99-4229-ACAB-993E57E67995}"/>
    <cellStyle name="40% - Accent4 2 3 3 2 2 4" xfId="33772" xr:uid="{9CB2497B-0E73-42A4-9AA7-EAE01D851AF3}"/>
    <cellStyle name="40% - Accent4 2 3 3 2 3" xfId="12661" xr:uid="{5C49D00F-68E3-4553-A40E-231041B06582}"/>
    <cellStyle name="40% - Accent4 2 3 3 2 4" xfId="21108" xr:uid="{BCCF801A-A346-4640-B357-18CE294FF4FF}"/>
    <cellStyle name="40% - Accent4 2 3 3 2 5" xfId="29555" xr:uid="{7CF8836B-B8DC-4304-954E-7EE757FEDCDC}"/>
    <cellStyle name="40% - Accent4 2 3 3 3" xfId="5407" xr:uid="{00000000-0005-0000-0000-0000D3050000}"/>
    <cellStyle name="40% - Accent4 2 3 3 3 2" xfId="14733" xr:uid="{6DA39E20-92D6-491F-B90D-E14B374F940B}"/>
    <cellStyle name="40% - Accent4 2 3 3 3 3" xfId="23180" xr:uid="{68A2CF86-4A38-4A43-AC8F-B88727CBD93D}"/>
    <cellStyle name="40% - Accent4 2 3 3 3 4" xfId="31627" xr:uid="{E8715FB8-B803-4E6E-B6A9-792737953922}"/>
    <cellStyle name="40% - Accent4 2 3 3 4" xfId="10516" xr:uid="{D86A7569-96B7-4591-B566-539DE3CAEDA5}"/>
    <cellStyle name="40% - Accent4 2 3 3 5" xfId="18963" xr:uid="{719637C5-6B88-4A09-BBFE-88B2CE9CAA31}"/>
    <cellStyle name="40% - Accent4 2 3 3 6" xfId="27410" xr:uid="{4908A429-1023-42F3-93DC-458F6B705377}"/>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17291" xr:uid="{5C7FE3FC-70D2-4E65-96E3-D9CE8B2FA2F4}"/>
    <cellStyle name="40% - Accent4 2 3 4 2 2 3" xfId="25738" xr:uid="{1B10CBFD-3D94-478E-ABEC-2EEF2FA9728F}"/>
    <cellStyle name="40% - Accent4 2 3 4 2 2 4" xfId="34185" xr:uid="{B335BBF5-F025-4AF4-88A7-6A27A08D29C1}"/>
    <cellStyle name="40% - Accent4 2 3 4 2 3" xfId="13074" xr:uid="{1ABFD0D4-DA91-436E-B5B7-9E16AFC8D728}"/>
    <cellStyle name="40% - Accent4 2 3 4 2 4" xfId="21521" xr:uid="{150B0FB8-F51F-45B1-B6F1-1CB6A5779ADB}"/>
    <cellStyle name="40% - Accent4 2 3 4 2 5" xfId="29968" xr:uid="{3202C0C0-B8F7-4ECE-93AF-78820EB94058}"/>
    <cellStyle name="40% - Accent4 2 3 4 3" xfId="5820" xr:uid="{00000000-0005-0000-0000-0000D7050000}"/>
    <cellStyle name="40% - Accent4 2 3 4 3 2" xfId="15146" xr:uid="{AEFE5D9A-7424-4C6E-A1A1-DA4FCBA128D0}"/>
    <cellStyle name="40% - Accent4 2 3 4 3 3" xfId="23593" xr:uid="{29C69BD6-48D9-4C17-A144-6DE03B5B2DA0}"/>
    <cellStyle name="40% - Accent4 2 3 4 3 4" xfId="32040" xr:uid="{65B19970-DA16-439D-BFD0-6BCD73EAEDFF}"/>
    <cellStyle name="40% - Accent4 2 3 4 4" xfId="10929" xr:uid="{70D01505-FA9E-4136-A9B4-E87D0C99FCCD}"/>
    <cellStyle name="40% - Accent4 2 3 4 5" xfId="19376" xr:uid="{7311D077-BA6E-46EA-850D-1559ADB48CB0}"/>
    <cellStyle name="40% - Accent4 2 3 4 6" xfId="27823" xr:uid="{DE149F9E-16B1-4F36-B696-5306A6390356}"/>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17704" xr:uid="{D07E5BCF-A7A4-4F83-B88D-206114DE3F95}"/>
    <cellStyle name="40% - Accent4 2 3 5 2 2 3" xfId="26151" xr:uid="{C44CF9E9-67C7-421A-9CC8-042EB91C3A59}"/>
    <cellStyle name="40% - Accent4 2 3 5 2 2 4" xfId="34598" xr:uid="{BE471515-940E-4992-A922-D2A97DE68D55}"/>
    <cellStyle name="40% - Accent4 2 3 5 2 3" xfId="13487" xr:uid="{B139127B-62B9-46DE-A5AB-6146C65999C5}"/>
    <cellStyle name="40% - Accent4 2 3 5 2 4" xfId="21934" xr:uid="{130AF32D-319D-46F6-9B6A-34D72FE73691}"/>
    <cellStyle name="40% - Accent4 2 3 5 2 5" xfId="30381" xr:uid="{3014F6C4-17AC-4CC0-B512-02165C2FF629}"/>
    <cellStyle name="40% - Accent4 2 3 5 3" xfId="6233" xr:uid="{00000000-0005-0000-0000-0000DB050000}"/>
    <cellStyle name="40% - Accent4 2 3 5 3 2" xfId="15559" xr:uid="{A6B16449-B037-4094-B3EB-4FAC9C9FA4A8}"/>
    <cellStyle name="40% - Accent4 2 3 5 3 3" xfId="24006" xr:uid="{06DB7B5A-F06D-44E3-8427-98F6B40E05C3}"/>
    <cellStyle name="40% - Accent4 2 3 5 3 4" xfId="32453" xr:uid="{5DFD6B79-A6E1-4495-A3BA-CA41A59F9589}"/>
    <cellStyle name="40% - Accent4 2 3 5 4" xfId="11342" xr:uid="{3F09116D-92A6-4F76-BCEB-30D4EFE51D05}"/>
    <cellStyle name="40% - Accent4 2 3 5 5" xfId="19789" xr:uid="{7170665A-87C7-4FDF-86BA-25661FD912BB}"/>
    <cellStyle name="40% - Accent4 2 3 5 6" xfId="28236" xr:uid="{206A2E07-FC0A-4119-9847-2C7D91D2371E}"/>
    <cellStyle name="40% - Accent4 2 3 6" xfId="2340" xr:uid="{00000000-0005-0000-0000-0000DC050000}"/>
    <cellStyle name="40% - Accent4 2 3 6 2" xfId="6646" xr:uid="{00000000-0005-0000-0000-0000DD050000}"/>
    <cellStyle name="40% - Accent4 2 3 6 2 2" xfId="15972" xr:uid="{4086F9EC-620B-421B-8337-0414B1F7287B}"/>
    <cellStyle name="40% - Accent4 2 3 6 2 3" xfId="24419" xr:uid="{404A0A27-2F65-4327-A902-3DD51C7C19EE}"/>
    <cellStyle name="40% - Accent4 2 3 6 2 4" xfId="32866" xr:uid="{73BA9C18-71D1-41CF-BD87-203CB9CF4A89}"/>
    <cellStyle name="40% - Accent4 2 3 6 3" xfId="11755" xr:uid="{F30436B2-F4F4-46A9-B157-04F24565645C}"/>
    <cellStyle name="40% - Accent4 2 3 6 4" xfId="20202" xr:uid="{C07A8E48-94A4-4457-8CBE-2E7A88A87096}"/>
    <cellStyle name="40% - Accent4 2 3 6 5" xfId="28649" xr:uid="{90D8C77F-D750-4B07-82AE-F8E2DD09D67A}"/>
    <cellStyle name="40% - Accent4 2 3 7" xfId="4580" xr:uid="{00000000-0005-0000-0000-0000DE050000}"/>
    <cellStyle name="40% - Accent4 2 3 7 2" xfId="13906" xr:uid="{B898F628-D3BC-4C5B-9CE6-B6E7E9B8D0A7}"/>
    <cellStyle name="40% - Accent4 2 3 7 3" xfId="22353" xr:uid="{7FCA9EFE-18F5-4A98-B528-B3D5E8DE989A}"/>
    <cellStyle name="40% - Accent4 2 3 7 4" xfId="30800" xr:uid="{48C83B32-183E-4B14-AF63-FC83BC09383B}"/>
    <cellStyle name="40% - Accent4 2 3 8" xfId="9008" xr:uid="{270F4CAB-C86F-4D9D-804F-69497913908B}"/>
    <cellStyle name="40% - Accent4 2 3 9" xfId="9689" xr:uid="{2BED805F-9EC7-46C1-84DF-6FE81D2CE546}"/>
    <cellStyle name="40% - Accent4 2 4" xfId="643" xr:uid="{00000000-0005-0000-0000-0000DF050000}"/>
    <cellStyle name="40% - Accent4 2 4 2" xfId="2914" xr:uid="{00000000-0005-0000-0000-0000E0050000}"/>
    <cellStyle name="40% - Accent4 2 4 2 2" xfId="7136" xr:uid="{00000000-0005-0000-0000-0000E1050000}"/>
    <cellStyle name="40% - Accent4 2 4 2 2 2" xfId="16462" xr:uid="{A7899C6B-A4E6-4B66-8565-EF10CC0EC691}"/>
    <cellStyle name="40% - Accent4 2 4 2 2 3" xfId="24909" xr:uid="{6FF075B2-2E08-416E-A19B-EDB43A904EB9}"/>
    <cellStyle name="40% - Accent4 2 4 2 2 4" xfId="33356" xr:uid="{2774F625-C344-4E78-8E00-952984C8BDB2}"/>
    <cellStyle name="40% - Accent4 2 4 2 3" xfId="12245" xr:uid="{7EE42A94-0848-4422-9BCF-825D85E70569}"/>
    <cellStyle name="40% - Accent4 2 4 2 4" xfId="20692" xr:uid="{4C9827B0-957A-41BD-B669-E7DA65E6A531}"/>
    <cellStyle name="40% - Accent4 2 4 2 5" xfId="29139" xr:uid="{7A3B15E3-B34C-40AF-B5CB-250C193764DD}"/>
    <cellStyle name="40% - Accent4 2 4 3" xfId="4991" xr:uid="{00000000-0005-0000-0000-0000E2050000}"/>
    <cellStyle name="40% - Accent4 2 4 3 2" xfId="14317" xr:uid="{FB87A662-5A92-4AAA-8630-9C3A316B3CFA}"/>
    <cellStyle name="40% - Accent4 2 4 3 3" xfId="22764" xr:uid="{1B54A53C-F0D2-4453-8A56-4C790A63BBFE}"/>
    <cellStyle name="40% - Accent4 2 4 3 4" xfId="31211" xr:uid="{7164F155-51F3-4E3F-90A0-27492BE7354B}"/>
    <cellStyle name="40% - Accent4 2 4 4" xfId="9225" xr:uid="{40EEB981-54C4-40E4-A2F9-BCD479248D23}"/>
    <cellStyle name="40% - Accent4 2 4 5" xfId="10100" xr:uid="{9A7A8308-8B12-4476-9BD2-2FAD0D60C908}"/>
    <cellStyle name="40% - Accent4 2 4 6" xfId="18547" xr:uid="{22D4167F-989A-4252-9454-2903138E0883}"/>
    <cellStyle name="40% - Accent4 2 4 7" xfId="26994" xr:uid="{FCE53A84-FA13-4F27-BF75-B061B6F76726}"/>
    <cellStyle name="40% - Accent4 2 5" xfId="1096" xr:uid="{00000000-0005-0000-0000-0000E3050000}"/>
    <cellStyle name="40% - Accent4 2 5 2" xfId="3327" xr:uid="{00000000-0005-0000-0000-0000E4050000}"/>
    <cellStyle name="40% - Accent4 2 5 2 2" xfId="7549" xr:uid="{00000000-0005-0000-0000-0000E5050000}"/>
    <cellStyle name="40% - Accent4 2 5 2 2 2" xfId="16875" xr:uid="{3C643CE3-C8FA-4F4A-B1BF-037A92A6F281}"/>
    <cellStyle name="40% - Accent4 2 5 2 2 3" xfId="25322" xr:uid="{9E728429-936B-4C2F-A535-8DB74635107A}"/>
    <cellStyle name="40% - Accent4 2 5 2 2 4" xfId="33769" xr:uid="{2B43FFB2-9794-4C85-A3C7-C9CA26BC9453}"/>
    <cellStyle name="40% - Accent4 2 5 2 3" xfId="12658" xr:uid="{A31B0828-B761-4539-A693-A0ABE9C1AC57}"/>
    <cellStyle name="40% - Accent4 2 5 2 4" xfId="21105" xr:uid="{AD09C685-86C3-4CEB-82CC-A88022E6EBF4}"/>
    <cellStyle name="40% - Accent4 2 5 2 5" xfId="29552" xr:uid="{58842BBD-8E2E-4E9E-B39F-045088DF2EAB}"/>
    <cellStyle name="40% - Accent4 2 5 3" xfId="5404" xr:uid="{00000000-0005-0000-0000-0000E6050000}"/>
    <cellStyle name="40% - Accent4 2 5 3 2" xfId="14730" xr:uid="{D29FA345-E43B-4BEA-BB98-BBCA2E073F05}"/>
    <cellStyle name="40% - Accent4 2 5 3 3" xfId="23177" xr:uid="{D9DB268F-1DA9-4777-99A9-5028D025B65D}"/>
    <cellStyle name="40% - Accent4 2 5 3 4" xfId="31624" xr:uid="{31D84937-1639-4643-82DF-E10E3C4A2904}"/>
    <cellStyle name="40% - Accent4 2 5 4" xfId="10513" xr:uid="{E6E4DC45-96AC-48F6-A110-1069D5936F13}"/>
    <cellStyle name="40% - Accent4 2 5 5" xfId="18960" xr:uid="{37A5488C-086F-4BE0-A5F1-9E8499623B02}"/>
    <cellStyle name="40% - Accent4 2 5 6" xfId="27407" xr:uid="{1DD98BC1-69E3-4482-86CC-E5088C152FC2}"/>
    <cellStyle name="40% - Accent4 2 6" xfId="1510" xr:uid="{00000000-0005-0000-0000-0000E7050000}"/>
    <cellStyle name="40% - Accent4 2 6 2" xfId="3740" xr:uid="{00000000-0005-0000-0000-0000E8050000}"/>
    <cellStyle name="40% - Accent4 2 6 2 2" xfId="7962" xr:uid="{00000000-0005-0000-0000-0000E9050000}"/>
    <cellStyle name="40% - Accent4 2 6 2 2 2" xfId="17288" xr:uid="{EF6AF9EF-A3F4-4160-92F7-06E75F2CC32B}"/>
    <cellStyle name="40% - Accent4 2 6 2 2 3" xfId="25735" xr:uid="{2DC99E66-11BA-4E4D-ADA3-1A901C45488A}"/>
    <cellStyle name="40% - Accent4 2 6 2 2 4" xfId="34182" xr:uid="{BA07633E-ED36-4E56-844B-A63BD72FC1FD}"/>
    <cellStyle name="40% - Accent4 2 6 2 3" xfId="13071" xr:uid="{CB30A31E-6CD3-4E8A-8E1C-29A99D9B83AB}"/>
    <cellStyle name="40% - Accent4 2 6 2 4" xfId="21518" xr:uid="{0C5B99F4-9E16-4239-8BC9-C26B1CCD8115}"/>
    <cellStyle name="40% - Accent4 2 6 2 5" xfId="29965" xr:uid="{3A836184-1E7D-49AA-B7B5-B42335A8ABB5}"/>
    <cellStyle name="40% - Accent4 2 6 3" xfId="5817" xr:uid="{00000000-0005-0000-0000-0000EA050000}"/>
    <cellStyle name="40% - Accent4 2 6 3 2" xfId="15143" xr:uid="{788BCBDD-25B2-4C75-B1AC-C7BDC1E9D114}"/>
    <cellStyle name="40% - Accent4 2 6 3 3" xfId="23590" xr:uid="{37CDD236-533B-4697-BB5F-90F1E80606F2}"/>
    <cellStyle name="40% - Accent4 2 6 3 4" xfId="32037" xr:uid="{C9870A56-0124-476D-AA65-EEC7831B740E}"/>
    <cellStyle name="40% - Accent4 2 6 4" xfId="10926" xr:uid="{ADA29C58-C3FF-4780-A4DB-E0FA8A31805D}"/>
    <cellStyle name="40% - Accent4 2 6 5" xfId="19373" xr:uid="{BBD6C4E8-8FDF-4924-91E2-E09BBA10FE89}"/>
    <cellStyle name="40% - Accent4 2 6 6" xfId="27820" xr:uid="{4118457E-0D86-46C3-A9AD-7A32AAA12A0F}"/>
    <cellStyle name="40% - Accent4 2 7" xfId="1924" xr:uid="{00000000-0005-0000-0000-0000EB050000}"/>
    <cellStyle name="40% - Accent4 2 7 2" xfId="4153" xr:uid="{00000000-0005-0000-0000-0000EC050000}"/>
    <cellStyle name="40% - Accent4 2 7 2 2" xfId="8375" xr:uid="{00000000-0005-0000-0000-0000ED050000}"/>
    <cellStyle name="40% - Accent4 2 7 2 2 2" xfId="17701" xr:uid="{F890203D-6DF2-4A0F-A6C5-18290D4CAA29}"/>
    <cellStyle name="40% - Accent4 2 7 2 2 3" xfId="26148" xr:uid="{C6BD3553-6972-4A6F-A9F0-D98B2F9B68EB}"/>
    <cellStyle name="40% - Accent4 2 7 2 2 4" xfId="34595" xr:uid="{2337A446-A059-44FA-ADAA-3CA54CCB4949}"/>
    <cellStyle name="40% - Accent4 2 7 2 3" xfId="13484" xr:uid="{D055167B-2082-4E08-A22D-8308F539B882}"/>
    <cellStyle name="40% - Accent4 2 7 2 4" xfId="21931" xr:uid="{969ECD58-5336-4202-BF44-0B67F2A4B1B6}"/>
    <cellStyle name="40% - Accent4 2 7 2 5" xfId="30378" xr:uid="{D55AD32C-27DB-4EA0-8FD4-2802D7AA48F5}"/>
    <cellStyle name="40% - Accent4 2 7 3" xfId="6230" xr:uid="{00000000-0005-0000-0000-0000EE050000}"/>
    <cellStyle name="40% - Accent4 2 7 3 2" xfId="15556" xr:uid="{56B80695-6634-4C06-A2CF-A097BEEC24C0}"/>
    <cellStyle name="40% - Accent4 2 7 3 3" xfId="24003" xr:uid="{07FBB4B3-8532-4366-89F4-063B4012110B}"/>
    <cellStyle name="40% - Accent4 2 7 3 4" xfId="32450" xr:uid="{0611288F-F834-4442-AFAA-7E9802C674C0}"/>
    <cellStyle name="40% - Accent4 2 7 4" xfId="11339" xr:uid="{BA9ECFE8-2F57-492D-B1A6-36CC3BE70732}"/>
    <cellStyle name="40% - Accent4 2 7 5" xfId="19786" xr:uid="{8A8F14CE-C1A7-4F83-92E3-7DF0BD4A2FE8}"/>
    <cellStyle name="40% - Accent4 2 7 6" xfId="28233" xr:uid="{6686FD76-E6D2-4372-A0C9-CDF69B09A114}"/>
    <cellStyle name="40% - Accent4 2 8" xfId="2337" xr:uid="{00000000-0005-0000-0000-0000EF050000}"/>
    <cellStyle name="40% - Accent4 2 8 2" xfId="6643" xr:uid="{00000000-0005-0000-0000-0000F0050000}"/>
    <cellStyle name="40% - Accent4 2 8 2 2" xfId="15969" xr:uid="{159FF0DD-3806-40AD-95D1-1D42414265D7}"/>
    <cellStyle name="40% - Accent4 2 8 2 3" xfId="24416" xr:uid="{AFFE3665-D609-4C73-889D-B273BFC17DFF}"/>
    <cellStyle name="40% - Accent4 2 8 2 4" xfId="32863" xr:uid="{ADB9735A-5D88-4733-A4D2-5CD0B064BABE}"/>
    <cellStyle name="40% - Accent4 2 8 3" xfId="11752" xr:uid="{964747A8-4A56-4BE9-ACE0-3AD215036641}"/>
    <cellStyle name="40% - Accent4 2 8 4" xfId="20199" xr:uid="{98454C6F-8DFB-4693-B54C-3C01E52AB4AE}"/>
    <cellStyle name="40% - Accent4 2 8 5" xfId="28646" xr:uid="{310D454A-3816-450D-BCFD-46A33834B830}"/>
    <cellStyle name="40% - Accent4 2 9" xfId="4577" xr:uid="{00000000-0005-0000-0000-0000F1050000}"/>
    <cellStyle name="40% - Accent4 2 9 2" xfId="13903" xr:uid="{D84A687B-CBE6-4299-9200-67B96DDB4E02}"/>
    <cellStyle name="40% - Accent4 2 9 3" xfId="22350" xr:uid="{62E2C771-9AD3-41FF-B9B8-321FDE8295F5}"/>
    <cellStyle name="40% - Accent4 2 9 4" xfId="30797" xr:uid="{10CA8198-2535-4184-98F8-917CD0B07254}"/>
    <cellStyle name="40% - Accent4 3" xfId="78" xr:uid="{00000000-0005-0000-0000-0000F2050000}"/>
    <cellStyle name="40% - Accent4 3 10" xfId="9690" xr:uid="{692BC101-74FC-474E-B395-CD5EBDB4BA13}"/>
    <cellStyle name="40% - Accent4 3 11" xfId="18137" xr:uid="{251D787B-9D15-4ACA-B7AA-17FE74ADB0CF}"/>
    <cellStyle name="40% - Accent4 3 12" xfId="26584" xr:uid="{9E9B498B-51D6-4748-9AA1-259F8E356537}"/>
    <cellStyle name="40% - Accent4 3 2" xfId="79" xr:uid="{00000000-0005-0000-0000-0000F3050000}"/>
    <cellStyle name="40% - Accent4 3 2 10" xfId="18138" xr:uid="{C33873C2-3597-4B24-9BED-36BAFA5C8856}"/>
    <cellStyle name="40% - Accent4 3 2 11" xfId="26585" xr:uid="{0172C52E-7A23-485B-A736-D4E4C07D317F}"/>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16467" xr:uid="{B03B0D56-41EE-4DC5-9A01-FAC0B52ABB5C}"/>
    <cellStyle name="40% - Accent4 3 2 2 2 2 3" xfId="24914" xr:uid="{E828D7F5-C6F1-4CAD-BFA0-3CCC825F45B6}"/>
    <cellStyle name="40% - Accent4 3 2 2 2 2 4" xfId="33361" xr:uid="{233BD551-C59C-451C-8590-48FD7DB69873}"/>
    <cellStyle name="40% - Accent4 3 2 2 2 3" xfId="12250" xr:uid="{407E5729-BFA4-4F6C-B009-FE25E194CFDA}"/>
    <cellStyle name="40% - Accent4 3 2 2 2 4" xfId="20697" xr:uid="{B8CE0FAE-9547-479C-99E0-D191C9A0BAB4}"/>
    <cellStyle name="40% - Accent4 3 2 2 2 5" xfId="29144" xr:uid="{DAD89903-1AF3-425C-8FF9-2E6864B6159B}"/>
    <cellStyle name="40% - Accent4 3 2 2 3" xfId="4996" xr:uid="{00000000-0005-0000-0000-0000F7050000}"/>
    <cellStyle name="40% - Accent4 3 2 2 3 2" xfId="14322" xr:uid="{E4326F87-B486-4E08-9FB8-4F370590F2B4}"/>
    <cellStyle name="40% - Accent4 3 2 2 3 3" xfId="22769" xr:uid="{B1CC5D50-85C5-4928-9D59-EB51939FAF79}"/>
    <cellStyle name="40% - Accent4 3 2 2 3 4" xfId="31216" xr:uid="{481D9483-CF40-4249-8559-680378A411BD}"/>
    <cellStyle name="40% - Accent4 3 2 2 4" xfId="9500" xr:uid="{EAAAC99F-A3A1-40FB-B78D-6862EF121B7A}"/>
    <cellStyle name="40% - Accent4 3 2 2 5" xfId="10105" xr:uid="{05D3A0F8-DBF5-42FE-90A4-7F4B796A34F1}"/>
    <cellStyle name="40% - Accent4 3 2 2 6" xfId="18552" xr:uid="{40CDEC22-D238-4B0A-803D-3E86B4979210}"/>
    <cellStyle name="40% - Accent4 3 2 2 7" xfId="26999" xr:uid="{C5F32FD2-D65B-4858-9D71-E7B885353C1A}"/>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16880" xr:uid="{DAE193D7-EFB4-4FA6-8F65-C620D25076A8}"/>
    <cellStyle name="40% - Accent4 3 2 3 2 2 3" xfId="25327" xr:uid="{CAB10191-FBC0-4565-8261-5E2976115C79}"/>
    <cellStyle name="40% - Accent4 3 2 3 2 2 4" xfId="33774" xr:uid="{2004D679-8E32-41BD-92A3-E121DDE30829}"/>
    <cellStyle name="40% - Accent4 3 2 3 2 3" xfId="12663" xr:uid="{D84F9D45-083F-420D-B5C6-7EEA825314C8}"/>
    <cellStyle name="40% - Accent4 3 2 3 2 4" xfId="21110" xr:uid="{A7D45AF0-5F6A-45F5-B758-42DFB1ADEA39}"/>
    <cellStyle name="40% - Accent4 3 2 3 2 5" xfId="29557" xr:uid="{06DBB3C6-6417-4375-9BD3-3BF2625594BD}"/>
    <cellStyle name="40% - Accent4 3 2 3 3" xfId="5409" xr:uid="{00000000-0005-0000-0000-0000FB050000}"/>
    <cellStyle name="40% - Accent4 3 2 3 3 2" xfId="14735" xr:uid="{CCF120D0-5ED5-4045-8FC2-6BAF75299E74}"/>
    <cellStyle name="40% - Accent4 3 2 3 3 3" xfId="23182" xr:uid="{19871B93-82CC-4322-9576-FA5D9F1E5FF8}"/>
    <cellStyle name="40% - Accent4 3 2 3 3 4" xfId="31629" xr:uid="{F8316A17-D8B6-4DA3-9934-F9FB635B32DC}"/>
    <cellStyle name="40% - Accent4 3 2 3 4" xfId="10518" xr:uid="{B141ECC6-D78F-495E-9CF7-DF3E713B49E4}"/>
    <cellStyle name="40% - Accent4 3 2 3 5" xfId="18965" xr:uid="{F025A5F8-E869-4573-9182-57A71D63C332}"/>
    <cellStyle name="40% - Accent4 3 2 3 6" xfId="27412" xr:uid="{A198881D-9A23-4767-9C7F-5D180C3CE376}"/>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17293" xr:uid="{EB2A2CBE-D85C-49C8-88B6-984F46F6E857}"/>
    <cellStyle name="40% - Accent4 3 2 4 2 2 3" xfId="25740" xr:uid="{ECE6EE62-D55F-4148-8D2B-5D36CE0CCB09}"/>
    <cellStyle name="40% - Accent4 3 2 4 2 2 4" xfId="34187" xr:uid="{A9BC2D59-1851-4EB0-B097-D994FEFDFAFA}"/>
    <cellStyle name="40% - Accent4 3 2 4 2 3" xfId="13076" xr:uid="{86ED2924-EB2E-418F-B321-E9FD519FEE09}"/>
    <cellStyle name="40% - Accent4 3 2 4 2 4" xfId="21523" xr:uid="{206F16E4-6BE0-402A-AB72-0B9BCD2546E8}"/>
    <cellStyle name="40% - Accent4 3 2 4 2 5" xfId="29970" xr:uid="{2B1B0E54-A66A-48EC-9460-4BBDF70969DF}"/>
    <cellStyle name="40% - Accent4 3 2 4 3" xfId="5822" xr:uid="{00000000-0005-0000-0000-0000FF050000}"/>
    <cellStyle name="40% - Accent4 3 2 4 3 2" xfId="15148" xr:uid="{311BC77C-4EA3-4686-8421-5B02CFBEE84C}"/>
    <cellStyle name="40% - Accent4 3 2 4 3 3" xfId="23595" xr:uid="{715E3C65-5DC7-4F5F-B758-5232EABBA4B0}"/>
    <cellStyle name="40% - Accent4 3 2 4 3 4" xfId="32042" xr:uid="{D87FA2CD-297C-469A-9069-C7C450E2815B}"/>
    <cellStyle name="40% - Accent4 3 2 4 4" xfId="10931" xr:uid="{D3AB1B9E-2901-490F-A6D2-2C23F364D354}"/>
    <cellStyle name="40% - Accent4 3 2 4 5" xfId="19378" xr:uid="{B5EB4403-1780-49B3-93D4-510712704C99}"/>
    <cellStyle name="40% - Accent4 3 2 4 6" xfId="27825" xr:uid="{48DE0000-ED6A-4CAF-8C14-9BE8C5D05B3C}"/>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17706" xr:uid="{0250D508-B8F5-48B7-B9BF-222A3DB4349B}"/>
    <cellStyle name="40% - Accent4 3 2 5 2 2 3" xfId="26153" xr:uid="{86883B1D-8E1E-4481-8A6C-FE877925FAEF}"/>
    <cellStyle name="40% - Accent4 3 2 5 2 2 4" xfId="34600" xr:uid="{FECD4C07-2172-4924-8EF0-EC638BE3CAD3}"/>
    <cellStyle name="40% - Accent4 3 2 5 2 3" xfId="13489" xr:uid="{E8D7DB5E-4E2C-4B0F-B731-390A1C871DA2}"/>
    <cellStyle name="40% - Accent4 3 2 5 2 4" xfId="21936" xr:uid="{107301E6-0FC8-4D97-BD68-4DAE4EEF27E4}"/>
    <cellStyle name="40% - Accent4 3 2 5 2 5" xfId="30383" xr:uid="{A19D9638-BBC7-4D12-A7A4-DF5A11824B09}"/>
    <cellStyle name="40% - Accent4 3 2 5 3" xfId="6235" xr:uid="{00000000-0005-0000-0000-000003060000}"/>
    <cellStyle name="40% - Accent4 3 2 5 3 2" xfId="15561" xr:uid="{11EF2EE7-139C-4BDA-9FCB-C938E013C189}"/>
    <cellStyle name="40% - Accent4 3 2 5 3 3" xfId="24008" xr:uid="{1426C53A-354C-495E-A828-8738EF9E5000}"/>
    <cellStyle name="40% - Accent4 3 2 5 3 4" xfId="32455" xr:uid="{A415918A-E0C4-481D-9958-9D96188557A8}"/>
    <cellStyle name="40% - Accent4 3 2 5 4" xfId="11344" xr:uid="{76C701A0-464B-4A78-88F9-22AC9FD604BF}"/>
    <cellStyle name="40% - Accent4 3 2 5 5" xfId="19791" xr:uid="{7593BAD7-EADD-443F-A53E-A446C13F4BCD}"/>
    <cellStyle name="40% - Accent4 3 2 5 6" xfId="28238" xr:uid="{7E25E0F0-7B31-4AEC-B4C5-59301C07D1DF}"/>
    <cellStyle name="40% - Accent4 3 2 6" xfId="2342" xr:uid="{00000000-0005-0000-0000-000004060000}"/>
    <cellStyle name="40% - Accent4 3 2 6 2" xfId="6648" xr:uid="{00000000-0005-0000-0000-000005060000}"/>
    <cellStyle name="40% - Accent4 3 2 6 2 2" xfId="15974" xr:uid="{0F3B37B9-F943-4B66-A9D2-761B7EEEA5D6}"/>
    <cellStyle name="40% - Accent4 3 2 6 2 3" xfId="24421" xr:uid="{2D609CED-902F-4D12-B943-09B2E0EF19B0}"/>
    <cellStyle name="40% - Accent4 3 2 6 2 4" xfId="32868" xr:uid="{CD3C1162-3DE1-4403-81B6-5F958AEBFB94}"/>
    <cellStyle name="40% - Accent4 3 2 6 3" xfId="11757" xr:uid="{F97888FC-9204-4203-A992-F36D748BA6B8}"/>
    <cellStyle name="40% - Accent4 3 2 6 4" xfId="20204" xr:uid="{79285B9D-ACFF-4A53-956A-14E7B0F7588B}"/>
    <cellStyle name="40% - Accent4 3 2 6 5" xfId="28651" xr:uid="{D984A4AE-3638-462F-889A-AF158380DD6A}"/>
    <cellStyle name="40% - Accent4 3 2 7" xfId="4582" xr:uid="{00000000-0005-0000-0000-000006060000}"/>
    <cellStyle name="40% - Accent4 3 2 7 2" xfId="13908" xr:uid="{7D2FBC9C-5D82-4459-8187-E485489FA61B}"/>
    <cellStyle name="40% - Accent4 3 2 7 3" xfId="22355" xr:uid="{D234A25C-C1DE-4408-B716-5708CD235F31}"/>
    <cellStyle name="40% - Accent4 3 2 7 4" xfId="30802" xr:uid="{37D2C177-47C3-4151-AE30-11B249428CB7}"/>
    <cellStyle name="40% - Accent4 3 2 8" xfId="9075" xr:uid="{6C51FF47-5618-4E1E-BC97-01FFF287A6C3}"/>
    <cellStyle name="40% - Accent4 3 2 9" xfId="9691" xr:uid="{CBD06ED6-A8F5-490D-87E9-BEAE32A00F12}"/>
    <cellStyle name="40% - Accent4 3 3" xfId="647" xr:uid="{00000000-0005-0000-0000-000007060000}"/>
    <cellStyle name="40% - Accent4 3 3 2" xfId="2918" xr:uid="{00000000-0005-0000-0000-000008060000}"/>
    <cellStyle name="40% - Accent4 3 3 2 2" xfId="7140" xr:uid="{00000000-0005-0000-0000-000009060000}"/>
    <cellStyle name="40% - Accent4 3 3 2 2 2" xfId="16466" xr:uid="{30E351DC-65E2-40CF-BF91-C0E373E41C4A}"/>
    <cellStyle name="40% - Accent4 3 3 2 2 3" xfId="24913" xr:uid="{91EC8742-AC92-40ED-9755-85760E7EFDC9}"/>
    <cellStyle name="40% - Accent4 3 3 2 2 4" xfId="33360" xr:uid="{B3F34C16-5FA4-4789-9D93-DA8172818160}"/>
    <cellStyle name="40% - Accent4 3 3 2 3" xfId="12249" xr:uid="{2BA85D46-B73E-4FF9-8D38-1ED4ED7A73C7}"/>
    <cellStyle name="40% - Accent4 3 3 2 4" xfId="20696" xr:uid="{BE6F4B81-B7DB-48B0-AA82-67EBC212623E}"/>
    <cellStyle name="40% - Accent4 3 3 2 5" xfId="29143" xr:uid="{D275F4FC-8F0A-48CE-B98D-06803CCDC5F5}"/>
    <cellStyle name="40% - Accent4 3 3 3" xfId="4995" xr:uid="{00000000-0005-0000-0000-00000A060000}"/>
    <cellStyle name="40% - Accent4 3 3 3 2" xfId="14321" xr:uid="{C79B8E7D-5361-465B-9A0E-426C763AD11F}"/>
    <cellStyle name="40% - Accent4 3 3 3 3" xfId="22768" xr:uid="{90EFD83B-55D5-4F27-BEF0-DE485C04CE76}"/>
    <cellStyle name="40% - Accent4 3 3 3 4" xfId="31215" xr:uid="{9BE8A389-7BB8-4E66-B8AA-CB97F22161D4}"/>
    <cellStyle name="40% - Accent4 3 3 4" xfId="9293" xr:uid="{4A28D7F5-3617-45DC-A350-6C6596CDA765}"/>
    <cellStyle name="40% - Accent4 3 3 5" xfId="10104" xr:uid="{B82A4480-07EC-429B-8BC6-253870357D3B}"/>
    <cellStyle name="40% - Accent4 3 3 6" xfId="18551" xr:uid="{81EE66A6-BE0A-43E5-90C0-014EE853ABC3}"/>
    <cellStyle name="40% - Accent4 3 3 7" xfId="26998" xr:uid="{0BA04F1D-2506-49C7-9005-7C5E1EA059C4}"/>
    <cellStyle name="40% - Accent4 3 4" xfId="1100" xr:uid="{00000000-0005-0000-0000-00000B060000}"/>
    <cellStyle name="40% - Accent4 3 4 2" xfId="3331" xr:uid="{00000000-0005-0000-0000-00000C060000}"/>
    <cellStyle name="40% - Accent4 3 4 2 2" xfId="7553" xr:uid="{00000000-0005-0000-0000-00000D060000}"/>
    <cellStyle name="40% - Accent4 3 4 2 2 2" xfId="16879" xr:uid="{5ECF07D9-8D9B-46E1-ABC8-903726158865}"/>
    <cellStyle name="40% - Accent4 3 4 2 2 3" xfId="25326" xr:uid="{41DD0728-BD9F-4392-8125-6D3998D17F76}"/>
    <cellStyle name="40% - Accent4 3 4 2 2 4" xfId="33773" xr:uid="{F60374A4-D8C7-46EB-BF04-2EA30FA7EBFA}"/>
    <cellStyle name="40% - Accent4 3 4 2 3" xfId="12662" xr:uid="{E8C27CC9-8DA0-473D-BCD4-0EC22E0D5402}"/>
    <cellStyle name="40% - Accent4 3 4 2 4" xfId="21109" xr:uid="{347DEC0D-3214-4707-A676-AF5A8062D99E}"/>
    <cellStyle name="40% - Accent4 3 4 2 5" xfId="29556" xr:uid="{CFDD9FF0-E8CC-4EBF-BBC2-90A938FA07FD}"/>
    <cellStyle name="40% - Accent4 3 4 3" xfId="5408" xr:uid="{00000000-0005-0000-0000-00000E060000}"/>
    <cellStyle name="40% - Accent4 3 4 3 2" xfId="14734" xr:uid="{C3C33E66-9AE9-4E9D-A9EA-6F13E1BA30A5}"/>
    <cellStyle name="40% - Accent4 3 4 3 3" xfId="23181" xr:uid="{E33DC8BF-B07D-485C-9776-523A1831C1B1}"/>
    <cellStyle name="40% - Accent4 3 4 3 4" xfId="31628" xr:uid="{2B58ACF0-B2D3-4AD4-9728-7B02AC299953}"/>
    <cellStyle name="40% - Accent4 3 4 4" xfId="10517" xr:uid="{594B0308-43F8-475B-BEE7-E16DE6B7EC39}"/>
    <cellStyle name="40% - Accent4 3 4 5" xfId="18964" xr:uid="{71F97BEA-B9FC-42D9-BE71-05D2A1D4B980}"/>
    <cellStyle name="40% - Accent4 3 4 6" xfId="27411" xr:uid="{533B6BA2-CFE7-4EE7-89EB-F6B6D4F11AEB}"/>
    <cellStyle name="40% - Accent4 3 5" xfId="1514" xr:uid="{00000000-0005-0000-0000-00000F060000}"/>
    <cellStyle name="40% - Accent4 3 5 2" xfId="3744" xr:uid="{00000000-0005-0000-0000-000010060000}"/>
    <cellStyle name="40% - Accent4 3 5 2 2" xfId="7966" xr:uid="{00000000-0005-0000-0000-000011060000}"/>
    <cellStyle name="40% - Accent4 3 5 2 2 2" xfId="17292" xr:uid="{C9621943-07E4-4B68-AF3C-8AC136A52A1C}"/>
    <cellStyle name="40% - Accent4 3 5 2 2 3" xfId="25739" xr:uid="{0B5F5E21-71FE-44B7-80FF-472FD48625C8}"/>
    <cellStyle name="40% - Accent4 3 5 2 2 4" xfId="34186" xr:uid="{8886308F-3E85-4758-A203-24DA1DBBEA6E}"/>
    <cellStyle name="40% - Accent4 3 5 2 3" xfId="13075" xr:uid="{DECB47CD-C3D0-49B8-A2CA-6821058024B1}"/>
    <cellStyle name="40% - Accent4 3 5 2 4" xfId="21522" xr:uid="{3A2A6C30-24CB-4502-86C0-8D468C7D11E4}"/>
    <cellStyle name="40% - Accent4 3 5 2 5" xfId="29969" xr:uid="{E4DD8CD7-5F03-439C-BB0B-32C0D90FC567}"/>
    <cellStyle name="40% - Accent4 3 5 3" xfId="5821" xr:uid="{00000000-0005-0000-0000-000012060000}"/>
    <cellStyle name="40% - Accent4 3 5 3 2" xfId="15147" xr:uid="{1EC01FF7-860B-4CA7-8254-8CF284BDD99D}"/>
    <cellStyle name="40% - Accent4 3 5 3 3" xfId="23594" xr:uid="{2049E587-166B-43C0-BBDF-5DCF72E7A0AF}"/>
    <cellStyle name="40% - Accent4 3 5 3 4" xfId="32041" xr:uid="{C908204B-3BFF-4580-99CD-33B9E8D174A2}"/>
    <cellStyle name="40% - Accent4 3 5 4" xfId="10930" xr:uid="{4E4ED6F7-D7B7-4AF6-B65B-72CB1A853846}"/>
    <cellStyle name="40% - Accent4 3 5 5" xfId="19377" xr:uid="{1186E5FB-1FEC-4383-A4D0-A7D9B2BA5F14}"/>
    <cellStyle name="40% - Accent4 3 5 6" xfId="27824" xr:uid="{034B7C58-B754-4923-9A05-1C84B82A5D9D}"/>
    <cellStyle name="40% - Accent4 3 6" xfId="1928" xr:uid="{00000000-0005-0000-0000-000013060000}"/>
    <cellStyle name="40% - Accent4 3 6 2" xfId="4157" xr:uid="{00000000-0005-0000-0000-000014060000}"/>
    <cellStyle name="40% - Accent4 3 6 2 2" xfId="8379" xr:uid="{00000000-0005-0000-0000-000015060000}"/>
    <cellStyle name="40% - Accent4 3 6 2 2 2" xfId="17705" xr:uid="{11C314AE-6E63-4740-95F2-58E678A7602C}"/>
    <cellStyle name="40% - Accent4 3 6 2 2 3" xfId="26152" xr:uid="{0A1C7D65-F6C0-4DB8-B72E-EEA0413BE347}"/>
    <cellStyle name="40% - Accent4 3 6 2 2 4" xfId="34599" xr:uid="{DA149FC9-5DC6-4F14-AE95-239EFEDA11B4}"/>
    <cellStyle name="40% - Accent4 3 6 2 3" xfId="13488" xr:uid="{82FB17C1-04F8-4A64-AD50-593C3DCC49A4}"/>
    <cellStyle name="40% - Accent4 3 6 2 4" xfId="21935" xr:uid="{7D436C1E-5A0A-4510-9180-5883021E519C}"/>
    <cellStyle name="40% - Accent4 3 6 2 5" xfId="30382" xr:uid="{E004E601-6E86-4331-A33C-58738CB9E52F}"/>
    <cellStyle name="40% - Accent4 3 6 3" xfId="6234" xr:uid="{00000000-0005-0000-0000-000016060000}"/>
    <cellStyle name="40% - Accent4 3 6 3 2" xfId="15560" xr:uid="{61CB946B-64B7-4BC4-8E2B-C6BBB37CF35B}"/>
    <cellStyle name="40% - Accent4 3 6 3 3" xfId="24007" xr:uid="{BFF8AA2A-C394-4FFD-B31B-C377DDB25CEE}"/>
    <cellStyle name="40% - Accent4 3 6 3 4" xfId="32454" xr:uid="{CA4FB7C1-9260-4DBD-9058-EE141103AFED}"/>
    <cellStyle name="40% - Accent4 3 6 4" xfId="11343" xr:uid="{FFED6619-F10D-4C54-95AE-87EB580E3017}"/>
    <cellStyle name="40% - Accent4 3 6 5" xfId="19790" xr:uid="{CBC26C3C-2708-44BB-BB3B-79E59CC5B0AE}"/>
    <cellStyle name="40% - Accent4 3 6 6" xfId="28237" xr:uid="{E9336E1E-6015-42B8-A1EB-1F19DE7101C0}"/>
    <cellStyle name="40% - Accent4 3 7" xfId="2341" xr:uid="{00000000-0005-0000-0000-000017060000}"/>
    <cellStyle name="40% - Accent4 3 7 2" xfId="6647" xr:uid="{00000000-0005-0000-0000-000018060000}"/>
    <cellStyle name="40% - Accent4 3 7 2 2" xfId="15973" xr:uid="{5CBA5A60-FFBC-4791-B782-0509A511D725}"/>
    <cellStyle name="40% - Accent4 3 7 2 3" xfId="24420" xr:uid="{B79F1868-80F8-4C5A-B93D-8D743659B1E5}"/>
    <cellStyle name="40% - Accent4 3 7 2 4" xfId="32867" xr:uid="{112EF1DB-B9B0-4C50-94CA-7DA06A014CFC}"/>
    <cellStyle name="40% - Accent4 3 7 3" xfId="11756" xr:uid="{806DE264-A107-446F-94CD-9072ADDB0015}"/>
    <cellStyle name="40% - Accent4 3 7 4" xfId="20203" xr:uid="{78610926-9ADF-4CBF-B82F-D9E557E4BE4A}"/>
    <cellStyle name="40% - Accent4 3 7 5" xfId="28650" xr:uid="{4C6A3680-03C4-48AF-A87B-5C01242BE5F7}"/>
    <cellStyle name="40% - Accent4 3 8" xfId="4581" xr:uid="{00000000-0005-0000-0000-000019060000}"/>
    <cellStyle name="40% - Accent4 3 8 2" xfId="13907" xr:uid="{CA719B5C-6C4F-4E48-833B-B11CB5521861}"/>
    <cellStyle name="40% - Accent4 3 8 3" xfId="22354" xr:uid="{0017C368-A66B-421E-AFAA-B99C318338D4}"/>
    <cellStyle name="40% - Accent4 3 8 4" xfId="30801" xr:uid="{250C6D68-2257-42F2-BBC8-D3CEF13F9CDD}"/>
    <cellStyle name="40% - Accent4 3 9" xfId="8868" xr:uid="{538D9F50-ACCA-4DB0-A3F1-A129ACFFA0BF}"/>
    <cellStyle name="40% - Accent4 4" xfId="80" xr:uid="{00000000-0005-0000-0000-00001A060000}"/>
    <cellStyle name="40% - Accent4 4 10" xfId="18139" xr:uid="{CCF6655A-229C-46DB-9FC3-E412AE183A8A}"/>
    <cellStyle name="40% - Accent4 4 11" xfId="26586" xr:uid="{40A87035-FADC-44B8-AAE3-790041C471F6}"/>
    <cellStyle name="40% - Accent4 4 2" xfId="649" xr:uid="{00000000-0005-0000-0000-00001B060000}"/>
    <cellStyle name="40% - Accent4 4 2 2" xfId="2920" xr:uid="{00000000-0005-0000-0000-00001C060000}"/>
    <cellStyle name="40% - Accent4 4 2 2 2" xfId="7142" xr:uid="{00000000-0005-0000-0000-00001D060000}"/>
    <cellStyle name="40% - Accent4 4 2 2 2 2" xfId="16468" xr:uid="{5AEC348F-6F96-4F1D-95B0-03035B740D2A}"/>
    <cellStyle name="40% - Accent4 4 2 2 2 3" xfId="24915" xr:uid="{F8655BE9-009D-4935-B90C-1FC66AB033E4}"/>
    <cellStyle name="40% - Accent4 4 2 2 2 4" xfId="33362" xr:uid="{EBE01517-31C1-43F2-97C2-FC776E9468FD}"/>
    <cellStyle name="40% - Accent4 4 2 2 3" xfId="12251" xr:uid="{967E67F0-EA39-4158-94F9-BD82B11D7F29}"/>
    <cellStyle name="40% - Accent4 4 2 2 4" xfId="20698" xr:uid="{CE3F74E5-5A2F-4DD5-88BD-213765210083}"/>
    <cellStyle name="40% - Accent4 4 2 2 5" xfId="29145" xr:uid="{79C17AD7-7B3B-46A1-B2D0-1A37206902AC}"/>
    <cellStyle name="40% - Accent4 4 2 3" xfId="4997" xr:uid="{00000000-0005-0000-0000-00001E060000}"/>
    <cellStyle name="40% - Accent4 4 2 3 2" xfId="14323" xr:uid="{5B432D86-3CC5-4E48-AD8E-D40FAF31A738}"/>
    <cellStyle name="40% - Accent4 4 2 3 3" xfId="22770" xr:uid="{BE33B92E-5A48-49DA-9554-563791664531}"/>
    <cellStyle name="40% - Accent4 4 2 3 4" xfId="31217" xr:uid="{FDAAB756-C389-454C-9803-A69BA5CB7D73}"/>
    <cellStyle name="40% - Accent4 4 2 4" xfId="9379" xr:uid="{EE31EAE0-1741-4D6E-B7B4-C5DB59044F55}"/>
    <cellStyle name="40% - Accent4 4 2 5" xfId="10106" xr:uid="{B060B0F9-33C8-4037-ADF1-261E91EBC8CE}"/>
    <cellStyle name="40% - Accent4 4 2 6" xfId="18553" xr:uid="{AA604BD4-FFB3-41CC-983F-5D999CEF315E}"/>
    <cellStyle name="40% - Accent4 4 2 7" xfId="27000" xr:uid="{462C6556-7CCE-4372-8373-FDC4CADC14B8}"/>
    <cellStyle name="40% - Accent4 4 3" xfId="1102" xr:uid="{00000000-0005-0000-0000-00001F060000}"/>
    <cellStyle name="40% - Accent4 4 3 2" xfId="3333" xr:uid="{00000000-0005-0000-0000-000020060000}"/>
    <cellStyle name="40% - Accent4 4 3 2 2" xfId="7555" xr:uid="{00000000-0005-0000-0000-000021060000}"/>
    <cellStyle name="40% - Accent4 4 3 2 2 2" xfId="16881" xr:uid="{C1F3637D-61F8-4FC9-87E4-07C43D855A23}"/>
    <cellStyle name="40% - Accent4 4 3 2 2 3" xfId="25328" xr:uid="{B7D45ABD-B814-4D69-8041-521213A71A34}"/>
    <cellStyle name="40% - Accent4 4 3 2 2 4" xfId="33775" xr:uid="{82296B6F-7128-4650-85E4-910D547938C5}"/>
    <cellStyle name="40% - Accent4 4 3 2 3" xfId="12664" xr:uid="{0DDBE58D-B683-4AF0-A6DB-DF28D6142F0A}"/>
    <cellStyle name="40% - Accent4 4 3 2 4" xfId="21111" xr:uid="{0C86EAFF-ED05-46F9-9B48-F6FB87DAA093}"/>
    <cellStyle name="40% - Accent4 4 3 2 5" xfId="29558" xr:uid="{0EFA06B0-6B07-408D-AE61-C5323F452E41}"/>
    <cellStyle name="40% - Accent4 4 3 3" xfId="5410" xr:uid="{00000000-0005-0000-0000-000022060000}"/>
    <cellStyle name="40% - Accent4 4 3 3 2" xfId="14736" xr:uid="{59754BC1-9BC1-477B-8BEB-7D79C90AB0A4}"/>
    <cellStyle name="40% - Accent4 4 3 3 3" xfId="23183" xr:uid="{627CC1EE-9136-422C-9FAD-1C1ABEA606CC}"/>
    <cellStyle name="40% - Accent4 4 3 3 4" xfId="31630" xr:uid="{70C0B870-7B39-4906-B875-017E24EF343B}"/>
    <cellStyle name="40% - Accent4 4 3 4" xfId="10519" xr:uid="{E077ABA7-8F89-48F5-B5AD-EDE5F57D1599}"/>
    <cellStyle name="40% - Accent4 4 3 5" xfId="18966" xr:uid="{AD33393B-092C-49D0-BACC-5DA9AD6312B3}"/>
    <cellStyle name="40% - Accent4 4 3 6" xfId="27413" xr:uid="{B517BF70-B301-4F4F-85F2-EC69DCDB1ABF}"/>
    <cellStyle name="40% - Accent4 4 4" xfId="1516" xr:uid="{00000000-0005-0000-0000-000023060000}"/>
    <cellStyle name="40% - Accent4 4 4 2" xfId="3746" xr:uid="{00000000-0005-0000-0000-000024060000}"/>
    <cellStyle name="40% - Accent4 4 4 2 2" xfId="7968" xr:uid="{00000000-0005-0000-0000-000025060000}"/>
    <cellStyle name="40% - Accent4 4 4 2 2 2" xfId="17294" xr:uid="{155E12E2-630F-4B45-80F1-E5B66786E03A}"/>
    <cellStyle name="40% - Accent4 4 4 2 2 3" xfId="25741" xr:uid="{EFB0DEF9-3F2E-4CB0-8380-18294FD57EB8}"/>
    <cellStyle name="40% - Accent4 4 4 2 2 4" xfId="34188" xr:uid="{4F22FA82-B7BF-4F7C-B1CD-097BB00E7E0E}"/>
    <cellStyle name="40% - Accent4 4 4 2 3" xfId="13077" xr:uid="{B2B734B6-B074-4D6D-B70A-D8FB85CFDB93}"/>
    <cellStyle name="40% - Accent4 4 4 2 4" xfId="21524" xr:uid="{148C6C13-F3C1-432E-A239-B15FD7C1FC34}"/>
    <cellStyle name="40% - Accent4 4 4 2 5" xfId="29971" xr:uid="{43D76049-4819-455F-8146-A233F471BE85}"/>
    <cellStyle name="40% - Accent4 4 4 3" xfId="5823" xr:uid="{00000000-0005-0000-0000-000026060000}"/>
    <cellStyle name="40% - Accent4 4 4 3 2" xfId="15149" xr:uid="{4CCA2539-8232-4D36-8850-C176796791B2}"/>
    <cellStyle name="40% - Accent4 4 4 3 3" xfId="23596" xr:uid="{3768F5B0-351C-4C97-A1FC-FC1CF364E7FC}"/>
    <cellStyle name="40% - Accent4 4 4 3 4" xfId="32043" xr:uid="{E10AA957-31E6-499F-A409-475079258F18}"/>
    <cellStyle name="40% - Accent4 4 4 4" xfId="10932" xr:uid="{171B4452-B4EB-48EA-BA12-D6E6C157AA01}"/>
    <cellStyle name="40% - Accent4 4 4 5" xfId="19379" xr:uid="{DA0D82CD-6CB4-40DF-B74D-74D707869F5A}"/>
    <cellStyle name="40% - Accent4 4 4 6" xfId="27826" xr:uid="{50D87972-2F51-442C-A1A9-2B504BD0EDD2}"/>
    <cellStyle name="40% - Accent4 4 5" xfId="1930" xr:uid="{00000000-0005-0000-0000-000027060000}"/>
    <cellStyle name="40% - Accent4 4 5 2" xfId="4159" xr:uid="{00000000-0005-0000-0000-000028060000}"/>
    <cellStyle name="40% - Accent4 4 5 2 2" xfId="8381" xr:uid="{00000000-0005-0000-0000-000029060000}"/>
    <cellStyle name="40% - Accent4 4 5 2 2 2" xfId="17707" xr:uid="{00AA32C6-9796-416B-86CE-B0435D029053}"/>
    <cellStyle name="40% - Accent4 4 5 2 2 3" xfId="26154" xr:uid="{612B8474-55AF-4C68-B23A-9615290EF026}"/>
    <cellStyle name="40% - Accent4 4 5 2 2 4" xfId="34601" xr:uid="{D8949C21-D35A-491E-BD02-CF173850BD73}"/>
    <cellStyle name="40% - Accent4 4 5 2 3" xfId="13490" xr:uid="{C0AD16CE-DA18-4A17-9761-869E6F1BB58A}"/>
    <cellStyle name="40% - Accent4 4 5 2 4" xfId="21937" xr:uid="{5C990044-5F74-4112-85A4-85F42ECD654C}"/>
    <cellStyle name="40% - Accent4 4 5 2 5" xfId="30384" xr:uid="{927756C9-7D93-4CC7-9CFF-2CE4FA395D92}"/>
    <cellStyle name="40% - Accent4 4 5 3" xfId="6236" xr:uid="{00000000-0005-0000-0000-00002A060000}"/>
    <cellStyle name="40% - Accent4 4 5 3 2" xfId="15562" xr:uid="{E1E5BF69-BDDC-477A-8BC2-AC233715531D}"/>
    <cellStyle name="40% - Accent4 4 5 3 3" xfId="24009" xr:uid="{D1CCDE99-F7BD-4320-A425-7561169FC0C9}"/>
    <cellStyle name="40% - Accent4 4 5 3 4" xfId="32456" xr:uid="{3B0F8532-56FA-4E7D-8A83-B31BAB3E5A79}"/>
    <cellStyle name="40% - Accent4 4 5 4" xfId="11345" xr:uid="{4D3B15A8-41C0-44F0-A0C5-FF9C40AF7107}"/>
    <cellStyle name="40% - Accent4 4 5 5" xfId="19792" xr:uid="{04C0C7C2-30DB-42AA-B767-DBC154CE1416}"/>
    <cellStyle name="40% - Accent4 4 5 6" xfId="28239" xr:uid="{248B6C12-D7DE-44FD-B867-6F8C4EDBA80D}"/>
    <cellStyle name="40% - Accent4 4 6" xfId="2343" xr:uid="{00000000-0005-0000-0000-00002B060000}"/>
    <cellStyle name="40% - Accent4 4 6 2" xfId="6649" xr:uid="{00000000-0005-0000-0000-00002C060000}"/>
    <cellStyle name="40% - Accent4 4 6 2 2" xfId="15975" xr:uid="{FFEE6933-9A07-4350-8885-EC63816C5943}"/>
    <cellStyle name="40% - Accent4 4 6 2 3" xfId="24422" xr:uid="{2B89780A-F521-4CB2-AA31-19CCFAD57FED}"/>
    <cellStyle name="40% - Accent4 4 6 2 4" xfId="32869" xr:uid="{78EC56E9-BC4B-43EF-8A11-42917A69556E}"/>
    <cellStyle name="40% - Accent4 4 6 3" xfId="11758" xr:uid="{A8056FA4-7766-43B7-AFA6-7C19987FCA13}"/>
    <cellStyle name="40% - Accent4 4 6 4" xfId="20205" xr:uid="{6BA4A468-CCAC-434B-A5EB-9AF608573BBA}"/>
    <cellStyle name="40% - Accent4 4 6 5" xfId="28652" xr:uid="{9C9A9234-8C3D-47BE-8D5B-4F4181BF9CE2}"/>
    <cellStyle name="40% - Accent4 4 7" xfId="4583" xr:uid="{00000000-0005-0000-0000-00002D060000}"/>
    <cellStyle name="40% - Accent4 4 7 2" xfId="13909" xr:uid="{54356BCD-F974-46C8-93E5-2CA0713952EF}"/>
    <cellStyle name="40% - Accent4 4 7 3" xfId="22356" xr:uid="{40D23B1A-9D25-4423-8659-C396D5739A65}"/>
    <cellStyle name="40% - Accent4 4 7 4" xfId="30803" xr:uid="{19E46D28-7D6E-495D-BE59-633CB49B8759}"/>
    <cellStyle name="40% - Accent4 4 8" xfId="8954" xr:uid="{2C178683-58B3-4513-85E7-15FAC3AC035D}"/>
    <cellStyle name="40% - Accent4 4 9" xfId="9692" xr:uid="{85CDBF08-F773-43C2-89FF-F3212D4DAF5B}"/>
    <cellStyle name="40% - Accent4 5" xfId="642" xr:uid="{00000000-0005-0000-0000-00002E060000}"/>
    <cellStyle name="40% - Accent4 5 2" xfId="2913" xr:uid="{00000000-0005-0000-0000-00002F060000}"/>
    <cellStyle name="40% - Accent4 5 2 2" xfId="7135" xr:uid="{00000000-0005-0000-0000-000030060000}"/>
    <cellStyle name="40% - Accent4 5 2 2 2" xfId="16461" xr:uid="{7EA4C60C-8EE9-47A9-912E-6309CF3C1BEB}"/>
    <cellStyle name="40% - Accent4 5 2 2 3" xfId="24908" xr:uid="{9C483293-F85B-4CF6-898B-1C32D1333CF4}"/>
    <cellStyle name="40% - Accent4 5 2 2 4" xfId="33355" xr:uid="{2B91D573-E9B6-4298-8F6F-154F61851A56}"/>
    <cellStyle name="40% - Accent4 5 2 3" xfId="12244" xr:uid="{0C29FD24-77CB-4101-ADEF-B4FE64516E46}"/>
    <cellStyle name="40% - Accent4 5 2 4" xfId="20691" xr:uid="{2F67156C-E69F-4D41-A108-9402888E8B65}"/>
    <cellStyle name="40% - Accent4 5 2 5" xfId="29138" xr:uid="{BE7659AF-007A-4A5C-9F8D-5964E902F145}"/>
    <cellStyle name="40% - Accent4 5 3" xfId="4990" xr:uid="{00000000-0005-0000-0000-000031060000}"/>
    <cellStyle name="40% - Accent4 5 3 2" xfId="14316" xr:uid="{55B6FE0C-13F7-491F-9914-BFA868744F1E}"/>
    <cellStyle name="40% - Accent4 5 3 3" xfId="22763" xr:uid="{C3799D36-FFF6-4CF0-A14E-C90BB3B10C4B}"/>
    <cellStyle name="40% - Accent4 5 3 4" xfId="31210" xr:uid="{2C0E3C51-3B7C-447E-90AA-B8048F3C8F1E}"/>
    <cellStyle name="40% - Accent4 5 4" xfId="9187" xr:uid="{33022C89-0CDD-4091-8005-358F63FF8F46}"/>
    <cellStyle name="40% - Accent4 5 5" xfId="10099" xr:uid="{CEB7E6B9-85A3-4D06-A7D2-660A48222781}"/>
    <cellStyle name="40% - Accent4 5 6" xfId="18546" xr:uid="{0E3A0387-361D-4898-AE19-F8AF170FB8CA}"/>
    <cellStyle name="40% - Accent4 5 7" xfId="26993" xr:uid="{203665B5-A21A-4075-B090-15315A9D71DD}"/>
    <cellStyle name="40% - Accent4 6" xfId="1095" xr:uid="{00000000-0005-0000-0000-000032060000}"/>
    <cellStyle name="40% - Accent4 6 2" xfId="3326" xr:uid="{00000000-0005-0000-0000-000033060000}"/>
    <cellStyle name="40% - Accent4 6 2 2" xfId="7548" xr:uid="{00000000-0005-0000-0000-000034060000}"/>
    <cellStyle name="40% - Accent4 6 2 2 2" xfId="16874" xr:uid="{612C4671-6976-46E1-BE1F-12DB05BDA36F}"/>
    <cellStyle name="40% - Accent4 6 2 2 3" xfId="25321" xr:uid="{8061EA33-9E23-4AB7-89E5-7AF318F35192}"/>
    <cellStyle name="40% - Accent4 6 2 2 4" xfId="33768" xr:uid="{12C606A7-8200-4C6B-852C-1E99D4F05EB8}"/>
    <cellStyle name="40% - Accent4 6 2 3" xfId="12657" xr:uid="{045187E0-0334-4CE0-AD0A-A43F93571E74}"/>
    <cellStyle name="40% - Accent4 6 2 4" xfId="21104" xr:uid="{61F6398F-2B0D-4A7F-AF75-40060202705D}"/>
    <cellStyle name="40% - Accent4 6 2 5" xfId="29551" xr:uid="{5A6D5E53-264C-4471-B62A-39D90B2B9454}"/>
    <cellStyle name="40% - Accent4 6 3" xfId="5403" xr:uid="{00000000-0005-0000-0000-000035060000}"/>
    <cellStyle name="40% - Accent4 6 3 2" xfId="14729" xr:uid="{F80C0FA2-8D1A-48C5-B7C1-E77E56952BF1}"/>
    <cellStyle name="40% - Accent4 6 3 3" xfId="23176" xr:uid="{2E4F40F8-F4A7-4BD0-9CFE-63AC02CF9D7B}"/>
    <cellStyle name="40% - Accent4 6 3 4" xfId="31623" xr:uid="{0F622976-94E7-4FF0-ACB5-5E89FDB5AF32}"/>
    <cellStyle name="40% - Accent4 6 4" xfId="10512" xr:uid="{E857C327-0BD1-4156-887B-327E83C02EBE}"/>
    <cellStyle name="40% - Accent4 6 5" xfId="18959" xr:uid="{6529DA3E-50C6-4BF1-9C7A-6838F51F7312}"/>
    <cellStyle name="40% - Accent4 6 6" xfId="27406" xr:uid="{01A5815E-5818-4EF7-9F58-5656AE902892}"/>
    <cellStyle name="40% - Accent4 7" xfId="1509" xr:uid="{00000000-0005-0000-0000-000036060000}"/>
    <cellStyle name="40% - Accent4 7 2" xfId="3739" xr:uid="{00000000-0005-0000-0000-000037060000}"/>
    <cellStyle name="40% - Accent4 7 2 2" xfId="7961" xr:uid="{00000000-0005-0000-0000-000038060000}"/>
    <cellStyle name="40% - Accent4 7 2 2 2" xfId="17287" xr:uid="{E38E1E70-5B6E-4E29-A2EB-ECC283800811}"/>
    <cellStyle name="40% - Accent4 7 2 2 3" xfId="25734" xr:uid="{DDCFF3E4-A429-4ADB-A88F-FB3BB7333A1B}"/>
    <cellStyle name="40% - Accent4 7 2 2 4" xfId="34181" xr:uid="{9A0903BC-5B9F-4BB2-903D-79BB1C862960}"/>
    <cellStyle name="40% - Accent4 7 2 3" xfId="13070" xr:uid="{BCB988F3-8D87-4694-BD8C-96B16BAD9D13}"/>
    <cellStyle name="40% - Accent4 7 2 4" xfId="21517" xr:uid="{D7A9D753-2D99-4C8B-9E92-31B774A08E44}"/>
    <cellStyle name="40% - Accent4 7 2 5" xfId="29964" xr:uid="{AB83762D-781F-42DE-8948-89AD571EE96E}"/>
    <cellStyle name="40% - Accent4 7 3" xfId="5816" xr:uid="{00000000-0005-0000-0000-000039060000}"/>
    <cellStyle name="40% - Accent4 7 3 2" xfId="15142" xr:uid="{2BDBC462-E478-4C49-BCDD-3719C171067C}"/>
    <cellStyle name="40% - Accent4 7 3 3" xfId="23589" xr:uid="{8A3C07A6-3885-4890-85AF-722A60FEE3EE}"/>
    <cellStyle name="40% - Accent4 7 3 4" xfId="32036" xr:uid="{FB8C0D1A-CB63-46AD-B61D-C17CA3B52900}"/>
    <cellStyle name="40% - Accent4 7 4" xfId="10925" xr:uid="{C6959913-6C7F-4621-B526-4625153E00E1}"/>
    <cellStyle name="40% - Accent4 7 5" xfId="19372" xr:uid="{5B424658-07F1-4B7A-916B-26C04BB79496}"/>
    <cellStyle name="40% - Accent4 7 6" xfId="27819" xr:uid="{3CB82F1A-BEF0-4BA4-9199-1F2B5EA519C5}"/>
    <cellStyle name="40% - Accent4 8" xfId="1923" xr:uid="{00000000-0005-0000-0000-00003A060000}"/>
    <cellStyle name="40% - Accent4 8 2" xfId="4152" xr:uid="{00000000-0005-0000-0000-00003B060000}"/>
    <cellStyle name="40% - Accent4 8 2 2" xfId="8374" xr:uid="{00000000-0005-0000-0000-00003C060000}"/>
    <cellStyle name="40% - Accent4 8 2 2 2" xfId="17700" xr:uid="{9824409E-BD94-4A36-A373-F6F406CCEF25}"/>
    <cellStyle name="40% - Accent4 8 2 2 3" xfId="26147" xr:uid="{161006C8-ED71-47A7-A55C-8EDDB685A625}"/>
    <cellStyle name="40% - Accent4 8 2 2 4" xfId="34594" xr:uid="{60B02127-5E22-4D87-97A7-0EA885444EB1}"/>
    <cellStyle name="40% - Accent4 8 2 3" xfId="13483" xr:uid="{3BBA88D9-B257-441E-AE16-E22F1CB1ACCC}"/>
    <cellStyle name="40% - Accent4 8 2 4" xfId="21930" xr:uid="{A12B16DD-AA1A-4012-B886-3761CA9533E1}"/>
    <cellStyle name="40% - Accent4 8 2 5" xfId="30377" xr:uid="{A4F886C6-A0FC-4FB7-AAD7-4D5D1462A851}"/>
    <cellStyle name="40% - Accent4 8 3" xfId="6229" xr:uid="{00000000-0005-0000-0000-00003D060000}"/>
    <cellStyle name="40% - Accent4 8 3 2" xfId="15555" xr:uid="{21FB9D10-BB57-468F-8D9A-362C1B5E5CA8}"/>
    <cellStyle name="40% - Accent4 8 3 3" xfId="24002" xr:uid="{D2E7EA4A-1290-4FAC-8A8B-BE38373FCDDB}"/>
    <cellStyle name="40% - Accent4 8 3 4" xfId="32449" xr:uid="{CB7C3280-FC9B-478D-A87F-1ECA0BC28C78}"/>
    <cellStyle name="40% - Accent4 8 4" xfId="11338" xr:uid="{E6EFD006-5E99-465A-B1BE-E30F0A684855}"/>
    <cellStyle name="40% - Accent4 8 5" xfId="19785" xr:uid="{8773F279-6F0A-4CE9-8552-C6233A93CB85}"/>
    <cellStyle name="40% - Accent4 8 6" xfId="28232" xr:uid="{4F5AAE41-0A32-458A-9470-7E7881AE4E15}"/>
    <cellStyle name="40% - Accent4 9" xfId="2336" xr:uid="{00000000-0005-0000-0000-00003E060000}"/>
    <cellStyle name="40% - Accent4 9 2" xfId="6642" xr:uid="{00000000-0005-0000-0000-00003F060000}"/>
    <cellStyle name="40% - Accent4 9 2 2" xfId="15968" xr:uid="{4562FA55-7263-4C88-9142-ADB6A361EB8B}"/>
    <cellStyle name="40% - Accent4 9 2 3" xfId="24415" xr:uid="{F2CBD523-1488-44D7-B4E9-3CE0643FC2DC}"/>
    <cellStyle name="40% - Accent4 9 2 4" xfId="32862" xr:uid="{C0E54FD6-6E25-45E7-B50F-ACCED3E2DEFE}"/>
    <cellStyle name="40% - Accent4 9 3" xfId="11751" xr:uid="{5F8DE549-E276-49A7-807B-8A38D018EA30}"/>
    <cellStyle name="40% - Accent4 9 4" xfId="20198" xr:uid="{5C7368AD-3433-48BB-AD1D-497AB1B08D74}"/>
    <cellStyle name="40% - Accent4 9 5" xfId="28645" xr:uid="{757BD0BD-B186-4A95-BBE6-2148CD52261A}"/>
    <cellStyle name="40% - Accent5" xfId="81" builtinId="47" customBuiltin="1"/>
    <cellStyle name="40% - Accent5 10" xfId="4584" xr:uid="{00000000-0005-0000-0000-000041060000}"/>
    <cellStyle name="40% - Accent5 10 2" xfId="13910" xr:uid="{B9E1951C-88D4-403C-B59E-F73C89E85CE3}"/>
    <cellStyle name="40% - Accent5 10 3" xfId="22357" xr:uid="{DF6C2E10-D518-471B-A990-CEF9B983D85E}"/>
    <cellStyle name="40% - Accent5 10 4" xfId="30804" xr:uid="{B2AB5BEF-1C10-46BD-A3B3-2CD49EFFD6D3}"/>
    <cellStyle name="40% - Accent5 11" xfId="8767" xr:uid="{7A46ADF8-3420-4D4A-A3FE-8E96F0FA38E7}"/>
    <cellStyle name="40% - Accent5 12" xfId="9693" xr:uid="{0C438497-FBCD-420E-95CB-BC5DF6F9AC48}"/>
    <cellStyle name="40% - Accent5 13" xfId="18140" xr:uid="{08FB17DB-EADA-4DE3-A9A3-787042DFBE69}"/>
    <cellStyle name="40% - Accent5 14" xfId="26587" xr:uid="{8BDF6ACC-A728-4BAE-95A6-EA1CBB006943}"/>
    <cellStyle name="40% - Accent5 2" xfId="82" xr:uid="{00000000-0005-0000-0000-000042060000}"/>
    <cellStyle name="40% - Accent5 2 10" xfId="8802" xr:uid="{CF9BFF45-99AC-47A3-8B01-051C55FBB24D}"/>
    <cellStyle name="40% - Accent5 2 11" xfId="9694" xr:uid="{8405B4CD-CFFF-4244-B324-F07BE4575200}"/>
    <cellStyle name="40% - Accent5 2 12" xfId="18141" xr:uid="{F2607213-B3A4-4FF5-9EEA-CABD56824664}"/>
    <cellStyle name="40% - Accent5 2 13" xfId="26588" xr:uid="{63ABE40E-C4CE-4AD1-B242-0DE5C56ED23C}"/>
    <cellStyle name="40% - Accent5 2 2" xfId="83" xr:uid="{00000000-0005-0000-0000-000043060000}"/>
    <cellStyle name="40% - Accent5 2 2 10" xfId="9695" xr:uid="{2E3B744B-B108-4424-9AA2-F2AF0C1B20A6}"/>
    <cellStyle name="40% - Accent5 2 2 11" xfId="18142" xr:uid="{576111A3-8043-423C-907E-F11F8DC15F4E}"/>
    <cellStyle name="40% - Accent5 2 2 12" xfId="26589" xr:uid="{0DD58006-CB1D-4515-ADA0-C99CB364A162}"/>
    <cellStyle name="40% - Accent5 2 2 2" xfId="84" xr:uid="{00000000-0005-0000-0000-000044060000}"/>
    <cellStyle name="40% - Accent5 2 2 2 10" xfId="18143" xr:uid="{56EA14AF-DDCC-40D8-BE9F-72483382220D}"/>
    <cellStyle name="40% - Accent5 2 2 2 11" xfId="26590" xr:uid="{5932ADC0-1909-4EA2-9058-C25DBEC7A3AE}"/>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16472" xr:uid="{5BC80A6B-2F64-4F2E-B414-698EB4EACCD7}"/>
    <cellStyle name="40% - Accent5 2 2 2 2 2 2 3" xfId="24919" xr:uid="{7B12073D-6A35-4626-BF5E-62E2E07900D7}"/>
    <cellStyle name="40% - Accent5 2 2 2 2 2 2 4" xfId="33366" xr:uid="{56BAB525-C640-4DC9-86A5-2D4DB0E92A42}"/>
    <cellStyle name="40% - Accent5 2 2 2 2 2 3" xfId="12255" xr:uid="{706A0419-1049-424F-888E-582D1401F173}"/>
    <cellStyle name="40% - Accent5 2 2 2 2 2 4" xfId="20702" xr:uid="{F7C3AB8F-F94C-4A02-9946-2890A5901678}"/>
    <cellStyle name="40% - Accent5 2 2 2 2 2 5" xfId="29149" xr:uid="{4579D325-1A9B-43B8-86CD-DD959BAFC9FF}"/>
    <cellStyle name="40% - Accent5 2 2 2 2 3" xfId="5001" xr:uid="{00000000-0005-0000-0000-000048060000}"/>
    <cellStyle name="40% - Accent5 2 2 2 2 3 2" xfId="14327" xr:uid="{69F2BAF8-D514-47B9-91C1-A1EA9B62EFAD}"/>
    <cellStyle name="40% - Accent5 2 2 2 2 3 3" xfId="22774" xr:uid="{40265402-167B-4628-9B42-9D23376E4D7C}"/>
    <cellStyle name="40% - Accent5 2 2 2 2 3 4" xfId="31221" xr:uid="{737A564A-8D4F-4AF1-B5E6-13273349216C}"/>
    <cellStyle name="40% - Accent5 2 2 2 2 4" xfId="9537" xr:uid="{83834145-5D3F-4083-A609-6DB90651C4CE}"/>
    <cellStyle name="40% - Accent5 2 2 2 2 5" xfId="10110" xr:uid="{B8AD0E8F-06D8-47B5-8108-BE86273DEEEA}"/>
    <cellStyle name="40% - Accent5 2 2 2 2 6" xfId="18557" xr:uid="{539E61F7-5E1E-4E80-BD81-A6C2343A0CCE}"/>
    <cellStyle name="40% - Accent5 2 2 2 2 7" xfId="27004" xr:uid="{CCDD6F91-9DED-4AC0-9B9A-204605DA5D29}"/>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16885" xr:uid="{73B7C3E0-9B01-4CF7-A335-2DA7A3A52518}"/>
    <cellStyle name="40% - Accent5 2 2 2 3 2 2 3" xfId="25332" xr:uid="{972D1FA4-22EE-4004-83CB-46C5C602DD9D}"/>
    <cellStyle name="40% - Accent5 2 2 2 3 2 2 4" xfId="33779" xr:uid="{198AB991-C115-4C01-A720-1DB3B2EF874B}"/>
    <cellStyle name="40% - Accent5 2 2 2 3 2 3" xfId="12668" xr:uid="{2D9876ED-0F66-4EF9-A93E-EDA710C040C4}"/>
    <cellStyle name="40% - Accent5 2 2 2 3 2 4" xfId="21115" xr:uid="{F032008E-A97A-4771-B478-89EF3E2FB11F}"/>
    <cellStyle name="40% - Accent5 2 2 2 3 2 5" xfId="29562" xr:uid="{FA1DB17D-5B20-41C5-A3D6-2FAA4A16D949}"/>
    <cellStyle name="40% - Accent5 2 2 2 3 3" xfId="5414" xr:uid="{00000000-0005-0000-0000-00004C060000}"/>
    <cellStyle name="40% - Accent5 2 2 2 3 3 2" xfId="14740" xr:uid="{7E07B864-9225-4A94-B48C-4593E07B40E3}"/>
    <cellStyle name="40% - Accent5 2 2 2 3 3 3" xfId="23187" xr:uid="{65BB201E-71A3-45F6-B8BA-51E8A8D49AB3}"/>
    <cellStyle name="40% - Accent5 2 2 2 3 3 4" xfId="31634" xr:uid="{E962D757-7678-4C3A-9691-B1684074249F}"/>
    <cellStyle name="40% - Accent5 2 2 2 3 4" xfId="10523" xr:uid="{C799F361-1BCD-40A1-A20A-1E0C450CB775}"/>
    <cellStyle name="40% - Accent5 2 2 2 3 5" xfId="18970" xr:uid="{FC3E27FF-E6DD-4972-A5D6-D92694E70F00}"/>
    <cellStyle name="40% - Accent5 2 2 2 3 6" xfId="27417" xr:uid="{B45D868B-0EF1-4DDF-AAAA-A24C450C0316}"/>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17298" xr:uid="{10FF4CE3-F881-4524-8549-10DB7B6D3523}"/>
    <cellStyle name="40% - Accent5 2 2 2 4 2 2 3" xfId="25745" xr:uid="{E380C23B-9A00-4208-BE34-AC22785D681A}"/>
    <cellStyle name="40% - Accent5 2 2 2 4 2 2 4" xfId="34192" xr:uid="{DC58ACF3-9B2E-4FA7-AFE7-5834058FC96B}"/>
    <cellStyle name="40% - Accent5 2 2 2 4 2 3" xfId="13081" xr:uid="{54E37942-D6C9-4D03-872A-98D96E41E7A2}"/>
    <cellStyle name="40% - Accent5 2 2 2 4 2 4" xfId="21528" xr:uid="{F674C599-DA37-4B49-8954-B66040A2F10E}"/>
    <cellStyle name="40% - Accent5 2 2 2 4 2 5" xfId="29975" xr:uid="{F3B1547E-22B6-463B-9C39-B1A5D8206B6D}"/>
    <cellStyle name="40% - Accent5 2 2 2 4 3" xfId="5827" xr:uid="{00000000-0005-0000-0000-000050060000}"/>
    <cellStyle name="40% - Accent5 2 2 2 4 3 2" xfId="15153" xr:uid="{8120CF88-D9FF-4064-B4DE-54197B77511A}"/>
    <cellStyle name="40% - Accent5 2 2 2 4 3 3" xfId="23600" xr:uid="{66447792-AF37-4D0A-800B-646C84C08341}"/>
    <cellStyle name="40% - Accent5 2 2 2 4 3 4" xfId="32047" xr:uid="{93416AB8-D84F-48B2-9178-18961756BB8D}"/>
    <cellStyle name="40% - Accent5 2 2 2 4 4" xfId="10936" xr:uid="{B72F7542-FF29-41EE-A88B-B339C003A046}"/>
    <cellStyle name="40% - Accent5 2 2 2 4 5" xfId="19383" xr:uid="{AB91A49F-FBDF-4655-A57B-512C904A7F8B}"/>
    <cellStyle name="40% - Accent5 2 2 2 4 6" xfId="27830" xr:uid="{0CF4E53D-6592-4A3C-BCAD-50D7BF991FD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17711" xr:uid="{70B138DC-1979-46A7-8D1E-7110F0DE53E3}"/>
    <cellStyle name="40% - Accent5 2 2 2 5 2 2 3" xfId="26158" xr:uid="{BF7DB414-15EC-4B70-A1D7-4215F43E3D71}"/>
    <cellStyle name="40% - Accent5 2 2 2 5 2 2 4" xfId="34605" xr:uid="{0AEDE04E-6EAF-450F-B799-FED566F52D56}"/>
    <cellStyle name="40% - Accent5 2 2 2 5 2 3" xfId="13494" xr:uid="{47D1CADC-307B-49C4-B2C4-742B237F308E}"/>
    <cellStyle name="40% - Accent5 2 2 2 5 2 4" xfId="21941" xr:uid="{16F99205-B167-476F-B5CF-9C732D52EF3A}"/>
    <cellStyle name="40% - Accent5 2 2 2 5 2 5" xfId="30388" xr:uid="{955F7DE6-514B-4A4A-AD41-568052E7BC22}"/>
    <cellStyle name="40% - Accent5 2 2 2 5 3" xfId="6240" xr:uid="{00000000-0005-0000-0000-000054060000}"/>
    <cellStyle name="40% - Accent5 2 2 2 5 3 2" xfId="15566" xr:uid="{B6430223-522F-4A58-BF9D-DC9571E6D302}"/>
    <cellStyle name="40% - Accent5 2 2 2 5 3 3" xfId="24013" xr:uid="{48E90AD7-84FF-4D8F-B3C6-8E3C5D031A61}"/>
    <cellStyle name="40% - Accent5 2 2 2 5 3 4" xfId="32460" xr:uid="{8C9D497D-43F7-4824-B674-5612173645A9}"/>
    <cellStyle name="40% - Accent5 2 2 2 5 4" xfId="11349" xr:uid="{6EE9AF0F-142E-4C5E-ADCA-8912668A929F}"/>
    <cellStyle name="40% - Accent5 2 2 2 5 5" xfId="19796" xr:uid="{783485A6-2FC8-42B5-95FE-0DBD902B5895}"/>
    <cellStyle name="40% - Accent5 2 2 2 5 6" xfId="28243" xr:uid="{1D06093D-1D19-44D5-A805-FB6FC475638D}"/>
    <cellStyle name="40% - Accent5 2 2 2 6" xfId="2347" xr:uid="{00000000-0005-0000-0000-000055060000}"/>
    <cellStyle name="40% - Accent5 2 2 2 6 2" xfId="6653" xr:uid="{00000000-0005-0000-0000-000056060000}"/>
    <cellStyle name="40% - Accent5 2 2 2 6 2 2" xfId="15979" xr:uid="{F990F2AB-224C-4DDC-9E23-CD16DAAE5FCD}"/>
    <cellStyle name="40% - Accent5 2 2 2 6 2 3" xfId="24426" xr:uid="{142D7BF8-F991-4958-94E3-8C15088E0F72}"/>
    <cellStyle name="40% - Accent5 2 2 2 6 2 4" xfId="32873" xr:uid="{BFB1634D-6509-4CE5-97B3-30DDF08D0E31}"/>
    <cellStyle name="40% - Accent5 2 2 2 6 3" xfId="11762" xr:uid="{55529BA3-2F1E-4858-81D6-88D5C318DBC1}"/>
    <cellStyle name="40% - Accent5 2 2 2 6 4" xfId="20209" xr:uid="{6B40CC75-CB1D-4F67-AACD-12A3AF594F74}"/>
    <cellStyle name="40% - Accent5 2 2 2 6 5" xfId="28656" xr:uid="{9F86D6D5-37B8-40AA-AFDA-B3152CEBA9C6}"/>
    <cellStyle name="40% - Accent5 2 2 2 7" xfId="4587" xr:uid="{00000000-0005-0000-0000-000057060000}"/>
    <cellStyle name="40% - Accent5 2 2 2 7 2" xfId="13913" xr:uid="{4A0631B0-11D6-40D9-9B93-977BC5E4083F}"/>
    <cellStyle name="40% - Accent5 2 2 2 7 3" xfId="22360" xr:uid="{E76EC124-9ED8-4160-A044-E68D4A1E0E0D}"/>
    <cellStyle name="40% - Accent5 2 2 2 7 4" xfId="30807" xr:uid="{124A86EF-D6CC-40B5-91BA-CDC7DB57C211}"/>
    <cellStyle name="40% - Accent5 2 2 2 8" xfId="9112" xr:uid="{65D0CC40-E9D0-4CE3-B684-8DE4A2C7BCD7}"/>
    <cellStyle name="40% - Accent5 2 2 2 9" xfId="9696" xr:uid="{9F7241A0-829A-47C6-B64E-88323D0F6FD7}"/>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16471" xr:uid="{A79F7DB5-0227-4C40-A9C3-02A901E41443}"/>
    <cellStyle name="40% - Accent5 2 2 3 2 2 3" xfId="24918" xr:uid="{DAFAEABA-6003-4C2A-B038-D02FE4B9C12A}"/>
    <cellStyle name="40% - Accent5 2 2 3 2 2 4" xfId="33365" xr:uid="{3C0D92BF-F9E4-4BC2-A171-A8ACB503DCDE}"/>
    <cellStyle name="40% - Accent5 2 2 3 2 3" xfId="12254" xr:uid="{62D53C17-3156-453D-A55A-ADA7B0E5D386}"/>
    <cellStyle name="40% - Accent5 2 2 3 2 4" xfId="20701" xr:uid="{5B049B30-D1D7-457E-9A2E-1AA679214334}"/>
    <cellStyle name="40% - Accent5 2 2 3 2 5" xfId="29148" xr:uid="{AB909767-9DA4-41B2-94CF-EF3ABB347C8B}"/>
    <cellStyle name="40% - Accent5 2 2 3 3" xfId="5000" xr:uid="{00000000-0005-0000-0000-00005B060000}"/>
    <cellStyle name="40% - Accent5 2 2 3 3 2" xfId="14326" xr:uid="{955C8EAA-F8CB-431F-A3A8-5F8653F495EE}"/>
    <cellStyle name="40% - Accent5 2 2 3 3 3" xfId="22773" xr:uid="{09E6BF9F-3EB2-4574-9887-91857CF23508}"/>
    <cellStyle name="40% - Accent5 2 2 3 3 4" xfId="31220" xr:uid="{ED2D321B-03F6-45E2-9F5C-43A5611C6A67}"/>
    <cellStyle name="40% - Accent5 2 2 3 4" xfId="9330" xr:uid="{75959B30-FD84-42A5-95AE-69048CCC8361}"/>
    <cellStyle name="40% - Accent5 2 2 3 5" xfId="10109" xr:uid="{94AFE3C7-32DF-4255-BD3A-B805A983BFD4}"/>
    <cellStyle name="40% - Accent5 2 2 3 6" xfId="18556" xr:uid="{6AFD0345-DA97-4714-A930-1F38573C4D2B}"/>
    <cellStyle name="40% - Accent5 2 2 3 7" xfId="27003" xr:uid="{F807E53B-79CA-450C-8F86-23E2EE8BFFB0}"/>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16884" xr:uid="{37637A39-0BDD-420C-86F5-6D138B13ED64}"/>
    <cellStyle name="40% - Accent5 2 2 4 2 2 3" xfId="25331" xr:uid="{F909F623-E2C8-43C9-BB5D-EEAD67C2C351}"/>
    <cellStyle name="40% - Accent5 2 2 4 2 2 4" xfId="33778" xr:uid="{D30A8367-CDBE-4AEC-9216-6122DAFD08B9}"/>
    <cellStyle name="40% - Accent5 2 2 4 2 3" xfId="12667" xr:uid="{53262DF7-6CE1-4622-8512-5D9E0AEBDCCD}"/>
    <cellStyle name="40% - Accent5 2 2 4 2 4" xfId="21114" xr:uid="{7D2B04D2-2ED4-49D6-B9AC-61375EC3928C}"/>
    <cellStyle name="40% - Accent5 2 2 4 2 5" xfId="29561" xr:uid="{A731484A-BC7B-4AED-BFE8-549E87C0FDCA}"/>
    <cellStyle name="40% - Accent5 2 2 4 3" xfId="5413" xr:uid="{00000000-0005-0000-0000-00005F060000}"/>
    <cellStyle name="40% - Accent5 2 2 4 3 2" xfId="14739" xr:uid="{A514D5BB-5598-4D12-9F46-589158ED1914}"/>
    <cellStyle name="40% - Accent5 2 2 4 3 3" xfId="23186" xr:uid="{4AD47E20-2ECB-4136-866F-3D8560A7D809}"/>
    <cellStyle name="40% - Accent5 2 2 4 3 4" xfId="31633" xr:uid="{2F81E8EA-1A8E-4473-9E50-B5F47F0EA3D1}"/>
    <cellStyle name="40% - Accent5 2 2 4 4" xfId="10522" xr:uid="{501BB4D2-84C0-4685-8E10-FA91FF5755E0}"/>
    <cellStyle name="40% - Accent5 2 2 4 5" xfId="18969" xr:uid="{5F5F116B-CCCA-42AA-B7F6-EBB0C87DED23}"/>
    <cellStyle name="40% - Accent5 2 2 4 6" xfId="27416" xr:uid="{23EF8A78-5AED-4461-9A90-689A0994ED74}"/>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17297" xr:uid="{327E9844-8500-40C8-8C01-C565DA3295AA}"/>
    <cellStyle name="40% - Accent5 2 2 5 2 2 3" xfId="25744" xr:uid="{73A31396-B0F9-4F11-83C7-04CE37667DDB}"/>
    <cellStyle name="40% - Accent5 2 2 5 2 2 4" xfId="34191" xr:uid="{281A198A-421B-4751-AA53-B0A8F8E8264F}"/>
    <cellStyle name="40% - Accent5 2 2 5 2 3" xfId="13080" xr:uid="{80BFC0B7-071D-4DC5-8693-63BF3F9F4F0E}"/>
    <cellStyle name="40% - Accent5 2 2 5 2 4" xfId="21527" xr:uid="{5504BB23-3ACE-4130-9353-ADEF8E93D26B}"/>
    <cellStyle name="40% - Accent5 2 2 5 2 5" xfId="29974" xr:uid="{BDA96A0C-C5D3-40A9-BDB1-972DAC283854}"/>
    <cellStyle name="40% - Accent5 2 2 5 3" xfId="5826" xr:uid="{00000000-0005-0000-0000-000063060000}"/>
    <cellStyle name="40% - Accent5 2 2 5 3 2" xfId="15152" xr:uid="{56C1E8A5-5F54-43A1-9506-0A753A62F49F}"/>
    <cellStyle name="40% - Accent5 2 2 5 3 3" xfId="23599" xr:uid="{22F6DDE1-03C6-4BA4-9395-388977E95A2C}"/>
    <cellStyle name="40% - Accent5 2 2 5 3 4" xfId="32046" xr:uid="{AEE36144-1ACA-4C4B-AED3-8B0E45696A11}"/>
    <cellStyle name="40% - Accent5 2 2 5 4" xfId="10935" xr:uid="{080B6852-93C3-4005-A4E1-3517BAA2992C}"/>
    <cellStyle name="40% - Accent5 2 2 5 5" xfId="19382" xr:uid="{671B1767-9F86-4564-AA07-173C288CFBB2}"/>
    <cellStyle name="40% - Accent5 2 2 5 6" xfId="27829" xr:uid="{284E9187-98B6-4AC6-BE08-8B021045AF5B}"/>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17710" xr:uid="{802A8898-9F67-44E6-8D32-9B74928E0462}"/>
    <cellStyle name="40% - Accent5 2 2 6 2 2 3" xfId="26157" xr:uid="{5A45E62E-A2A9-4D16-B4EE-7912A14C59B8}"/>
    <cellStyle name="40% - Accent5 2 2 6 2 2 4" xfId="34604" xr:uid="{F44FB8C6-3F4B-45D1-80EC-2E6BD74E8DD0}"/>
    <cellStyle name="40% - Accent5 2 2 6 2 3" xfId="13493" xr:uid="{5088D6A5-4281-460A-87D6-9369DD5BCC1D}"/>
    <cellStyle name="40% - Accent5 2 2 6 2 4" xfId="21940" xr:uid="{2FA52F0E-F467-46C7-A23F-AE95A5E09EF7}"/>
    <cellStyle name="40% - Accent5 2 2 6 2 5" xfId="30387" xr:uid="{C7F9023D-2301-4DA0-B08F-84F739A71713}"/>
    <cellStyle name="40% - Accent5 2 2 6 3" xfId="6239" xr:uid="{00000000-0005-0000-0000-000067060000}"/>
    <cellStyle name="40% - Accent5 2 2 6 3 2" xfId="15565" xr:uid="{6B6C0EF2-DA04-4216-85B9-70BE0764285E}"/>
    <cellStyle name="40% - Accent5 2 2 6 3 3" xfId="24012" xr:uid="{1FEE44F6-C0A7-40ED-8EEA-B9B70D63AEA1}"/>
    <cellStyle name="40% - Accent5 2 2 6 3 4" xfId="32459" xr:uid="{D424B028-60E2-474B-9B27-3F8030766EAF}"/>
    <cellStyle name="40% - Accent5 2 2 6 4" xfId="11348" xr:uid="{AB240872-2520-479D-A347-F182740C268D}"/>
    <cellStyle name="40% - Accent5 2 2 6 5" xfId="19795" xr:uid="{4319D0E5-F2B5-44AF-945C-CDD3AD56E0DF}"/>
    <cellStyle name="40% - Accent5 2 2 6 6" xfId="28242" xr:uid="{C5B13E79-3676-4414-A50D-BC97C4C01061}"/>
    <cellStyle name="40% - Accent5 2 2 7" xfId="2346" xr:uid="{00000000-0005-0000-0000-000068060000}"/>
    <cellStyle name="40% - Accent5 2 2 7 2" xfId="6652" xr:uid="{00000000-0005-0000-0000-000069060000}"/>
    <cellStyle name="40% - Accent5 2 2 7 2 2" xfId="15978" xr:uid="{69255541-A639-41D0-B607-C4ECB095A061}"/>
    <cellStyle name="40% - Accent5 2 2 7 2 3" xfId="24425" xr:uid="{7659EA31-A89E-4FFF-B230-079E2F407345}"/>
    <cellStyle name="40% - Accent5 2 2 7 2 4" xfId="32872" xr:uid="{518FD6E4-A4B4-4AD5-ADB3-B2D5A3D4692B}"/>
    <cellStyle name="40% - Accent5 2 2 7 3" xfId="11761" xr:uid="{F354650A-C975-47B2-9841-D528D2F0DAA4}"/>
    <cellStyle name="40% - Accent5 2 2 7 4" xfId="20208" xr:uid="{8B03EB69-F79E-4F11-8229-F965F1C7C661}"/>
    <cellStyle name="40% - Accent5 2 2 7 5" xfId="28655" xr:uid="{8CE10D72-CB35-4690-965C-934F7A26D393}"/>
    <cellStyle name="40% - Accent5 2 2 8" xfId="4586" xr:uid="{00000000-0005-0000-0000-00006A060000}"/>
    <cellStyle name="40% - Accent5 2 2 8 2" xfId="13912" xr:uid="{6EDC3592-D1F4-4439-A609-F81E5A32F197}"/>
    <cellStyle name="40% - Accent5 2 2 8 3" xfId="22359" xr:uid="{B7CE4C92-DA66-4750-A9FE-89D3DE47120D}"/>
    <cellStyle name="40% - Accent5 2 2 8 4" xfId="30806" xr:uid="{0E9B213E-8982-4F00-AE65-D7380F2E11C1}"/>
    <cellStyle name="40% - Accent5 2 2 9" xfId="8905" xr:uid="{3B48B2AE-2C2B-47FB-A8F4-43FECCDBCFEF}"/>
    <cellStyle name="40% - Accent5 2 3" xfId="85" xr:uid="{00000000-0005-0000-0000-00006B060000}"/>
    <cellStyle name="40% - Accent5 2 3 10" xfId="18144" xr:uid="{8379F204-F0A4-47FD-9137-F78B244CBE0C}"/>
    <cellStyle name="40% - Accent5 2 3 11" xfId="26591" xr:uid="{7764D06D-E244-4F45-B0C7-D27F90FA2D5B}"/>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16473" xr:uid="{5654A7CE-E97F-4707-9FF4-0F069C5D2CC6}"/>
    <cellStyle name="40% - Accent5 2 3 2 2 2 3" xfId="24920" xr:uid="{68DB4B0D-4C55-42C0-BA92-D634EFBB7348}"/>
    <cellStyle name="40% - Accent5 2 3 2 2 2 4" xfId="33367" xr:uid="{0040F7D3-A129-4E75-847C-C121CCF7167C}"/>
    <cellStyle name="40% - Accent5 2 3 2 2 3" xfId="12256" xr:uid="{1B4B4760-D5C6-49F4-BBF8-FDFCEA96B92C}"/>
    <cellStyle name="40% - Accent5 2 3 2 2 4" xfId="20703" xr:uid="{DE8B5248-0147-4E7F-8904-C3D96B19FE4B}"/>
    <cellStyle name="40% - Accent5 2 3 2 2 5" xfId="29150" xr:uid="{EC543985-EE37-4D60-BBB6-A96730897A0C}"/>
    <cellStyle name="40% - Accent5 2 3 2 3" xfId="5002" xr:uid="{00000000-0005-0000-0000-00006F060000}"/>
    <cellStyle name="40% - Accent5 2 3 2 3 2" xfId="14328" xr:uid="{496A9638-E47D-4940-82CB-585E93FE487F}"/>
    <cellStyle name="40% - Accent5 2 3 2 3 3" xfId="22775" xr:uid="{35087C89-DFDC-4595-885C-39B2F75D8D14}"/>
    <cellStyle name="40% - Accent5 2 3 2 3 4" xfId="31222" xr:uid="{A64E1E9B-5A6C-49CC-9CBC-EAE78B6D7094}"/>
    <cellStyle name="40% - Accent5 2 3 2 4" xfId="9434" xr:uid="{512EAA64-F150-4B15-8534-EB34D6D41408}"/>
    <cellStyle name="40% - Accent5 2 3 2 5" xfId="10111" xr:uid="{7E812B4D-8632-49A2-817F-09E22C1C1640}"/>
    <cellStyle name="40% - Accent5 2 3 2 6" xfId="18558" xr:uid="{42A1308E-FABF-490D-8524-487AB3DD1610}"/>
    <cellStyle name="40% - Accent5 2 3 2 7" xfId="27005" xr:uid="{2BEA8A9D-515C-43DD-8A0A-96546DBDADFA}"/>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16886" xr:uid="{96F2EAF1-D560-4550-9DD4-C1D8EE90136C}"/>
    <cellStyle name="40% - Accent5 2 3 3 2 2 3" xfId="25333" xr:uid="{75AA7C95-D376-4506-8300-50D8E6230398}"/>
    <cellStyle name="40% - Accent5 2 3 3 2 2 4" xfId="33780" xr:uid="{96E37146-398A-4FCD-8A4C-F836F4E6CA8C}"/>
    <cellStyle name="40% - Accent5 2 3 3 2 3" xfId="12669" xr:uid="{0907CA41-B46E-4A8B-8025-4A26DE07E2AA}"/>
    <cellStyle name="40% - Accent5 2 3 3 2 4" xfId="21116" xr:uid="{05C7CC45-04B2-4A2E-A781-A9E9EF5FB76B}"/>
    <cellStyle name="40% - Accent5 2 3 3 2 5" xfId="29563" xr:uid="{64C878A4-C17E-460A-BD48-75DCB577327B}"/>
    <cellStyle name="40% - Accent5 2 3 3 3" xfId="5415" xr:uid="{00000000-0005-0000-0000-000073060000}"/>
    <cellStyle name="40% - Accent5 2 3 3 3 2" xfId="14741" xr:uid="{DE8A2DBB-2A6F-46B0-B7CA-1E6D9F89A5F6}"/>
    <cellStyle name="40% - Accent5 2 3 3 3 3" xfId="23188" xr:uid="{0E69261A-443F-4683-8FE8-D723D17CBCD5}"/>
    <cellStyle name="40% - Accent5 2 3 3 3 4" xfId="31635" xr:uid="{20792145-6605-451C-99DD-B9B4807B22D4}"/>
    <cellStyle name="40% - Accent5 2 3 3 4" xfId="10524" xr:uid="{A80D1009-2EC9-49C9-93DD-1723F61711A4}"/>
    <cellStyle name="40% - Accent5 2 3 3 5" xfId="18971" xr:uid="{F1F0BD36-2DF4-4805-B7D0-820A1443B6AC}"/>
    <cellStyle name="40% - Accent5 2 3 3 6" xfId="27418" xr:uid="{CE91CD0F-43AD-4D29-A2BD-9EBD8F5324BF}"/>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17299" xr:uid="{715948BC-C2FE-48C8-A382-D369078A6D4B}"/>
    <cellStyle name="40% - Accent5 2 3 4 2 2 3" xfId="25746" xr:uid="{E385F797-4ED5-4780-AC8D-671AA54ACC54}"/>
    <cellStyle name="40% - Accent5 2 3 4 2 2 4" xfId="34193" xr:uid="{5183456A-A293-4CB7-A90D-3969F1025302}"/>
    <cellStyle name="40% - Accent5 2 3 4 2 3" xfId="13082" xr:uid="{38B8B2CD-6ED6-4706-8C7D-7EC9E1CA0344}"/>
    <cellStyle name="40% - Accent5 2 3 4 2 4" xfId="21529" xr:uid="{ACEDCA7D-E23C-405F-A2C1-8908F58A06DC}"/>
    <cellStyle name="40% - Accent5 2 3 4 2 5" xfId="29976" xr:uid="{62735036-40AD-4DA5-8079-63E6C8CB5128}"/>
    <cellStyle name="40% - Accent5 2 3 4 3" xfId="5828" xr:uid="{00000000-0005-0000-0000-000077060000}"/>
    <cellStyle name="40% - Accent5 2 3 4 3 2" xfId="15154" xr:uid="{67FC5085-FDE5-41B3-9F44-64477C188BA5}"/>
    <cellStyle name="40% - Accent5 2 3 4 3 3" xfId="23601" xr:uid="{4AC45E7A-3302-46C8-86E4-48D1E6916A1F}"/>
    <cellStyle name="40% - Accent5 2 3 4 3 4" xfId="32048" xr:uid="{A0348932-72C1-42BE-98D6-3F2AE97F542F}"/>
    <cellStyle name="40% - Accent5 2 3 4 4" xfId="10937" xr:uid="{F041CE4F-F5BF-47D0-9CA8-9F52318F6CE5}"/>
    <cellStyle name="40% - Accent5 2 3 4 5" xfId="19384" xr:uid="{E77DD30A-4792-49E6-BE4A-C9D03F69712E}"/>
    <cellStyle name="40% - Accent5 2 3 4 6" xfId="27831" xr:uid="{BEE2E6E7-A79D-41D9-92AA-60D7F7BA1868}"/>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17712" xr:uid="{0EF39E90-6A68-47F4-A1BD-AED716BC0D3A}"/>
    <cellStyle name="40% - Accent5 2 3 5 2 2 3" xfId="26159" xr:uid="{423C7312-4040-4DB1-A999-085F8038CF1A}"/>
    <cellStyle name="40% - Accent5 2 3 5 2 2 4" xfId="34606" xr:uid="{D8589138-CA40-4A67-8297-B53288C870EF}"/>
    <cellStyle name="40% - Accent5 2 3 5 2 3" xfId="13495" xr:uid="{305B0EE5-AFD5-4950-AA35-B08B54C35736}"/>
    <cellStyle name="40% - Accent5 2 3 5 2 4" xfId="21942" xr:uid="{017E17B9-80A9-4581-BE37-1A5C7CB11576}"/>
    <cellStyle name="40% - Accent5 2 3 5 2 5" xfId="30389" xr:uid="{A99F9E15-93C1-41A5-89E5-F2DD2A9357CC}"/>
    <cellStyle name="40% - Accent5 2 3 5 3" xfId="6241" xr:uid="{00000000-0005-0000-0000-00007B060000}"/>
    <cellStyle name="40% - Accent5 2 3 5 3 2" xfId="15567" xr:uid="{9C1F1BC5-D342-4E6F-BFCF-C7DC2226DEF5}"/>
    <cellStyle name="40% - Accent5 2 3 5 3 3" xfId="24014" xr:uid="{F57A4646-30FF-47CB-815D-442DD66DAAC5}"/>
    <cellStyle name="40% - Accent5 2 3 5 3 4" xfId="32461" xr:uid="{6F3AA3B6-09F1-4007-9446-36E6E8B8DF69}"/>
    <cellStyle name="40% - Accent5 2 3 5 4" xfId="11350" xr:uid="{19C46DD2-C95F-45AD-AB84-C15EA660F53C}"/>
    <cellStyle name="40% - Accent5 2 3 5 5" xfId="19797" xr:uid="{C37DC45C-1DB5-4C97-962D-32737B877AD4}"/>
    <cellStyle name="40% - Accent5 2 3 5 6" xfId="28244" xr:uid="{0BDDD522-2832-4CB7-99D3-44BC0B8DF1F6}"/>
    <cellStyle name="40% - Accent5 2 3 6" xfId="2348" xr:uid="{00000000-0005-0000-0000-00007C060000}"/>
    <cellStyle name="40% - Accent5 2 3 6 2" xfId="6654" xr:uid="{00000000-0005-0000-0000-00007D060000}"/>
    <cellStyle name="40% - Accent5 2 3 6 2 2" xfId="15980" xr:uid="{C9FC2414-4B31-41B1-B9C1-9EC8839D2E4B}"/>
    <cellStyle name="40% - Accent5 2 3 6 2 3" xfId="24427" xr:uid="{23C7D6CA-38B3-4BE1-9618-442A9511EA96}"/>
    <cellStyle name="40% - Accent5 2 3 6 2 4" xfId="32874" xr:uid="{9C24A11C-D64B-4CE6-8EBB-B808D5186CC4}"/>
    <cellStyle name="40% - Accent5 2 3 6 3" xfId="11763" xr:uid="{0D7682F1-114B-47C8-BCE9-7A4BAA7B700D}"/>
    <cellStyle name="40% - Accent5 2 3 6 4" xfId="20210" xr:uid="{BAA1F8E9-4824-4819-989D-C5520338604C}"/>
    <cellStyle name="40% - Accent5 2 3 6 5" xfId="28657" xr:uid="{A5A5E54D-63B7-4C14-B06B-4330448C1E38}"/>
    <cellStyle name="40% - Accent5 2 3 7" xfId="4588" xr:uid="{00000000-0005-0000-0000-00007E060000}"/>
    <cellStyle name="40% - Accent5 2 3 7 2" xfId="13914" xr:uid="{D93D215D-63A3-44FC-A75D-C16AF6122611}"/>
    <cellStyle name="40% - Accent5 2 3 7 3" xfId="22361" xr:uid="{DFA2ED86-5C29-4B88-B60F-BE24A47AFD4E}"/>
    <cellStyle name="40% - Accent5 2 3 7 4" xfId="30808" xr:uid="{15C0B3FA-9B15-4FA9-AF53-C98F0B1DC54A}"/>
    <cellStyle name="40% - Accent5 2 3 8" xfId="9009" xr:uid="{DE8B6E41-761F-4ED0-BA8A-00A6A898A2FC}"/>
    <cellStyle name="40% - Accent5 2 3 9" xfId="9697" xr:uid="{261876E7-8888-4A2D-89DB-77C3BB451C36}"/>
    <cellStyle name="40% - Accent5 2 4" xfId="651" xr:uid="{00000000-0005-0000-0000-00007F060000}"/>
    <cellStyle name="40% - Accent5 2 4 2" xfId="2922" xr:uid="{00000000-0005-0000-0000-000080060000}"/>
    <cellStyle name="40% - Accent5 2 4 2 2" xfId="7144" xr:uid="{00000000-0005-0000-0000-000081060000}"/>
    <cellStyle name="40% - Accent5 2 4 2 2 2" xfId="16470" xr:uid="{095454F8-C739-490C-A560-3BF064EBC6AD}"/>
    <cellStyle name="40% - Accent5 2 4 2 2 3" xfId="24917" xr:uid="{F1EF7247-3A1B-43C7-BEC9-39D4B3B5477D}"/>
    <cellStyle name="40% - Accent5 2 4 2 2 4" xfId="33364" xr:uid="{4D2611E0-AB77-421D-8444-5E282B488CD5}"/>
    <cellStyle name="40% - Accent5 2 4 2 3" xfId="12253" xr:uid="{B7007558-2B28-4BE7-91B9-CD42D09FBCC9}"/>
    <cellStyle name="40% - Accent5 2 4 2 4" xfId="20700" xr:uid="{5A8BBA9B-C86D-4594-BBF7-C7F9C383010A}"/>
    <cellStyle name="40% - Accent5 2 4 2 5" xfId="29147" xr:uid="{062EE94B-18A5-4685-9AEA-C05202A8BC5D}"/>
    <cellStyle name="40% - Accent5 2 4 3" xfId="4999" xr:uid="{00000000-0005-0000-0000-000082060000}"/>
    <cellStyle name="40% - Accent5 2 4 3 2" xfId="14325" xr:uid="{19F78909-C98B-488E-A979-DB010D3F92D2}"/>
    <cellStyle name="40% - Accent5 2 4 3 3" xfId="22772" xr:uid="{A56520D5-031B-4CC8-8728-FD2A0638F892}"/>
    <cellStyle name="40% - Accent5 2 4 3 4" xfId="31219" xr:uid="{3C7F6EF6-489B-4C1E-B994-41DFFCCE069C}"/>
    <cellStyle name="40% - Accent5 2 4 4" xfId="9226" xr:uid="{6A688709-D29B-458C-973B-231279FAFEF5}"/>
    <cellStyle name="40% - Accent5 2 4 5" xfId="10108" xr:uid="{B002FACC-A59F-4977-90D7-ACAC4ADB463C}"/>
    <cellStyle name="40% - Accent5 2 4 6" xfId="18555" xr:uid="{0CD1FCD6-1B10-4D42-BE69-9635601F008C}"/>
    <cellStyle name="40% - Accent5 2 4 7" xfId="27002" xr:uid="{E4607AA9-4D62-49C4-B738-A07F9458FD87}"/>
    <cellStyle name="40% - Accent5 2 5" xfId="1104" xr:uid="{00000000-0005-0000-0000-000083060000}"/>
    <cellStyle name="40% - Accent5 2 5 2" xfId="3335" xr:uid="{00000000-0005-0000-0000-000084060000}"/>
    <cellStyle name="40% - Accent5 2 5 2 2" xfId="7557" xr:uid="{00000000-0005-0000-0000-000085060000}"/>
    <cellStyle name="40% - Accent5 2 5 2 2 2" xfId="16883" xr:uid="{8C160A3A-3CA5-47F1-83E5-AD4675F95E8A}"/>
    <cellStyle name="40% - Accent5 2 5 2 2 3" xfId="25330" xr:uid="{5DE2D772-A92A-4290-A9C3-C4596B952590}"/>
    <cellStyle name="40% - Accent5 2 5 2 2 4" xfId="33777" xr:uid="{059D448C-E72B-491C-A7DF-DFC69A37EA33}"/>
    <cellStyle name="40% - Accent5 2 5 2 3" xfId="12666" xr:uid="{EC619B1A-9955-448A-870F-71755D377372}"/>
    <cellStyle name="40% - Accent5 2 5 2 4" xfId="21113" xr:uid="{E9D81060-709F-4AE8-BE20-C6AF1143CDB2}"/>
    <cellStyle name="40% - Accent5 2 5 2 5" xfId="29560" xr:uid="{DC01C63C-0F0F-44E5-89D6-65D98CABD75E}"/>
    <cellStyle name="40% - Accent5 2 5 3" xfId="5412" xr:uid="{00000000-0005-0000-0000-000086060000}"/>
    <cellStyle name="40% - Accent5 2 5 3 2" xfId="14738" xr:uid="{410943D4-4DAB-4A6D-A28A-BD560877029F}"/>
    <cellStyle name="40% - Accent5 2 5 3 3" xfId="23185" xr:uid="{0F12833C-3B07-4455-9BF6-321CBBC23AA0}"/>
    <cellStyle name="40% - Accent5 2 5 3 4" xfId="31632" xr:uid="{2717B570-0DF7-481B-A5C8-6C00BFF80DE7}"/>
    <cellStyle name="40% - Accent5 2 5 4" xfId="10521" xr:uid="{CEF33E37-8F18-4FD6-A114-152B2486D63D}"/>
    <cellStyle name="40% - Accent5 2 5 5" xfId="18968" xr:uid="{959AE0B4-64E0-4BB7-8A04-7629F2B461F6}"/>
    <cellStyle name="40% - Accent5 2 5 6" xfId="27415" xr:uid="{B47FD4BB-13D7-418D-B632-B2DDDB92352B}"/>
    <cellStyle name="40% - Accent5 2 6" xfId="1518" xr:uid="{00000000-0005-0000-0000-000087060000}"/>
    <cellStyle name="40% - Accent5 2 6 2" xfId="3748" xr:uid="{00000000-0005-0000-0000-000088060000}"/>
    <cellStyle name="40% - Accent5 2 6 2 2" xfId="7970" xr:uid="{00000000-0005-0000-0000-000089060000}"/>
    <cellStyle name="40% - Accent5 2 6 2 2 2" xfId="17296" xr:uid="{53073C00-11FF-4E20-ADBA-E88B01233C9E}"/>
    <cellStyle name="40% - Accent5 2 6 2 2 3" xfId="25743" xr:uid="{83DC0509-0C71-4FC8-8AE1-FA369B7E7465}"/>
    <cellStyle name="40% - Accent5 2 6 2 2 4" xfId="34190" xr:uid="{96E22F7F-7AE1-459C-9EAE-288336998DB2}"/>
    <cellStyle name="40% - Accent5 2 6 2 3" xfId="13079" xr:uid="{D1C99807-00B3-46B0-8D26-CE9624A314A8}"/>
    <cellStyle name="40% - Accent5 2 6 2 4" xfId="21526" xr:uid="{C4B292D4-433B-444E-8E92-27021F980242}"/>
    <cellStyle name="40% - Accent5 2 6 2 5" xfId="29973" xr:uid="{973A2E2D-EE66-46A5-B214-A0A579A4E311}"/>
    <cellStyle name="40% - Accent5 2 6 3" xfId="5825" xr:uid="{00000000-0005-0000-0000-00008A060000}"/>
    <cellStyle name="40% - Accent5 2 6 3 2" xfId="15151" xr:uid="{3A40280D-A1FB-4A28-BE86-5DB533AA2F1D}"/>
    <cellStyle name="40% - Accent5 2 6 3 3" xfId="23598" xr:uid="{5E34B1AC-3492-4529-97E4-50644BD4EB13}"/>
    <cellStyle name="40% - Accent5 2 6 3 4" xfId="32045" xr:uid="{E3162CD4-1CC6-4141-AD4F-82D95B9E7996}"/>
    <cellStyle name="40% - Accent5 2 6 4" xfId="10934" xr:uid="{3638204E-FD7B-4BB9-A5C9-DF935403B1E7}"/>
    <cellStyle name="40% - Accent5 2 6 5" xfId="19381" xr:uid="{E97810EF-4B3D-4629-8392-B0852D6D00D9}"/>
    <cellStyle name="40% - Accent5 2 6 6" xfId="27828" xr:uid="{C93CC827-0A77-46D6-ADE5-E3A177DA98A8}"/>
    <cellStyle name="40% - Accent5 2 7" xfId="1932" xr:uid="{00000000-0005-0000-0000-00008B060000}"/>
    <cellStyle name="40% - Accent5 2 7 2" xfId="4161" xr:uid="{00000000-0005-0000-0000-00008C060000}"/>
    <cellStyle name="40% - Accent5 2 7 2 2" xfId="8383" xr:uid="{00000000-0005-0000-0000-00008D060000}"/>
    <cellStyle name="40% - Accent5 2 7 2 2 2" xfId="17709" xr:uid="{4C44D231-5A37-4258-BCFE-86D22D8BD6AB}"/>
    <cellStyle name="40% - Accent5 2 7 2 2 3" xfId="26156" xr:uid="{503BBBEA-88A5-4B72-B9E6-9EA47782FDDD}"/>
    <cellStyle name="40% - Accent5 2 7 2 2 4" xfId="34603" xr:uid="{C67C306E-0017-4D26-B50E-5B0D0BDEFA98}"/>
    <cellStyle name="40% - Accent5 2 7 2 3" xfId="13492" xr:uid="{E60A2BE3-C6BB-4656-B982-4CB05FDE39FD}"/>
    <cellStyle name="40% - Accent5 2 7 2 4" xfId="21939" xr:uid="{E5EFDF26-EFE5-4BB9-A7F6-DFF86CE80F6A}"/>
    <cellStyle name="40% - Accent5 2 7 2 5" xfId="30386" xr:uid="{659557D9-40BA-4D42-95B2-C578CCA932E8}"/>
    <cellStyle name="40% - Accent5 2 7 3" xfId="6238" xr:uid="{00000000-0005-0000-0000-00008E060000}"/>
    <cellStyle name="40% - Accent5 2 7 3 2" xfId="15564" xr:uid="{2D7E972B-30AE-44E8-96C7-F29C1AED7AA8}"/>
    <cellStyle name="40% - Accent5 2 7 3 3" xfId="24011" xr:uid="{1499AB87-1604-4EE2-AE8D-FEDCC5322A64}"/>
    <cellStyle name="40% - Accent5 2 7 3 4" xfId="32458" xr:uid="{D5CEA219-06B7-41CE-8972-13D7CF15DFE9}"/>
    <cellStyle name="40% - Accent5 2 7 4" xfId="11347" xr:uid="{24E7930D-A73A-459F-8A70-B0C46F817218}"/>
    <cellStyle name="40% - Accent5 2 7 5" xfId="19794" xr:uid="{0B79B363-4A67-44ED-8DAD-686F3B291C7B}"/>
    <cellStyle name="40% - Accent5 2 7 6" xfId="28241" xr:uid="{53DF6D20-5C01-44FA-80B0-CAB25832FAE5}"/>
    <cellStyle name="40% - Accent5 2 8" xfId="2345" xr:uid="{00000000-0005-0000-0000-00008F060000}"/>
    <cellStyle name="40% - Accent5 2 8 2" xfId="6651" xr:uid="{00000000-0005-0000-0000-000090060000}"/>
    <cellStyle name="40% - Accent5 2 8 2 2" xfId="15977" xr:uid="{7356259C-8E67-4402-88C3-8F3EFF5875F7}"/>
    <cellStyle name="40% - Accent5 2 8 2 3" xfId="24424" xr:uid="{737A91BF-E320-470E-9B9B-8DDFB859C383}"/>
    <cellStyle name="40% - Accent5 2 8 2 4" xfId="32871" xr:uid="{3CE41BE1-A7D8-4273-B614-C44B380E7BFA}"/>
    <cellStyle name="40% - Accent5 2 8 3" xfId="11760" xr:uid="{FAC4D5E6-D443-459C-9D5C-D4AFB8D851B2}"/>
    <cellStyle name="40% - Accent5 2 8 4" xfId="20207" xr:uid="{2AC5BCE9-505D-4C88-AA64-68BFAF8A7E42}"/>
    <cellStyle name="40% - Accent5 2 8 5" xfId="28654" xr:uid="{6B7025A9-F27C-4505-AFFE-4B234FE3E669}"/>
    <cellStyle name="40% - Accent5 2 9" xfId="4585" xr:uid="{00000000-0005-0000-0000-000091060000}"/>
    <cellStyle name="40% - Accent5 2 9 2" xfId="13911" xr:uid="{6D09302C-9194-40C1-A7F7-2624B93752F0}"/>
    <cellStyle name="40% - Accent5 2 9 3" xfId="22358" xr:uid="{CD1B501A-F647-496C-A4FA-53089C1C5F56}"/>
    <cellStyle name="40% - Accent5 2 9 4" xfId="30805" xr:uid="{DAD98499-F379-450B-8DD2-DF0A6D3DC19D}"/>
    <cellStyle name="40% - Accent5 3" xfId="86" xr:uid="{00000000-0005-0000-0000-000092060000}"/>
    <cellStyle name="40% - Accent5 3 10" xfId="9698" xr:uid="{31D05889-3CB5-4461-B19E-48590D708DAD}"/>
    <cellStyle name="40% - Accent5 3 11" xfId="18145" xr:uid="{A43DE00C-2BA6-44DF-8340-28AA4414189A}"/>
    <cellStyle name="40% - Accent5 3 12" xfId="26592" xr:uid="{29927666-55D9-4A70-ACB8-E9E1A342050C}"/>
    <cellStyle name="40% - Accent5 3 2" xfId="87" xr:uid="{00000000-0005-0000-0000-000093060000}"/>
    <cellStyle name="40% - Accent5 3 2 10" xfId="18146" xr:uid="{187FFED3-4154-4067-9C2C-2C0EA8CBCD95}"/>
    <cellStyle name="40% - Accent5 3 2 11" xfId="26593" xr:uid="{6F9D98F1-1BC0-4200-86EE-25F123338113}"/>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16475" xr:uid="{F60AE148-183B-4A36-AC51-D046364F8E6B}"/>
    <cellStyle name="40% - Accent5 3 2 2 2 2 3" xfId="24922" xr:uid="{0B425852-7AB1-4D34-B591-192F7D2D0AA5}"/>
    <cellStyle name="40% - Accent5 3 2 2 2 2 4" xfId="33369" xr:uid="{A5F5A347-CDB6-4C61-81F1-D03AC443BD7B}"/>
    <cellStyle name="40% - Accent5 3 2 2 2 3" xfId="12258" xr:uid="{0412F5C5-3B80-4BC0-AC94-535C2ED11522}"/>
    <cellStyle name="40% - Accent5 3 2 2 2 4" xfId="20705" xr:uid="{E5895B16-EA76-404A-A38A-F6FCA200276F}"/>
    <cellStyle name="40% - Accent5 3 2 2 2 5" xfId="29152" xr:uid="{FE03A083-697E-4037-8F4D-0DE8E8D1640A}"/>
    <cellStyle name="40% - Accent5 3 2 2 3" xfId="5004" xr:uid="{00000000-0005-0000-0000-000097060000}"/>
    <cellStyle name="40% - Accent5 3 2 2 3 2" xfId="14330" xr:uid="{E19C49A7-98D8-4787-90F6-C8D728AF9905}"/>
    <cellStyle name="40% - Accent5 3 2 2 3 3" xfId="22777" xr:uid="{82A32641-EDB4-470F-B2BF-89C167ABA136}"/>
    <cellStyle name="40% - Accent5 3 2 2 3 4" xfId="31224" xr:uid="{133176DB-DE13-41F6-BB57-BB0571C36DBF}"/>
    <cellStyle name="40% - Accent5 3 2 2 4" xfId="9502" xr:uid="{96903B0D-DCFE-4149-8088-461BCB03A73B}"/>
    <cellStyle name="40% - Accent5 3 2 2 5" xfId="10113" xr:uid="{12DB6CD9-0E10-440C-952E-FC6395CE1A43}"/>
    <cellStyle name="40% - Accent5 3 2 2 6" xfId="18560" xr:uid="{FCE514F7-F323-4B10-BB87-8FAA995694F2}"/>
    <cellStyle name="40% - Accent5 3 2 2 7" xfId="27007" xr:uid="{227DF1D6-7A63-45F6-A8BE-C090CEF4060E}"/>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16888" xr:uid="{55EA583E-142A-4B83-9326-913ED0F4C027}"/>
    <cellStyle name="40% - Accent5 3 2 3 2 2 3" xfId="25335" xr:uid="{AAB125AF-8A62-41ED-83AE-81F859FC9015}"/>
    <cellStyle name="40% - Accent5 3 2 3 2 2 4" xfId="33782" xr:uid="{C7569347-DB24-4E32-AD0A-16F45EECF8FC}"/>
    <cellStyle name="40% - Accent5 3 2 3 2 3" xfId="12671" xr:uid="{95CC1062-730E-4FFB-8492-73CC3D56AB36}"/>
    <cellStyle name="40% - Accent5 3 2 3 2 4" xfId="21118" xr:uid="{AA131E81-41C6-49C1-AB9B-9411896DB865}"/>
    <cellStyle name="40% - Accent5 3 2 3 2 5" xfId="29565" xr:uid="{61E71A8A-D61A-4EA1-99E5-27231917B79A}"/>
    <cellStyle name="40% - Accent5 3 2 3 3" xfId="5417" xr:uid="{00000000-0005-0000-0000-00009B060000}"/>
    <cellStyle name="40% - Accent5 3 2 3 3 2" xfId="14743" xr:uid="{BFF819FC-9A30-485D-9977-871AAE6BD6D9}"/>
    <cellStyle name="40% - Accent5 3 2 3 3 3" xfId="23190" xr:uid="{F08DB62E-5380-4D59-90E7-85535DF33D41}"/>
    <cellStyle name="40% - Accent5 3 2 3 3 4" xfId="31637" xr:uid="{0CAF973A-90C2-408F-8CA3-335C7717A9EB}"/>
    <cellStyle name="40% - Accent5 3 2 3 4" xfId="10526" xr:uid="{D0C1F015-AFE4-45DD-A906-179416245B67}"/>
    <cellStyle name="40% - Accent5 3 2 3 5" xfId="18973" xr:uid="{84DF2BBD-EBEC-4278-8F1E-0509D7FD94CC}"/>
    <cellStyle name="40% - Accent5 3 2 3 6" xfId="27420" xr:uid="{3AE19A09-F27E-4653-B5C4-C7F2E2505331}"/>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17301" xr:uid="{1AEB7E2B-CBA6-4739-A7E2-D67AA6196FDF}"/>
    <cellStyle name="40% - Accent5 3 2 4 2 2 3" xfId="25748" xr:uid="{C6FB21F5-C1EF-455E-ACCF-CBB1607FE250}"/>
    <cellStyle name="40% - Accent5 3 2 4 2 2 4" xfId="34195" xr:uid="{B98F6D51-D530-4445-B15B-BFD9236695B4}"/>
    <cellStyle name="40% - Accent5 3 2 4 2 3" xfId="13084" xr:uid="{17766246-1533-4E98-9946-4025979D99D3}"/>
    <cellStyle name="40% - Accent5 3 2 4 2 4" xfId="21531" xr:uid="{32061425-4715-40AF-BB1F-D2FB4EF665B6}"/>
    <cellStyle name="40% - Accent5 3 2 4 2 5" xfId="29978" xr:uid="{525C4603-2265-4C11-97DA-9C141632C83A}"/>
    <cellStyle name="40% - Accent5 3 2 4 3" xfId="5830" xr:uid="{00000000-0005-0000-0000-00009F060000}"/>
    <cellStyle name="40% - Accent5 3 2 4 3 2" xfId="15156" xr:uid="{77BACE94-AC39-4382-BE6A-FF7034144F01}"/>
    <cellStyle name="40% - Accent5 3 2 4 3 3" xfId="23603" xr:uid="{F2401ED3-687B-4549-95E9-40E4302EBD88}"/>
    <cellStyle name="40% - Accent5 3 2 4 3 4" xfId="32050" xr:uid="{DBAF8C0E-C736-46D5-A159-97161A50520C}"/>
    <cellStyle name="40% - Accent5 3 2 4 4" xfId="10939" xr:uid="{BA8FC4BA-6E64-411C-B510-77B85B3CB333}"/>
    <cellStyle name="40% - Accent5 3 2 4 5" xfId="19386" xr:uid="{9FE18A05-6DC9-41A7-B429-3D77E4155C0E}"/>
    <cellStyle name="40% - Accent5 3 2 4 6" xfId="27833" xr:uid="{8C46373A-7711-4D96-9B57-94446D9568CB}"/>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17714" xr:uid="{DB7505DA-1A0B-4346-82FE-F62B0181A70D}"/>
    <cellStyle name="40% - Accent5 3 2 5 2 2 3" xfId="26161" xr:uid="{022BFBEE-CFCD-4BE2-BFB0-F4CF6593C76A}"/>
    <cellStyle name="40% - Accent5 3 2 5 2 2 4" xfId="34608" xr:uid="{008BCAF8-2490-4738-93EC-5213BD083680}"/>
    <cellStyle name="40% - Accent5 3 2 5 2 3" xfId="13497" xr:uid="{601C7073-CF44-43CD-9310-F2A7697E4B41}"/>
    <cellStyle name="40% - Accent5 3 2 5 2 4" xfId="21944" xr:uid="{C6395B38-E584-4CA2-807B-B2FB3AC09BF2}"/>
    <cellStyle name="40% - Accent5 3 2 5 2 5" xfId="30391" xr:uid="{FA1D89E6-6746-4771-BE6F-5457BA9C3B41}"/>
    <cellStyle name="40% - Accent5 3 2 5 3" xfId="6243" xr:uid="{00000000-0005-0000-0000-0000A3060000}"/>
    <cellStyle name="40% - Accent5 3 2 5 3 2" xfId="15569" xr:uid="{F2857522-DFEC-4AEC-8BDC-7B71379AC100}"/>
    <cellStyle name="40% - Accent5 3 2 5 3 3" xfId="24016" xr:uid="{43795897-3E5D-4EBC-96CF-E39376865F74}"/>
    <cellStyle name="40% - Accent5 3 2 5 3 4" xfId="32463" xr:uid="{CF067035-06B6-4B83-A63C-783A235E35B9}"/>
    <cellStyle name="40% - Accent5 3 2 5 4" xfId="11352" xr:uid="{AFFA6628-2C4B-41C0-ADB6-9D0B9D619AC4}"/>
    <cellStyle name="40% - Accent5 3 2 5 5" xfId="19799" xr:uid="{EA9657A4-DBB2-4AB5-BC14-7409F9F5E400}"/>
    <cellStyle name="40% - Accent5 3 2 5 6" xfId="28246" xr:uid="{0D0499D7-1EDF-479E-839F-8A9261A78E6F}"/>
    <cellStyle name="40% - Accent5 3 2 6" xfId="2350" xr:uid="{00000000-0005-0000-0000-0000A4060000}"/>
    <cellStyle name="40% - Accent5 3 2 6 2" xfId="6656" xr:uid="{00000000-0005-0000-0000-0000A5060000}"/>
    <cellStyle name="40% - Accent5 3 2 6 2 2" xfId="15982" xr:uid="{F564325B-B331-4E88-9E7A-0D2746661F5B}"/>
    <cellStyle name="40% - Accent5 3 2 6 2 3" xfId="24429" xr:uid="{39BF06B4-1692-477F-B5FD-B09B691D6ADB}"/>
    <cellStyle name="40% - Accent5 3 2 6 2 4" xfId="32876" xr:uid="{B79468C6-5242-419A-A73B-7275A7D56002}"/>
    <cellStyle name="40% - Accent5 3 2 6 3" xfId="11765" xr:uid="{F66FA692-CDCE-414E-804F-10A4182DCF35}"/>
    <cellStyle name="40% - Accent5 3 2 6 4" xfId="20212" xr:uid="{E8F16EA0-8672-406D-8597-C207AF8BE5CC}"/>
    <cellStyle name="40% - Accent5 3 2 6 5" xfId="28659" xr:uid="{CA4AFB95-A6BD-4F45-8721-0593539E6CE0}"/>
    <cellStyle name="40% - Accent5 3 2 7" xfId="4590" xr:uid="{00000000-0005-0000-0000-0000A6060000}"/>
    <cellStyle name="40% - Accent5 3 2 7 2" xfId="13916" xr:uid="{72FED01A-1E0B-4983-AC02-FE399C43A995}"/>
    <cellStyle name="40% - Accent5 3 2 7 3" xfId="22363" xr:uid="{546869EA-4232-41C6-93D9-F1D706846688}"/>
    <cellStyle name="40% - Accent5 3 2 7 4" xfId="30810" xr:uid="{24B02D2C-F4E8-46E1-9FDD-530FE9A651E3}"/>
    <cellStyle name="40% - Accent5 3 2 8" xfId="9077" xr:uid="{8842DD15-54E4-487D-B492-3A505722387C}"/>
    <cellStyle name="40% - Accent5 3 2 9" xfId="9699" xr:uid="{261177B1-5361-4A25-8672-1235B4117C70}"/>
    <cellStyle name="40% - Accent5 3 3" xfId="655" xr:uid="{00000000-0005-0000-0000-0000A7060000}"/>
    <cellStyle name="40% - Accent5 3 3 2" xfId="2926" xr:uid="{00000000-0005-0000-0000-0000A8060000}"/>
    <cellStyle name="40% - Accent5 3 3 2 2" xfId="7148" xr:uid="{00000000-0005-0000-0000-0000A9060000}"/>
    <cellStyle name="40% - Accent5 3 3 2 2 2" xfId="16474" xr:uid="{109D05E8-526D-4CED-B63D-830D4C904D75}"/>
    <cellStyle name="40% - Accent5 3 3 2 2 3" xfId="24921" xr:uid="{07D6F51F-C6CA-4B2B-B1BC-30DA7F49C392}"/>
    <cellStyle name="40% - Accent5 3 3 2 2 4" xfId="33368" xr:uid="{76DBFA2F-F557-41E8-B07E-62CCF586770F}"/>
    <cellStyle name="40% - Accent5 3 3 2 3" xfId="12257" xr:uid="{EDFB414A-3AD3-45A9-97F9-1678287B7FDC}"/>
    <cellStyle name="40% - Accent5 3 3 2 4" xfId="20704" xr:uid="{D43F0A08-0B38-4A1B-8385-1EFB9377EA5F}"/>
    <cellStyle name="40% - Accent5 3 3 2 5" xfId="29151" xr:uid="{E5EE84D0-8C2B-4C8D-87CA-0D2F6BBED683}"/>
    <cellStyle name="40% - Accent5 3 3 3" xfId="5003" xr:uid="{00000000-0005-0000-0000-0000AA060000}"/>
    <cellStyle name="40% - Accent5 3 3 3 2" xfId="14329" xr:uid="{7705B6E3-75A9-42A8-A0E9-A25568C720AB}"/>
    <cellStyle name="40% - Accent5 3 3 3 3" xfId="22776" xr:uid="{1D745A55-0889-4559-B0B5-AC84538362C2}"/>
    <cellStyle name="40% - Accent5 3 3 3 4" xfId="31223" xr:uid="{B1DB5EF3-BE5A-4FED-898A-FD0DEEBE4D9D}"/>
    <cellStyle name="40% - Accent5 3 3 4" xfId="9295" xr:uid="{0D42C89E-252E-426A-8E1F-7D3AD6B9FE55}"/>
    <cellStyle name="40% - Accent5 3 3 5" xfId="10112" xr:uid="{6A77DCF9-B27B-433E-8A64-27859FC22B29}"/>
    <cellStyle name="40% - Accent5 3 3 6" xfId="18559" xr:uid="{4AFC0136-E626-4067-8DBD-B7B24B88E18F}"/>
    <cellStyle name="40% - Accent5 3 3 7" xfId="27006" xr:uid="{D87C2444-FF1A-493B-8F5F-97F30046E0FE}"/>
    <cellStyle name="40% - Accent5 3 4" xfId="1108" xr:uid="{00000000-0005-0000-0000-0000AB060000}"/>
    <cellStyle name="40% - Accent5 3 4 2" xfId="3339" xr:uid="{00000000-0005-0000-0000-0000AC060000}"/>
    <cellStyle name="40% - Accent5 3 4 2 2" xfId="7561" xr:uid="{00000000-0005-0000-0000-0000AD060000}"/>
    <cellStyle name="40% - Accent5 3 4 2 2 2" xfId="16887" xr:uid="{3CF791EA-169C-4C3F-8B39-165FC40B31E1}"/>
    <cellStyle name="40% - Accent5 3 4 2 2 3" xfId="25334" xr:uid="{3A04450D-99B1-4EBC-8449-047199F3C672}"/>
    <cellStyle name="40% - Accent5 3 4 2 2 4" xfId="33781" xr:uid="{9EC38186-938A-4B05-BFD5-672B591A7E54}"/>
    <cellStyle name="40% - Accent5 3 4 2 3" xfId="12670" xr:uid="{E112870A-04E6-442B-9412-52042BB69EBB}"/>
    <cellStyle name="40% - Accent5 3 4 2 4" xfId="21117" xr:uid="{B2107D68-581D-4E08-8DDC-CF3C441EFBC6}"/>
    <cellStyle name="40% - Accent5 3 4 2 5" xfId="29564" xr:uid="{5FC9D1FF-18D5-45BF-8EFC-0874E93B2B31}"/>
    <cellStyle name="40% - Accent5 3 4 3" xfId="5416" xr:uid="{00000000-0005-0000-0000-0000AE060000}"/>
    <cellStyle name="40% - Accent5 3 4 3 2" xfId="14742" xr:uid="{2BA0D635-A81E-41F0-8D4C-FA9B6D74D57C}"/>
    <cellStyle name="40% - Accent5 3 4 3 3" xfId="23189" xr:uid="{69D7C25A-2BBA-4664-B8E5-048764C0944D}"/>
    <cellStyle name="40% - Accent5 3 4 3 4" xfId="31636" xr:uid="{10D7F020-3373-4853-B3EC-0072B7D9965B}"/>
    <cellStyle name="40% - Accent5 3 4 4" xfId="10525" xr:uid="{DBAF3583-EF0F-4AE5-A148-CE8E8E270F7D}"/>
    <cellStyle name="40% - Accent5 3 4 5" xfId="18972" xr:uid="{966C555B-545E-490B-9395-EA5D70630049}"/>
    <cellStyle name="40% - Accent5 3 4 6" xfId="27419" xr:uid="{498D47D0-912C-4BD1-8FD0-4FF94FFCCB63}"/>
    <cellStyle name="40% - Accent5 3 5" xfId="1522" xr:uid="{00000000-0005-0000-0000-0000AF060000}"/>
    <cellStyle name="40% - Accent5 3 5 2" xfId="3752" xr:uid="{00000000-0005-0000-0000-0000B0060000}"/>
    <cellStyle name="40% - Accent5 3 5 2 2" xfId="7974" xr:uid="{00000000-0005-0000-0000-0000B1060000}"/>
    <cellStyle name="40% - Accent5 3 5 2 2 2" xfId="17300" xr:uid="{F5D95415-E118-462E-BC3F-91720C599ACE}"/>
    <cellStyle name="40% - Accent5 3 5 2 2 3" xfId="25747" xr:uid="{EF2ECFEA-0D29-46BF-A654-5662613B032E}"/>
    <cellStyle name="40% - Accent5 3 5 2 2 4" xfId="34194" xr:uid="{F94A5AA2-75D0-4BEE-B0C3-F384BD7CC483}"/>
    <cellStyle name="40% - Accent5 3 5 2 3" xfId="13083" xr:uid="{AD95FF06-FB2D-4861-AEBF-7441E2649AC4}"/>
    <cellStyle name="40% - Accent5 3 5 2 4" xfId="21530" xr:uid="{DCE10965-C4B9-4C9B-A835-0A2E33684AFB}"/>
    <cellStyle name="40% - Accent5 3 5 2 5" xfId="29977" xr:uid="{A481A276-77D9-4879-B897-956BF6954AC4}"/>
    <cellStyle name="40% - Accent5 3 5 3" xfId="5829" xr:uid="{00000000-0005-0000-0000-0000B2060000}"/>
    <cellStyle name="40% - Accent5 3 5 3 2" xfId="15155" xr:uid="{C2371B3B-4579-488E-9B4A-1249B9DB7F52}"/>
    <cellStyle name="40% - Accent5 3 5 3 3" xfId="23602" xr:uid="{8E7AC0FB-5198-4AF2-87EB-76E8997033DC}"/>
    <cellStyle name="40% - Accent5 3 5 3 4" xfId="32049" xr:uid="{EAB66AFC-A7F9-41F4-9F57-C84E2D419F26}"/>
    <cellStyle name="40% - Accent5 3 5 4" xfId="10938" xr:uid="{78F2E927-9224-40CB-BE0C-91FB56E3DE25}"/>
    <cellStyle name="40% - Accent5 3 5 5" xfId="19385" xr:uid="{EE26F6BC-C4A6-4A5F-BE9D-C5C0180F8708}"/>
    <cellStyle name="40% - Accent5 3 5 6" xfId="27832" xr:uid="{900E941D-A242-4CF0-8A91-8971F23A1C50}"/>
    <cellStyle name="40% - Accent5 3 6" xfId="1936" xr:uid="{00000000-0005-0000-0000-0000B3060000}"/>
    <cellStyle name="40% - Accent5 3 6 2" xfId="4165" xr:uid="{00000000-0005-0000-0000-0000B4060000}"/>
    <cellStyle name="40% - Accent5 3 6 2 2" xfId="8387" xr:uid="{00000000-0005-0000-0000-0000B5060000}"/>
    <cellStyle name="40% - Accent5 3 6 2 2 2" xfId="17713" xr:uid="{DE29EDBB-512B-42FA-96F2-827CCBCA51FE}"/>
    <cellStyle name="40% - Accent5 3 6 2 2 3" xfId="26160" xr:uid="{5EC43DED-BE6B-42C5-BCE7-6E29D5314829}"/>
    <cellStyle name="40% - Accent5 3 6 2 2 4" xfId="34607" xr:uid="{5E85609A-F0F5-4556-A9C7-068F822DC111}"/>
    <cellStyle name="40% - Accent5 3 6 2 3" xfId="13496" xr:uid="{F34B69D7-FAD6-4823-9FCA-D3B858F5D3B0}"/>
    <cellStyle name="40% - Accent5 3 6 2 4" xfId="21943" xr:uid="{CA9112CC-FB49-4E4F-8DE0-AB68C06F9E86}"/>
    <cellStyle name="40% - Accent5 3 6 2 5" xfId="30390" xr:uid="{0F37EA29-9FAA-46D0-86DA-F9F90F675B1F}"/>
    <cellStyle name="40% - Accent5 3 6 3" xfId="6242" xr:uid="{00000000-0005-0000-0000-0000B6060000}"/>
    <cellStyle name="40% - Accent5 3 6 3 2" xfId="15568" xr:uid="{022F7F8A-E21D-463B-AC49-9E23BE5B31C7}"/>
    <cellStyle name="40% - Accent5 3 6 3 3" xfId="24015" xr:uid="{83336635-D91F-4534-BF65-14DF63EF0FD5}"/>
    <cellStyle name="40% - Accent5 3 6 3 4" xfId="32462" xr:uid="{233279C8-FDD8-4791-A9E9-1E5D06E796AF}"/>
    <cellStyle name="40% - Accent5 3 6 4" xfId="11351" xr:uid="{4524F781-370D-4450-81A3-5615C723AE70}"/>
    <cellStyle name="40% - Accent5 3 6 5" xfId="19798" xr:uid="{640CE383-5186-44BB-9E49-B075103AE875}"/>
    <cellStyle name="40% - Accent5 3 6 6" xfId="28245" xr:uid="{6B192EA7-9EEA-4C34-B20E-25258D4F5516}"/>
    <cellStyle name="40% - Accent5 3 7" xfId="2349" xr:uid="{00000000-0005-0000-0000-0000B7060000}"/>
    <cellStyle name="40% - Accent5 3 7 2" xfId="6655" xr:uid="{00000000-0005-0000-0000-0000B8060000}"/>
    <cellStyle name="40% - Accent5 3 7 2 2" xfId="15981" xr:uid="{488700F3-709F-4BA1-8D8B-524B2F2A0B8B}"/>
    <cellStyle name="40% - Accent5 3 7 2 3" xfId="24428" xr:uid="{E9A0D6A6-8A33-4CDC-A0B9-5C956706FC49}"/>
    <cellStyle name="40% - Accent5 3 7 2 4" xfId="32875" xr:uid="{220EA91C-9D04-4F13-8078-48BFA1567C70}"/>
    <cellStyle name="40% - Accent5 3 7 3" xfId="11764" xr:uid="{516DC3F5-1D01-465F-91FA-4500744B4163}"/>
    <cellStyle name="40% - Accent5 3 7 4" xfId="20211" xr:uid="{BD03781D-F8B4-4AA7-97C1-47D6648DEB43}"/>
    <cellStyle name="40% - Accent5 3 7 5" xfId="28658" xr:uid="{98A5C3B0-0EFD-484E-BCE3-D0E282DCFDC8}"/>
    <cellStyle name="40% - Accent5 3 8" xfId="4589" xr:uid="{00000000-0005-0000-0000-0000B9060000}"/>
    <cellStyle name="40% - Accent5 3 8 2" xfId="13915" xr:uid="{B9E6F3EE-A847-47BB-A003-B93FEF00D79F}"/>
    <cellStyle name="40% - Accent5 3 8 3" xfId="22362" xr:uid="{519EB4C1-A8F4-4714-822E-69B1ED7EA281}"/>
    <cellStyle name="40% - Accent5 3 8 4" xfId="30809" xr:uid="{5B7AB60A-C925-4754-9DD6-7864484E3799}"/>
    <cellStyle name="40% - Accent5 3 9" xfId="8870" xr:uid="{F7DB5D96-1272-4D48-B3B6-48053CFCBA44}"/>
    <cellStyle name="40% - Accent5 4" xfId="88" xr:uid="{00000000-0005-0000-0000-0000BA060000}"/>
    <cellStyle name="40% - Accent5 4 10" xfId="18147" xr:uid="{BC157FC9-66F0-4986-9FE3-5607279B02E4}"/>
    <cellStyle name="40% - Accent5 4 11" xfId="26594" xr:uid="{7AAEC9EA-D1D3-4E67-B21E-C10703C86448}"/>
    <cellStyle name="40% - Accent5 4 2" xfId="657" xr:uid="{00000000-0005-0000-0000-0000BB060000}"/>
    <cellStyle name="40% - Accent5 4 2 2" xfId="2928" xr:uid="{00000000-0005-0000-0000-0000BC060000}"/>
    <cellStyle name="40% - Accent5 4 2 2 2" xfId="7150" xr:uid="{00000000-0005-0000-0000-0000BD060000}"/>
    <cellStyle name="40% - Accent5 4 2 2 2 2" xfId="16476" xr:uid="{95E81352-97EF-4DB1-A7D9-931F6543B847}"/>
    <cellStyle name="40% - Accent5 4 2 2 2 3" xfId="24923" xr:uid="{8D2E393F-D157-4E47-B3A9-25CCD28A7E28}"/>
    <cellStyle name="40% - Accent5 4 2 2 2 4" xfId="33370" xr:uid="{97AA979E-0D66-4C93-9BA1-189EE8F2B39D}"/>
    <cellStyle name="40% - Accent5 4 2 2 3" xfId="12259" xr:uid="{7EB12DF0-5B99-4F62-B331-046405466E9A}"/>
    <cellStyle name="40% - Accent5 4 2 2 4" xfId="20706" xr:uid="{203CBC30-D7C2-44B2-8B26-8A7F4A66F519}"/>
    <cellStyle name="40% - Accent5 4 2 2 5" xfId="29153" xr:uid="{9DEE1C80-91E8-4DE1-BCBA-9FE7E159CDBE}"/>
    <cellStyle name="40% - Accent5 4 2 3" xfId="5005" xr:uid="{00000000-0005-0000-0000-0000BE060000}"/>
    <cellStyle name="40% - Accent5 4 2 3 2" xfId="14331" xr:uid="{4B6C685E-C969-47CF-83D3-C580E55519EA}"/>
    <cellStyle name="40% - Accent5 4 2 3 3" xfId="22778" xr:uid="{DD8E57EC-80E1-4F1B-8AAB-A09743B5404A}"/>
    <cellStyle name="40% - Accent5 4 2 3 4" xfId="31225" xr:uid="{134138F3-7758-4EB8-A4CB-6B103457CA91}"/>
    <cellStyle name="40% - Accent5 4 2 4" xfId="9381" xr:uid="{6D86932C-AFC4-4FF0-967D-0F56E90E02E1}"/>
    <cellStyle name="40% - Accent5 4 2 5" xfId="10114" xr:uid="{097E72BD-8358-4064-AE51-6168655868DA}"/>
    <cellStyle name="40% - Accent5 4 2 6" xfId="18561" xr:uid="{B2DDC114-6188-4BA1-A8EC-31B7B4B26583}"/>
    <cellStyle name="40% - Accent5 4 2 7" xfId="27008" xr:uid="{257DAEE3-374E-475B-8714-8C3D03C67403}"/>
    <cellStyle name="40% - Accent5 4 3" xfId="1110" xr:uid="{00000000-0005-0000-0000-0000BF060000}"/>
    <cellStyle name="40% - Accent5 4 3 2" xfId="3341" xr:uid="{00000000-0005-0000-0000-0000C0060000}"/>
    <cellStyle name="40% - Accent5 4 3 2 2" xfId="7563" xr:uid="{00000000-0005-0000-0000-0000C1060000}"/>
    <cellStyle name="40% - Accent5 4 3 2 2 2" xfId="16889" xr:uid="{5CDCD4C1-0197-416D-B0D8-06B8AB025412}"/>
    <cellStyle name="40% - Accent5 4 3 2 2 3" xfId="25336" xr:uid="{E47A638F-D315-4304-B783-CEAD912C7C39}"/>
    <cellStyle name="40% - Accent5 4 3 2 2 4" xfId="33783" xr:uid="{BAD15BEB-89DA-44CF-926F-F540770C340E}"/>
    <cellStyle name="40% - Accent5 4 3 2 3" xfId="12672" xr:uid="{B2B6FC9A-F295-4292-BCF7-87AA9C711715}"/>
    <cellStyle name="40% - Accent5 4 3 2 4" xfId="21119" xr:uid="{B94DDA39-1E24-4ECB-96B5-D599904E3450}"/>
    <cellStyle name="40% - Accent5 4 3 2 5" xfId="29566" xr:uid="{68717CF8-A7D2-43EF-8732-6B24E69F7A32}"/>
    <cellStyle name="40% - Accent5 4 3 3" xfId="5418" xr:uid="{00000000-0005-0000-0000-0000C2060000}"/>
    <cellStyle name="40% - Accent5 4 3 3 2" xfId="14744" xr:uid="{9E16F77C-BA09-43E4-B050-87C84AD45F8F}"/>
    <cellStyle name="40% - Accent5 4 3 3 3" xfId="23191" xr:uid="{D863D991-315E-49F9-BEBF-CB570A52E50E}"/>
    <cellStyle name="40% - Accent5 4 3 3 4" xfId="31638" xr:uid="{D264A1D8-7A74-43CB-A679-39C3B30D9503}"/>
    <cellStyle name="40% - Accent5 4 3 4" xfId="10527" xr:uid="{67719DF1-6C5D-4520-A211-1544AB225B81}"/>
    <cellStyle name="40% - Accent5 4 3 5" xfId="18974" xr:uid="{C1A6B61B-153A-49E3-B7CD-5050CF7DE2CE}"/>
    <cellStyle name="40% - Accent5 4 3 6" xfId="27421" xr:uid="{0EFF06B0-4C32-4183-BB37-A0C44952669C}"/>
    <cellStyle name="40% - Accent5 4 4" xfId="1524" xr:uid="{00000000-0005-0000-0000-0000C3060000}"/>
    <cellStyle name="40% - Accent5 4 4 2" xfId="3754" xr:uid="{00000000-0005-0000-0000-0000C4060000}"/>
    <cellStyle name="40% - Accent5 4 4 2 2" xfId="7976" xr:uid="{00000000-0005-0000-0000-0000C5060000}"/>
    <cellStyle name="40% - Accent5 4 4 2 2 2" xfId="17302" xr:uid="{5734F24A-CE55-44FD-BBAF-985AF70A0464}"/>
    <cellStyle name="40% - Accent5 4 4 2 2 3" xfId="25749" xr:uid="{3F821664-3B17-43F5-B190-367A3AEF41B6}"/>
    <cellStyle name="40% - Accent5 4 4 2 2 4" xfId="34196" xr:uid="{DB7755EC-9340-468A-9B49-A3CFAD30245F}"/>
    <cellStyle name="40% - Accent5 4 4 2 3" xfId="13085" xr:uid="{D248E67B-A5C2-43EC-B237-AAF16D171809}"/>
    <cellStyle name="40% - Accent5 4 4 2 4" xfId="21532" xr:uid="{AF2ACC5C-55E8-4B46-8597-4DDA4F0203DC}"/>
    <cellStyle name="40% - Accent5 4 4 2 5" xfId="29979" xr:uid="{A9ABBE9D-76E8-4BD1-97FB-67DE8DBB8663}"/>
    <cellStyle name="40% - Accent5 4 4 3" xfId="5831" xr:uid="{00000000-0005-0000-0000-0000C6060000}"/>
    <cellStyle name="40% - Accent5 4 4 3 2" xfId="15157" xr:uid="{4B18DD8D-05EA-4543-B688-ABEEDBFCBA9B}"/>
    <cellStyle name="40% - Accent5 4 4 3 3" xfId="23604" xr:uid="{5C8E39BE-3EFC-4B32-AF72-CDC8A4C5E4C7}"/>
    <cellStyle name="40% - Accent5 4 4 3 4" xfId="32051" xr:uid="{51A759D7-5979-4B7E-BB8B-B01ED723D563}"/>
    <cellStyle name="40% - Accent5 4 4 4" xfId="10940" xr:uid="{E31677D5-5A6B-4CB6-B130-47EADD323154}"/>
    <cellStyle name="40% - Accent5 4 4 5" xfId="19387" xr:uid="{8958296E-4F59-42C8-95B8-F1E464A5EA1A}"/>
    <cellStyle name="40% - Accent5 4 4 6" xfId="27834" xr:uid="{2DBAB73C-5609-471F-9340-4EFC2931B202}"/>
    <cellStyle name="40% - Accent5 4 5" xfId="1938" xr:uid="{00000000-0005-0000-0000-0000C7060000}"/>
    <cellStyle name="40% - Accent5 4 5 2" xfId="4167" xr:uid="{00000000-0005-0000-0000-0000C8060000}"/>
    <cellStyle name="40% - Accent5 4 5 2 2" xfId="8389" xr:uid="{00000000-0005-0000-0000-0000C9060000}"/>
    <cellStyle name="40% - Accent5 4 5 2 2 2" xfId="17715" xr:uid="{B8A2B325-2254-4423-8464-55C570D73D29}"/>
    <cellStyle name="40% - Accent5 4 5 2 2 3" xfId="26162" xr:uid="{C95A0121-CC44-4B98-B621-E6134BE7749F}"/>
    <cellStyle name="40% - Accent5 4 5 2 2 4" xfId="34609" xr:uid="{5BB9580B-01CF-4457-BEBA-EBD53F29810A}"/>
    <cellStyle name="40% - Accent5 4 5 2 3" xfId="13498" xr:uid="{6E4CBB23-32C1-4C32-8314-AF75F5054941}"/>
    <cellStyle name="40% - Accent5 4 5 2 4" xfId="21945" xr:uid="{BF45DB1C-ACBC-4794-AA6E-0BBDAA241518}"/>
    <cellStyle name="40% - Accent5 4 5 2 5" xfId="30392" xr:uid="{263E8418-DC9B-4CEF-8C9C-94D8AEE4F813}"/>
    <cellStyle name="40% - Accent5 4 5 3" xfId="6244" xr:uid="{00000000-0005-0000-0000-0000CA060000}"/>
    <cellStyle name="40% - Accent5 4 5 3 2" xfId="15570" xr:uid="{1EBEAB9C-C352-453C-9BFC-C850F69C189D}"/>
    <cellStyle name="40% - Accent5 4 5 3 3" xfId="24017" xr:uid="{05ADAF6E-0757-4B3F-9F70-CD80DE46514B}"/>
    <cellStyle name="40% - Accent5 4 5 3 4" xfId="32464" xr:uid="{C06A0918-250E-4C1F-8893-56679FCF05FE}"/>
    <cellStyle name="40% - Accent5 4 5 4" xfId="11353" xr:uid="{842A362A-5331-4400-88D0-D7C699B181C9}"/>
    <cellStyle name="40% - Accent5 4 5 5" xfId="19800" xr:uid="{64993D93-4375-4EF7-A749-F12213438D3E}"/>
    <cellStyle name="40% - Accent5 4 5 6" xfId="28247" xr:uid="{2DD134E0-FFDA-4949-9FE5-8B60D4AC2B27}"/>
    <cellStyle name="40% - Accent5 4 6" xfId="2351" xr:uid="{00000000-0005-0000-0000-0000CB060000}"/>
    <cellStyle name="40% - Accent5 4 6 2" xfId="6657" xr:uid="{00000000-0005-0000-0000-0000CC060000}"/>
    <cellStyle name="40% - Accent5 4 6 2 2" xfId="15983" xr:uid="{59A1A948-6F13-48FA-84A5-BBC27A7213E8}"/>
    <cellStyle name="40% - Accent5 4 6 2 3" xfId="24430" xr:uid="{80E73529-738C-4546-A9F5-A6CFE4EE495B}"/>
    <cellStyle name="40% - Accent5 4 6 2 4" xfId="32877" xr:uid="{C0D4A2F1-10D7-477F-8FCA-7782A6D9B73A}"/>
    <cellStyle name="40% - Accent5 4 6 3" xfId="11766" xr:uid="{D37D9D89-0413-4EF1-B634-D0A2C34A26E7}"/>
    <cellStyle name="40% - Accent5 4 6 4" xfId="20213" xr:uid="{9F25C502-9F68-4D32-B984-FFBEB7F0BFEA}"/>
    <cellStyle name="40% - Accent5 4 6 5" xfId="28660" xr:uid="{7B32A5AA-37DA-4E6B-8619-B9DB0B903620}"/>
    <cellStyle name="40% - Accent5 4 7" xfId="4591" xr:uid="{00000000-0005-0000-0000-0000CD060000}"/>
    <cellStyle name="40% - Accent5 4 7 2" xfId="13917" xr:uid="{B216317F-FA7E-4434-BA36-7791694540B5}"/>
    <cellStyle name="40% - Accent5 4 7 3" xfId="22364" xr:uid="{D8362B80-6272-40AC-9C48-2D5DA307C88A}"/>
    <cellStyle name="40% - Accent5 4 7 4" xfId="30811" xr:uid="{FB7798EF-B31E-4588-B74F-01345BEC343B}"/>
    <cellStyle name="40% - Accent5 4 8" xfId="8956" xr:uid="{20EBAEFE-DF5E-4B38-878B-CDA5BD3DABC1}"/>
    <cellStyle name="40% - Accent5 4 9" xfId="9700" xr:uid="{AD641D0B-79AB-41FE-8C0F-BCB5C2C6F006}"/>
    <cellStyle name="40% - Accent5 5" xfId="650" xr:uid="{00000000-0005-0000-0000-0000CE060000}"/>
    <cellStyle name="40% - Accent5 5 2" xfId="2921" xr:uid="{00000000-0005-0000-0000-0000CF060000}"/>
    <cellStyle name="40% - Accent5 5 2 2" xfId="7143" xr:uid="{00000000-0005-0000-0000-0000D0060000}"/>
    <cellStyle name="40% - Accent5 5 2 2 2" xfId="16469" xr:uid="{B1B0CBC3-6849-43B1-AA18-D6264C26CD3C}"/>
    <cellStyle name="40% - Accent5 5 2 2 3" xfId="24916" xr:uid="{5B6D140D-41FB-48A5-96B2-792643587ECB}"/>
    <cellStyle name="40% - Accent5 5 2 2 4" xfId="33363" xr:uid="{A69BDF8C-5C0B-4E3B-ACFA-1A359390A60B}"/>
    <cellStyle name="40% - Accent5 5 2 3" xfId="12252" xr:uid="{C61CB612-647D-4432-916C-7557F78F8713}"/>
    <cellStyle name="40% - Accent5 5 2 4" xfId="20699" xr:uid="{2902E679-E947-41A9-B818-FD7039036EDE}"/>
    <cellStyle name="40% - Accent5 5 2 5" xfId="29146" xr:uid="{9AD1D800-DEA0-432B-ADC3-D1EE5167E0FF}"/>
    <cellStyle name="40% - Accent5 5 3" xfId="4998" xr:uid="{00000000-0005-0000-0000-0000D1060000}"/>
    <cellStyle name="40% - Accent5 5 3 2" xfId="14324" xr:uid="{2114DEF6-72FF-4EAC-ACC2-9076814B69FE}"/>
    <cellStyle name="40% - Accent5 5 3 3" xfId="22771" xr:uid="{3BA867FE-5A78-42C7-A19A-6D79AB9575AC}"/>
    <cellStyle name="40% - Accent5 5 3 4" xfId="31218" xr:uid="{4E92E62F-FE76-4BA8-AA26-F78FAAD189EF}"/>
    <cellStyle name="40% - Accent5 5 4" xfId="9189" xr:uid="{AE9A155E-B06B-4FF1-8984-8F7810581B15}"/>
    <cellStyle name="40% - Accent5 5 5" xfId="10107" xr:uid="{DC4472F1-D4EE-4043-A8BD-8B77A71094D2}"/>
    <cellStyle name="40% - Accent5 5 6" xfId="18554" xr:uid="{80BE6929-2B03-4291-A117-6D70BB06CD36}"/>
    <cellStyle name="40% - Accent5 5 7" xfId="27001" xr:uid="{9C54747C-DCA2-4049-A8A6-56979DBB26DD}"/>
    <cellStyle name="40% - Accent5 6" xfId="1103" xr:uid="{00000000-0005-0000-0000-0000D2060000}"/>
    <cellStyle name="40% - Accent5 6 2" xfId="3334" xr:uid="{00000000-0005-0000-0000-0000D3060000}"/>
    <cellStyle name="40% - Accent5 6 2 2" xfId="7556" xr:uid="{00000000-0005-0000-0000-0000D4060000}"/>
    <cellStyle name="40% - Accent5 6 2 2 2" xfId="16882" xr:uid="{621CA4FC-9651-404A-B152-767D6154A67C}"/>
    <cellStyle name="40% - Accent5 6 2 2 3" xfId="25329" xr:uid="{C1C0E406-72A0-40E3-AF45-3687F66025A3}"/>
    <cellStyle name="40% - Accent5 6 2 2 4" xfId="33776" xr:uid="{743CE97D-5957-4D11-8549-D4905962A881}"/>
    <cellStyle name="40% - Accent5 6 2 3" xfId="12665" xr:uid="{2C696208-EFBD-47D0-9720-DA397FBA3C1F}"/>
    <cellStyle name="40% - Accent5 6 2 4" xfId="21112" xr:uid="{8DCE505D-C9ED-4E56-8B8D-10BB76D86507}"/>
    <cellStyle name="40% - Accent5 6 2 5" xfId="29559" xr:uid="{32FC25DB-73FF-4C0C-AE7E-F5004ACF18EC}"/>
    <cellStyle name="40% - Accent5 6 3" xfId="5411" xr:uid="{00000000-0005-0000-0000-0000D5060000}"/>
    <cellStyle name="40% - Accent5 6 3 2" xfId="14737" xr:uid="{62D67707-E705-44A0-B447-F3CA8B985B36}"/>
    <cellStyle name="40% - Accent5 6 3 3" xfId="23184" xr:uid="{55959A11-C535-45FC-9CAC-3FA5E3BAFA08}"/>
    <cellStyle name="40% - Accent5 6 3 4" xfId="31631" xr:uid="{7C90742F-67A6-4238-B4BC-F8A35C28FEBB}"/>
    <cellStyle name="40% - Accent5 6 4" xfId="10520" xr:uid="{F4616EB5-FDFC-4602-A6E9-C61966240433}"/>
    <cellStyle name="40% - Accent5 6 5" xfId="18967" xr:uid="{704F9121-FD9F-479E-BB93-41E44448E91A}"/>
    <cellStyle name="40% - Accent5 6 6" xfId="27414" xr:uid="{536B980A-0043-4308-9EB7-34535F7B8D78}"/>
    <cellStyle name="40% - Accent5 7" xfId="1517" xr:uid="{00000000-0005-0000-0000-0000D6060000}"/>
    <cellStyle name="40% - Accent5 7 2" xfId="3747" xr:uid="{00000000-0005-0000-0000-0000D7060000}"/>
    <cellStyle name="40% - Accent5 7 2 2" xfId="7969" xr:uid="{00000000-0005-0000-0000-0000D8060000}"/>
    <cellStyle name="40% - Accent5 7 2 2 2" xfId="17295" xr:uid="{1935CE15-26A7-4789-B169-8CF90EFBC81A}"/>
    <cellStyle name="40% - Accent5 7 2 2 3" xfId="25742" xr:uid="{19B42812-7691-43B0-87EB-8A16C2B44AF2}"/>
    <cellStyle name="40% - Accent5 7 2 2 4" xfId="34189" xr:uid="{D6E35915-39DD-474F-B1BF-580529312AFF}"/>
    <cellStyle name="40% - Accent5 7 2 3" xfId="13078" xr:uid="{C1B80F99-B7C3-44A2-B454-B563B709D6E3}"/>
    <cellStyle name="40% - Accent5 7 2 4" xfId="21525" xr:uid="{7326CCEE-F311-405B-B24B-5366A75872AA}"/>
    <cellStyle name="40% - Accent5 7 2 5" xfId="29972" xr:uid="{6E30CB0F-5321-4503-84C3-34E100324B9E}"/>
    <cellStyle name="40% - Accent5 7 3" xfId="5824" xr:uid="{00000000-0005-0000-0000-0000D9060000}"/>
    <cellStyle name="40% - Accent5 7 3 2" xfId="15150" xr:uid="{E32662D3-323A-4CF9-A221-6FE3F79855CF}"/>
    <cellStyle name="40% - Accent5 7 3 3" xfId="23597" xr:uid="{C11F6B67-1200-41FF-9387-D8D99DABD35F}"/>
    <cellStyle name="40% - Accent5 7 3 4" xfId="32044" xr:uid="{CE9E761A-E0C8-4D04-977C-5F1EEC567140}"/>
    <cellStyle name="40% - Accent5 7 4" xfId="10933" xr:uid="{DC7042DA-7D93-4A81-91A0-0D154E1FF296}"/>
    <cellStyle name="40% - Accent5 7 5" xfId="19380" xr:uid="{113583B2-368B-4DD5-9156-E066A93CF10C}"/>
    <cellStyle name="40% - Accent5 7 6" xfId="27827" xr:uid="{4F42AAB8-6291-4788-B05C-D0FFDF61DE1A}"/>
    <cellStyle name="40% - Accent5 8" xfId="1931" xr:uid="{00000000-0005-0000-0000-0000DA060000}"/>
    <cellStyle name="40% - Accent5 8 2" xfId="4160" xr:uid="{00000000-0005-0000-0000-0000DB060000}"/>
    <cellStyle name="40% - Accent5 8 2 2" xfId="8382" xr:uid="{00000000-0005-0000-0000-0000DC060000}"/>
    <cellStyle name="40% - Accent5 8 2 2 2" xfId="17708" xr:uid="{3CFCBD32-AC4A-4C59-8266-369543196DD6}"/>
    <cellStyle name="40% - Accent5 8 2 2 3" xfId="26155" xr:uid="{0FE91C29-B69A-447A-BCCC-FA116F494B57}"/>
    <cellStyle name="40% - Accent5 8 2 2 4" xfId="34602" xr:uid="{7C2C8039-B04A-47AF-8A36-2BF63B7BD63A}"/>
    <cellStyle name="40% - Accent5 8 2 3" xfId="13491" xr:uid="{F2CC9556-E869-450F-ADF4-C2DD3C1E8228}"/>
    <cellStyle name="40% - Accent5 8 2 4" xfId="21938" xr:uid="{83AD8EA8-65F9-48F7-81D3-0FCBE5509D19}"/>
    <cellStyle name="40% - Accent5 8 2 5" xfId="30385" xr:uid="{589EF3C0-9E62-47D2-A064-247990F5C26F}"/>
    <cellStyle name="40% - Accent5 8 3" xfId="6237" xr:uid="{00000000-0005-0000-0000-0000DD060000}"/>
    <cellStyle name="40% - Accent5 8 3 2" xfId="15563" xr:uid="{B2DB1574-9450-4A5A-A67A-9FAADA97D990}"/>
    <cellStyle name="40% - Accent5 8 3 3" xfId="24010" xr:uid="{A3A2F9CA-EBF8-4F30-AECF-C2990060A21E}"/>
    <cellStyle name="40% - Accent5 8 3 4" xfId="32457" xr:uid="{43091EBF-3DD2-4812-A3C6-F4568C880376}"/>
    <cellStyle name="40% - Accent5 8 4" xfId="11346" xr:uid="{502AE220-8C85-4535-87BB-2001A2F282F3}"/>
    <cellStyle name="40% - Accent5 8 5" xfId="19793" xr:uid="{130AD0B0-872C-47FF-89C7-140310B267AA}"/>
    <cellStyle name="40% - Accent5 8 6" xfId="28240" xr:uid="{647426AD-4D8E-4161-A759-D1C8840DFA67}"/>
    <cellStyle name="40% - Accent5 9" xfId="2344" xr:uid="{00000000-0005-0000-0000-0000DE060000}"/>
    <cellStyle name="40% - Accent5 9 2" xfId="6650" xr:uid="{00000000-0005-0000-0000-0000DF060000}"/>
    <cellStyle name="40% - Accent5 9 2 2" xfId="15976" xr:uid="{2006D196-953B-4CCF-971A-8785052A363A}"/>
    <cellStyle name="40% - Accent5 9 2 3" xfId="24423" xr:uid="{77D6EBD1-BFA9-494F-AF15-7D7294C373B9}"/>
    <cellStyle name="40% - Accent5 9 2 4" xfId="32870" xr:uid="{9AD7184D-6352-42AC-A9F7-F0BE7E4E1431}"/>
    <cellStyle name="40% - Accent5 9 3" xfId="11759" xr:uid="{94A5CDDB-68D8-42F8-8A3E-ECE39EB6FFBA}"/>
    <cellStyle name="40% - Accent5 9 4" xfId="20206" xr:uid="{F6C85CD2-D736-4FD0-B137-A3AAE0865BCB}"/>
    <cellStyle name="40% - Accent5 9 5" xfId="28653" xr:uid="{CECDAA1E-1E91-4156-968A-6AB2E8A385F4}"/>
    <cellStyle name="40% - Accent6" xfId="89" builtinId="51" customBuiltin="1"/>
    <cellStyle name="40% - Accent6 10" xfId="4592" xr:uid="{00000000-0005-0000-0000-0000E1060000}"/>
    <cellStyle name="40% - Accent6 10 2" xfId="13918" xr:uid="{91C52322-0ECD-493D-9827-EB47D555063B}"/>
    <cellStyle name="40% - Accent6 10 3" xfId="22365" xr:uid="{6C45D4D1-849A-40FF-9446-1362C3A76815}"/>
    <cellStyle name="40% - Accent6 10 4" xfId="30812" xr:uid="{9E96D2BE-0AF1-47B1-B2C6-E9D0DEFCCEDF}"/>
    <cellStyle name="40% - Accent6 11" xfId="8769" xr:uid="{8369FE49-3815-490F-BF3A-3BEB88E35DFA}"/>
    <cellStyle name="40% - Accent6 12" xfId="9701" xr:uid="{14DCF798-9F7B-4948-ADC0-05D0F457175A}"/>
    <cellStyle name="40% - Accent6 13" xfId="18148" xr:uid="{BB441841-E693-4CD5-A545-4BB828157E27}"/>
    <cellStyle name="40% - Accent6 14" xfId="26595" xr:uid="{067D1E27-0FEC-4DBF-A795-13D96BBAB124}"/>
    <cellStyle name="40% - Accent6 2" xfId="90" xr:uid="{00000000-0005-0000-0000-0000E2060000}"/>
    <cellStyle name="40% - Accent6 2 10" xfId="8803" xr:uid="{3530B69D-EB1D-41EA-A6FB-440FE4FE29AB}"/>
    <cellStyle name="40% - Accent6 2 11" xfId="9702" xr:uid="{CE0D03A7-5520-43BD-90BC-AE5791908A01}"/>
    <cellStyle name="40% - Accent6 2 12" xfId="18149" xr:uid="{B14217BC-8F23-4CFE-8827-778AF50175C6}"/>
    <cellStyle name="40% - Accent6 2 13" xfId="26596" xr:uid="{F92C2FA9-39F2-4D1D-834F-75998D4A11F2}"/>
    <cellStyle name="40% - Accent6 2 2" xfId="91" xr:uid="{00000000-0005-0000-0000-0000E3060000}"/>
    <cellStyle name="40% - Accent6 2 2 10" xfId="9703" xr:uid="{4554B079-2A5A-43AC-870F-1D986EF3CAB1}"/>
    <cellStyle name="40% - Accent6 2 2 11" xfId="18150" xr:uid="{7E551AFA-E198-4F2C-9CDC-AE3EC6181E07}"/>
    <cellStyle name="40% - Accent6 2 2 12" xfId="26597" xr:uid="{D4B668A0-67EA-4DB4-BDC9-0A9BCFBAD5F4}"/>
    <cellStyle name="40% - Accent6 2 2 2" xfId="92" xr:uid="{00000000-0005-0000-0000-0000E4060000}"/>
    <cellStyle name="40% - Accent6 2 2 2 10" xfId="18151" xr:uid="{2C30827F-CA00-4392-BF71-FA68FFC4FAD3}"/>
    <cellStyle name="40% - Accent6 2 2 2 11" xfId="26598" xr:uid="{258310CB-CD75-4A67-B446-A0EC5983D86B}"/>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16480" xr:uid="{7FC648B6-D687-4EA8-A755-C2D4FF57075C}"/>
    <cellStyle name="40% - Accent6 2 2 2 2 2 2 3" xfId="24927" xr:uid="{F2050EF3-BE6C-4715-BBE4-4790A27F682A}"/>
    <cellStyle name="40% - Accent6 2 2 2 2 2 2 4" xfId="33374" xr:uid="{F578CCAE-4A69-40BC-9039-8412FA1CC144}"/>
    <cellStyle name="40% - Accent6 2 2 2 2 2 3" xfId="12263" xr:uid="{95AEE0AE-1717-460E-B8CA-56CAB19C595B}"/>
    <cellStyle name="40% - Accent6 2 2 2 2 2 4" xfId="20710" xr:uid="{001EC35B-0CA3-41AF-AA23-A21BBAB31C97}"/>
    <cellStyle name="40% - Accent6 2 2 2 2 2 5" xfId="29157" xr:uid="{4B124332-B174-4A87-8600-9208B7FCA1A2}"/>
    <cellStyle name="40% - Accent6 2 2 2 2 3" xfId="5009" xr:uid="{00000000-0005-0000-0000-0000E8060000}"/>
    <cellStyle name="40% - Accent6 2 2 2 2 3 2" xfId="14335" xr:uid="{F05340E9-97CE-4EF5-9D94-64FEF32A3381}"/>
    <cellStyle name="40% - Accent6 2 2 2 2 3 3" xfId="22782" xr:uid="{0A533935-3C79-4533-9C7F-7C5EA7D8D500}"/>
    <cellStyle name="40% - Accent6 2 2 2 2 3 4" xfId="31229" xr:uid="{0E08FB90-B770-4AA5-8119-3D99C3282C47}"/>
    <cellStyle name="40% - Accent6 2 2 2 2 4" xfId="9538" xr:uid="{D1801D0B-FDF1-4C59-8DE2-DEC53081BC5D}"/>
    <cellStyle name="40% - Accent6 2 2 2 2 5" xfId="10118" xr:uid="{05A80809-D47B-473C-800D-56752AC2DACC}"/>
    <cellStyle name="40% - Accent6 2 2 2 2 6" xfId="18565" xr:uid="{EE4A66DB-9521-43A7-9B34-7CB3076F3B02}"/>
    <cellStyle name="40% - Accent6 2 2 2 2 7" xfId="27012" xr:uid="{1020CB7B-4C10-494F-95C6-3A7699923462}"/>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16893" xr:uid="{107C5960-C5A4-45C4-9B8A-0B2B3B5554ED}"/>
    <cellStyle name="40% - Accent6 2 2 2 3 2 2 3" xfId="25340" xr:uid="{940E6347-7D72-4DA3-8E09-E070B3BAE5C4}"/>
    <cellStyle name="40% - Accent6 2 2 2 3 2 2 4" xfId="33787" xr:uid="{241ACB78-C381-4E4D-8991-F5E2525FA45E}"/>
    <cellStyle name="40% - Accent6 2 2 2 3 2 3" xfId="12676" xr:uid="{30FC9415-59CA-4975-B5B0-8E8004F74D1B}"/>
    <cellStyle name="40% - Accent6 2 2 2 3 2 4" xfId="21123" xr:uid="{60EDA155-09A2-4168-9CDF-E25D5C55C7E6}"/>
    <cellStyle name="40% - Accent6 2 2 2 3 2 5" xfId="29570" xr:uid="{BE49EC03-3352-4FFF-8A14-01D9CFBD08B7}"/>
    <cellStyle name="40% - Accent6 2 2 2 3 3" xfId="5422" xr:uid="{00000000-0005-0000-0000-0000EC060000}"/>
    <cellStyle name="40% - Accent6 2 2 2 3 3 2" xfId="14748" xr:uid="{E1657F68-473A-4D4D-B007-28848AFECFF8}"/>
    <cellStyle name="40% - Accent6 2 2 2 3 3 3" xfId="23195" xr:uid="{F0A84CD7-47FB-466F-B26B-068F0C4EFA27}"/>
    <cellStyle name="40% - Accent6 2 2 2 3 3 4" xfId="31642" xr:uid="{ADF87AE6-FE2A-4C62-AC1B-94FBD908D403}"/>
    <cellStyle name="40% - Accent6 2 2 2 3 4" xfId="10531" xr:uid="{3916415D-F7A0-46B8-ABE6-207262675F62}"/>
    <cellStyle name="40% - Accent6 2 2 2 3 5" xfId="18978" xr:uid="{F45D8D21-1062-48DB-8345-A66D9C2536E8}"/>
    <cellStyle name="40% - Accent6 2 2 2 3 6" xfId="27425" xr:uid="{C7C27A09-E2B1-4B01-9922-6B2A07D75564}"/>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17306" xr:uid="{6C37F409-00DB-4F5B-A6B2-97B588951907}"/>
    <cellStyle name="40% - Accent6 2 2 2 4 2 2 3" xfId="25753" xr:uid="{77BAB4F2-B692-4053-94CE-BC3175B41E15}"/>
    <cellStyle name="40% - Accent6 2 2 2 4 2 2 4" xfId="34200" xr:uid="{813CDFCB-0905-4795-A6C5-010489B3B2D9}"/>
    <cellStyle name="40% - Accent6 2 2 2 4 2 3" xfId="13089" xr:uid="{94A47A99-9249-4810-8078-BD1907ACBB74}"/>
    <cellStyle name="40% - Accent6 2 2 2 4 2 4" xfId="21536" xr:uid="{6C3F8F5D-6314-4B41-AA23-6617EA81C46B}"/>
    <cellStyle name="40% - Accent6 2 2 2 4 2 5" xfId="29983" xr:uid="{9B6C0563-5E17-4B6E-A44C-DAF5DD627498}"/>
    <cellStyle name="40% - Accent6 2 2 2 4 3" xfId="5835" xr:uid="{00000000-0005-0000-0000-0000F0060000}"/>
    <cellStyle name="40% - Accent6 2 2 2 4 3 2" xfId="15161" xr:uid="{3C5BAFD8-48F3-46AE-9EE3-60888A8A6F06}"/>
    <cellStyle name="40% - Accent6 2 2 2 4 3 3" xfId="23608" xr:uid="{2EE3A004-11FA-4F1B-8DB2-9CC197498EE9}"/>
    <cellStyle name="40% - Accent6 2 2 2 4 3 4" xfId="32055" xr:uid="{9AEBED09-2CDE-465C-8DDD-4749747CC175}"/>
    <cellStyle name="40% - Accent6 2 2 2 4 4" xfId="10944" xr:uid="{60476FFD-6315-414E-8E0B-B1CC4E61D929}"/>
    <cellStyle name="40% - Accent6 2 2 2 4 5" xfId="19391" xr:uid="{9F1E3C83-57CF-4F53-B672-37D317C1B0CF}"/>
    <cellStyle name="40% - Accent6 2 2 2 4 6" xfId="27838" xr:uid="{E0BC7480-7076-4B55-AB97-1C4DB8995E28}"/>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17719" xr:uid="{B852B27E-BEAA-43EE-B05E-CD7347AB129E}"/>
    <cellStyle name="40% - Accent6 2 2 2 5 2 2 3" xfId="26166" xr:uid="{F33B1E67-DD42-42CE-8CC5-BF6A8BFFA297}"/>
    <cellStyle name="40% - Accent6 2 2 2 5 2 2 4" xfId="34613" xr:uid="{4FAE7687-11E4-4664-906A-712F4672A639}"/>
    <cellStyle name="40% - Accent6 2 2 2 5 2 3" xfId="13502" xr:uid="{98DBB251-182A-4423-B4F3-8A6612330D6D}"/>
    <cellStyle name="40% - Accent6 2 2 2 5 2 4" xfId="21949" xr:uid="{E7215249-6FEB-4E73-ACEE-67886EE0F8BB}"/>
    <cellStyle name="40% - Accent6 2 2 2 5 2 5" xfId="30396" xr:uid="{DCD2A2F0-67E2-496F-B7A1-A417C87CBFD6}"/>
    <cellStyle name="40% - Accent6 2 2 2 5 3" xfId="6248" xr:uid="{00000000-0005-0000-0000-0000F4060000}"/>
    <cellStyle name="40% - Accent6 2 2 2 5 3 2" xfId="15574" xr:uid="{DD38FD6D-E9C4-478F-BDE2-77584726C87A}"/>
    <cellStyle name="40% - Accent6 2 2 2 5 3 3" xfId="24021" xr:uid="{AD95056B-9530-4CAB-9523-1FDA756C2628}"/>
    <cellStyle name="40% - Accent6 2 2 2 5 3 4" xfId="32468" xr:uid="{A79D1819-7EE1-41BB-AF3A-81B80DC618DE}"/>
    <cellStyle name="40% - Accent6 2 2 2 5 4" xfId="11357" xr:uid="{09974A16-D3B4-44A4-BCD9-3929013F076A}"/>
    <cellStyle name="40% - Accent6 2 2 2 5 5" xfId="19804" xr:uid="{1432BAAD-AA25-49C7-BC35-4713337FCE6C}"/>
    <cellStyle name="40% - Accent6 2 2 2 5 6" xfId="28251" xr:uid="{4F0818BD-CFEA-4F1B-96C4-37CCBD39DCFC}"/>
    <cellStyle name="40% - Accent6 2 2 2 6" xfId="2355" xr:uid="{00000000-0005-0000-0000-0000F5060000}"/>
    <cellStyle name="40% - Accent6 2 2 2 6 2" xfId="6661" xr:uid="{00000000-0005-0000-0000-0000F6060000}"/>
    <cellStyle name="40% - Accent6 2 2 2 6 2 2" xfId="15987" xr:uid="{98144E18-2D8F-4DCA-B9CD-2058D0A1317B}"/>
    <cellStyle name="40% - Accent6 2 2 2 6 2 3" xfId="24434" xr:uid="{6848B041-D833-4CB1-B8A4-5E1949DD0669}"/>
    <cellStyle name="40% - Accent6 2 2 2 6 2 4" xfId="32881" xr:uid="{8D642E99-11AF-4FDD-9201-0853A770857B}"/>
    <cellStyle name="40% - Accent6 2 2 2 6 3" xfId="11770" xr:uid="{8996C254-35E0-497E-ADAC-6ECBC7B7D2EF}"/>
    <cellStyle name="40% - Accent6 2 2 2 6 4" xfId="20217" xr:uid="{ED981EB1-1B0F-431F-B3E1-85CBFB94A187}"/>
    <cellStyle name="40% - Accent6 2 2 2 6 5" xfId="28664" xr:uid="{E4396501-2F1F-465C-8F02-3CAEA570CD6D}"/>
    <cellStyle name="40% - Accent6 2 2 2 7" xfId="4595" xr:uid="{00000000-0005-0000-0000-0000F7060000}"/>
    <cellStyle name="40% - Accent6 2 2 2 7 2" xfId="13921" xr:uid="{83D6EE2F-1900-45B7-A71D-3D39277BC3F7}"/>
    <cellStyle name="40% - Accent6 2 2 2 7 3" xfId="22368" xr:uid="{BA84E14F-A292-4C1B-BD0E-D5D9C58DEF37}"/>
    <cellStyle name="40% - Accent6 2 2 2 7 4" xfId="30815" xr:uid="{828BFA14-5756-44AB-A809-3B87FE4959EE}"/>
    <cellStyle name="40% - Accent6 2 2 2 8" xfId="9113" xr:uid="{D9373B4A-E1DA-437A-874A-FCE4D00708EB}"/>
    <cellStyle name="40% - Accent6 2 2 2 9" xfId="9704" xr:uid="{4B456497-03E9-4470-BDE3-81D527AA0807}"/>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16479" xr:uid="{8996AFFA-5F1C-488D-9D7D-C3D3C8D757FE}"/>
    <cellStyle name="40% - Accent6 2 2 3 2 2 3" xfId="24926" xr:uid="{9B5F06EC-6A17-48B0-A720-A6B949AE7789}"/>
    <cellStyle name="40% - Accent6 2 2 3 2 2 4" xfId="33373" xr:uid="{91D23BC3-2E12-4C2A-BB2C-1C70C0E495A2}"/>
    <cellStyle name="40% - Accent6 2 2 3 2 3" xfId="12262" xr:uid="{0039011F-5ED2-48AB-84E9-8503DC28982D}"/>
    <cellStyle name="40% - Accent6 2 2 3 2 4" xfId="20709" xr:uid="{47BAF97C-DC94-43D7-AC6F-66ED5BB6C1BA}"/>
    <cellStyle name="40% - Accent6 2 2 3 2 5" xfId="29156" xr:uid="{71278E70-20EE-48F3-9AFA-272A5BFF8120}"/>
    <cellStyle name="40% - Accent6 2 2 3 3" xfId="5008" xr:uid="{00000000-0005-0000-0000-0000FB060000}"/>
    <cellStyle name="40% - Accent6 2 2 3 3 2" xfId="14334" xr:uid="{591B73A4-6016-4F9D-BDFF-067B60BCE89E}"/>
    <cellStyle name="40% - Accent6 2 2 3 3 3" xfId="22781" xr:uid="{04907275-C4F5-4115-BFC8-038022A606F4}"/>
    <cellStyle name="40% - Accent6 2 2 3 3 4" xfId="31228" xr:uid="{47384539-8A95-4923-B68E-D3A10C192A6F}"/>
    <cellStyle name="40% - Accent6 2 2 3 4" xfId="9331" xr:uid="{223B62DA-AA8A-4703-B6D5-D6AA8918B034}"/>
    <cellStyle name="40% - Accent6 2 2 3 5" xfId="10117" xr:uid="{E7677785-AC05-4277-8B90-4375849A92D3}"/>
    <cellStyle name="40% - Accent6 2 2 3 6" xfId="18564" xr:uid="{73AAA90D-7705-464B-8483-6F6F1A974408}"/>
    <cellStyle name="40% - Accent6 2 2 3 7" xfId="27011" xr:uid="{3A49147A-B235-44B8-8BD5-EED3D15AD877}"/>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16892" xr:uid="{02E0A434-BD00-4702-8846-5146EBE688D7}"/>
    <cellStyle name="40% - Accent6 2 2 4 2 2 3" xfId="25339" xr:uid="{99BCB34A-1EB1-43D9-83A2-5EB3ED1EF865}"/>
    <cellStyle name="40% - Accent6 2 2 4 2 2 4" xfId="33786" xr:uid="{A7C3B35F-2B01-4D22-A76A-34AA12161C84}"/>
    <cellStyle name="40% - Accent6 2 2 4 2 3" xfId="12675" xr:uid="{A45DEE6B-3DA4-4B29-99D7-78D7E7B4C3B9}"/>
    <cellStyle name="40% - Accent6 2 2 4 2 4" xfId="21122" xr:uid="{4015B993-4933-494D-9A64-3238E05EFFF6}"/>
    <cellStyle name="40% - Accent6 2 2 4 2 5" xfId="29569" xr:uid="{1AC590FE-84F1-4400-860D-A3924531A46B}"/>
    <cellStyle name="40% - Accent6 2 2 4 3" xfId="5421" xr:uid="{00000000-0005-0000-0000-0000FF060000}"/>
    <cellStyle name="40% - Accent6 2 2 4 3 2" xfId="14747" xr:uid="{232F6F1D-1C23-422B-9097-75A5D150BD9E}"/>
    <cellStyle name="40% - Accent6 2 2 4 3 3" xfId="23194" xr:uid="{AFCA8F4A-F4B5-44E3-B0FE-88F13C6400F9}"/>
    <cellStyle name="40% - Accent6 2 2 4 3 4" xfId="31641" xr:uid="{9381FE54-7472-4EEE-ADE0-A5171858AEED}"/>
    <cellStyle name="40% - Accent6 2 2 4 4" xfId="10530" xr:uid="{4100A187-7758-4B1F-B625-1A022DC8A81A}"/>
    <cellStyle name="40% - Accent6 2 2 4 5" xfId="18977" xr:uid="{1AABE183-8749-400F-91B9-83B10BED1594}"/>
    <cellStyle name="40% - Accent6 2 2 4 6" xfId="27424" xr:uid="{555A5DCB-A287-411F-A420-F2C2DB3697D4}"/>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17305" xr:uid="{AFD82FD5-D33C-489D-905E-003FED010103}"/>
    <cellStyle name="40% - Accent6 2 2 5 2 2 3" xfId="25752" xr:uid="{F1AFD5A0-6257-47F9-8257-8B5ACB83EA3D}"/>
    <cellStyle name="40% - Accent6 2 2 5 2 2 4" xfId="34199" xr:uid="{84C0DCAF-4BA5-4604-B133-CB090BFD97F3}"/>
    <cellStyle name="40% - Accent6 2 2 5 2 3" xfId="13088" xr:uid="{27F74F7F-C556-4124-A226-0BA44AEFDF95}"/>
    <cellStyle name="40% - Accent6 2 2 5 2 4" xfId="21535" xr:uid="{2A61F19B-7941-4F34-BAF6-B800A0A68383}"/>
    <cellStyle name="40% - Accent6 2 2 5 2 5" xfId="29982" xr:uid="{E8A6FD7D-EE88-4506-B724-1809BEF728B9}"/>
    <cellStyle name="40% - Accent6 2 2 5 3" xfId="5834" xr:uid="{00000000-0005-0000-0000-000003070000}"/>
    <cellStyle name="40% - Accent6 2 2 5 3 2" xfId="15160" xr:uid="{30C84155-5627-48D8-90FE-D0F9E958ABE6}"/>
    <cellStyle name="40% - Accent6 2 2 5 3 3" xfId="23607" xr:uid="{BDC9CE20-54E8-4414-BD0F-01DA300A9141}"/>
    <cellStyle name="40% - Accent6 2 2 5 3 4" xfId="32054" xr:uid="{046F6F09-ED70-4E8D-888A-05D500AB94EF}"/>
    <cellStyle name="40% - Accent6 2 2 5 4" xfId="10943" xr:uid="{BDCD622A-CDF1-47A3-B7B4-88BC0CFDDEAB}"/>
    <cellStyle name="40% - Accent6 2 2 5 5" xfId="19390" xr:uid="{3696BB43-0480-411A-9771-7C2B9272C143}"/>
    <cellStyle name="40% - Accent6 2 2 5 6" xfId="27837" xr:uid="{10D9CC84-F026-47D7-B550-7E2832EE6B86}"/>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17718" xr:uid="{A777A4A8-3FEB-47EE-ABBB-FC7ADEDD66CA}"/>
    <cellStyle name="40% - Accent6 2 2 6 2 2 3" xfId="26165" xr:uid="{4EA2E43F-90D5-4ED8-9718-421A7F54AFAA}"/>
    <cellStyle name="40% - Accent6 2 2 6 2 2 4" xfId="34612" xr:uid="{B4FDF86B-7815-41D8-85F6-16898A0BC41E}"/>
    <cellStyle name="40% - Accent6 2 2 6 2 3" xfId="13501" xr:uid="{4E983A11-D340-463E-BDAB-163556692174}"/>
    <cellStyle name="40% - Accent6 2 2 6 2 4" xfId="21948" xr:uid="{0AD23F10-374C-49E2-A0FD-EB0B48C66CE9}"/>
    <cellStyle name="40% - Accent6 2 2 6 2 5" xfId="30395" xr:uid="{1D87BE2F-67E1-4535-A710-F3949D930485}"/>
    <cellStyle name="40% - Accent6 2 2 6 3" xfId="6247" xr:uid="{00000000-0005-0000-0000-000007070000}"/>
    <cellStyle name="40% - Accent6 2 2 6 3 2" xfId="15573" xr:uid="{BB8E3A35-EFAF-49D6-87E5-DCE3F5CC66E0}"/>
    <cellStyle name="40% - Accent6 2 2 6 3 3" xfId="24020" xr:uid="{0299F7F3-2F96-4282-B528-7DC241140DE6}"/>
    <cellStyle name="40% - Accent6 2 2 6 3 4" xfId="32467" xr:uid="{1F0B602E-4BD7-4F3B-B815-C0255C1837B1}"/>
    <cellStyle name="40% - Accent6 2 2 6 4" xfId="11356" xr:uid="{39029163-AD96-4897-B902-4D9CB80E1FC3}"/>
    <cellStyle name="40% - Accent6 2 2 6 5" xfId="19803" xr:uid="{59EE4FDC-3AF7-4A82-B000-D176D561C204}"/>
    <cellStyle name="40% - Accent6 2 2 6 6" xfId="28250" xr:uid="{678B3761-E171-4C04-85B1-AAFB15C37076}"/>
    <cellStyle name="40% - Accent6 2 2 7" xfId="2354" xr:uid="{00000000-0005-0000-0000-000008070000}"/>
    <cellStyle name="40% - Accent6 2 2 7 2" xfId="6660" xr:uid="{00000000-0005-0000-0000-000009070000}"/>
    <cellStyle name="40% - Accent6 2 2 7 2 2" xfId="15986" xr:uid="{0825640F-FAA4-4295-970E-A5ED2E343A53}"/>
    <cellStyle name="40% - Accent6 2 2 7 2 3" xfId="24433" xr:uid="{9379A126-A849-489F-A287-3D74C1DDF68E}"/>
    <cellStyle name="40% - Accent6 2 2 7 2 4" xfId="32880" xr:uid="{955E2FBC-AD31-4DFE-BBD0-6E56B150B141}"/>
    <cellStyle name="40% - Accent6 2 2 7 3" xfId="11769" xr:uid="{EF9EDB5B-287E-45E9-AB91-EC5FE7A8A249}"/>
    <cellStyle name="40% - Accent6 2 2 7 4" xfId="20216" xr:uid="{DEF2018C-413C-42F4-B50F-4A4B9E0E836A}"/>
    <cellStyle name="40% - Accent6 2 2 7 5" xfId="28663" xr:uid="{588F0B30-AF0A-4F3B-8B2B-C17B63354F77}"/>
    <cellStyle name="40% - Accent6 2 2 8" xfId="4594" xr:uid="{00000000-0005-0000-0000-00000A070000}"/>
    <cellStyle name="40% - Accent6 2 2 8 2" xfId="13920" xr:uid="{B62C03C1-9052-4804-8412-B95CF5B7EFD6}"/>
    <cellStyle name="40% - Accent6 2 2 8 3" xfId="22367" xr:uid="{16DCBD50-F719-4BC1-8C23-604B4A384E19}"/>
    <cellStyle name="40% - Accent6 2 2 8 4" xfId="30814" xr:uid="{0C1A1F53-A588-4D10-8365-7CD76372D94E}"/>
    <cellStyle name="40% - Accent6 2 2 9" xfId="8906" xr:uid="{C30FCA09-BA1A-4F54-9397-4FC676425C46}"/>
    <cellStyle name="40% - Accent6 2 3" xfId="93" xr:uid="{00000000-0005-0000-0000-00000B070000}"/>
    <cellStyle name="40% - Accent6 2 3 10" xfId="18152" xr:uid="{C684156D-CB82-438C-8033-6AE3CB721611}"/>
    <cellStyle name="40% - Accent6 2 3 11" xfId="26599" xr:uid="{ABB48FFF-C834-4072-AD1C-19D69477FE98}"/>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16481" xr:uid="{1438917D-5431-4576-8031-445B3FB4173C}"/>
    <cellStyle name="40% - Accent6 2 3 2 2 2 3" xfId="24928" xr:uid="{DCBD51F8-D0D4-4F67-AD6B-DC7148C9EF18}"/>
    <cellStyle name="40% - Accent6 2 3 2 2 2 4" xfId="33375" xr:uid="{F6D4938B-EE13-4EEC-83BF-01EAE8F42213}"/>
    <cellStyle name="40% - Accent6 2 3 2 2 3" xfId="12264" xr:uid="{CE049298-BA42-4094-BB7A-A348AF4490AC}"/>
    <cellStyle name="40% - Accent6 2 3 2 2 4" xfId="20711" xr:uid="{E6314A78-E133-4A56-85E7-D1C9CBDE0934}"/>
    <cellStyle name="40% - Accent6 2 3 2 2 5" xfId="29158" xr:uid="{CE3E26EF-15D3-468D-83A5-575EB46D4F70}"/>
    <cellStyle name="40% - Accent6 2 3 2 3" xfId="5010" xr:uid="{00000000-0005-0000-0000-00000F070000}"/>
    <cellStyle name="40% - Accent6 2 3 2 3 2" xfId="14336" xr:uid="{DB980887-EC25-4828-9F65-4C39575C6C6E}"/>
    <cellStyle name="40% - Accent6 2 3 2 3 3" xfId="22783" xr:uid="{10FC43F0-7695-430E-8681-E750B69E5635}"/>
    <cellStyle name="40% - Accent6 2 3 2 3 4" xfId="31230" xr:uid="{9F1BFBDA-4647-4352-AB47-A94AAB98285B}"/>
    <cellStyle name="40% - Accent6 2 3 2 4" xfId="9435" xr:uid="{36535681-1736-4584-8CB6-F8F38C9E0E5B}"/>
    <cellStyle name="40% - Accent6 2 3 2 5" xfId="10119" xr:uid="{BF681BCF-02F7-4287-8B3D-7E23035320E6}"/>
    <cellStyle name="40% - Accent6 2 3 2 6" xfId="18566" xr:uid="{973143D7-0B3F-4F7E-AA6C-DE8239DA2542}"/>
    <cellStyle name="40% - Accent6 2 3 2 7" xfId="27013" xr:uid="{B4EEBF4F-9101-4E3D-ADDF-5F425DCED36E}"/>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16894" xr:uid="{FAE51C50-AE96-40A6-ACF8-07C3BA17180A}"/>
    <cellStyle name="40% - Accent6 2 3 3 2 2 3" xfId="25341" xr:uid="{95EA9D40-2DA3-4128-8C59-42942EF6344D}"/>
    <cellStyle name="40% - Accent6 2 3 3 2 2 4" xfId="33788" xr:uid="{6D0770FB-1773-4881-AF52-16C1A580805B}"/>
    <cellStyle name="40% - Accent6 2 3 3 2 3" xfId="12677" xr:uid="{28B90432-6CD8-4F52-A2E9-6DD017D6800A}"/>
    <cellStyle name="40% - Accent6 2 3 3 2 4" xfId="21124" xr:uid="{F2CE49E6-EF29-4CB5-B0D5-41FAC63EDB67}"/>
    <cellStyle name="40% - Accent6 2 3 3 2 5" xfId="29571" xr:uid="{424C32B2-526E-488A-AC5E-8993F9D4CC18}"/>
    <cellStyle name="40% - Accent6 2 3 3 3" xfId="5423" xr:uid="{00000000-0005-0000-0000-000013070000}"/>
    <cellStyle name="40% - Accent6 2 3 3 3 2" xfId="14749" xr:uid="{E5DFC0BE-81BD-42D4-96B7-BEDF5CCBF2CC}"/>
    <cellStyle name="40% - Accent6 2 3 3 3 3" xfId="23196" xr:uid="{CAC50D3F-9BFF-47DE-91C3-3CAD9EDF0254}"/>
    <cellStyle name="40% - Accent6 2 3 3 3 4" xfId="31643" xr:uid="{E8075819-3016-4EAC-B36F-60A6F34A5122}"/>
    <cellStyle name="40% - Accent6 2 3 3 4" xfId="10532" xr:uid="{070802D0-8331-420E-A9C8-2D2970B1D4C7}"/>
    <cellStyle name="40% - Accent6 2 3 3 5" xfId="18979" xr:uid="{F4495E22-72D9-499A-8F13-38DFA2300A67}"/>
    <cellStyle name="40% - Accent6 2 3 3 6" xfId="27426" xr:uid="{A4B6BC09-5413-458F-A7E1-11E6463456E9}"/>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17307" xr:uid="{00232C28-B37A-46D9-864B-53B9DBE17193}"/>
    <cellStyle name="40% - Accent6 2 3 4 2 2 3" xfId="25754" xr:uid="{34CE4430-415C-48CB-BBF1-FADFC95DD28C}"/>
    <cellStyle name="40% - Accent6 2 3 4 2 2 4" xfId="34201" xr:uid="{9F6AA960-3557-4895-9D60-166FC092C47E}"/>
    <cellStyle name="40% - Accent6 2 3 4 2 3" xfId="13090" xr:uid="{AF7A38C5-AA85-4F32-8D4C-987466B1026F}"/>
    <cellStyle name="40% - Accent6 2 3 4 2 4" xfId="21537" xr:uid="{5BBF3040-A2AC-4486-9F27-4C8F58CBDBA2}"/>
    <cellStyle name="40% - Accent6 2 3 4 2 5" xfId="29984" xr:uid="{15077BBC-8D57-462E-A129-A75199A4101A}"/>
    <cellStyle name="40% - Accent6 2 3 4 3" xfId="5836" xr:uid="{00000000-0005-0000-0000-000017070000}"/>
    <cellStyle name="40% - Accent6 2 3 4 3 2" xfId="15162" xr:uid="{D8EBAAAD-0DF4-4303-9923-B26BCC3C1B32}"/>
    <cellStyle name="40% - Accent6 2 3 4 3 3" xfId="23609" xr:uid="{63BFCB35-0CC5-49E5-BC39-763FA219514B}"/>
    <cellStyle name="40% - Accent6 2 3 4 3 4" xfId="32056" xr:uid="{F5CBD6AF-221B-4FB5-A21C-A59C6B276A71}"/>
    <cellStyle name="40% - Accent6 2 3 4 4" xfId="10945" xr:uid="{2C2C5898-EA2B-4BFD-A52E-95944038D252}"/>
    <cellStyle name="40% - Accent6 2 3 4 5" xfId="19392" xr:uid="{3E58ABC7-DE50-43EA-B6FD-CEA69DF59DB1}"/>
    <cellStyle name="40% - Accent6 2 3 4 6" xfId="27839" xr:uid="{F8D5F837-78F9-423D-8161-FCA05D4F592B}"/>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17720" xr:uid="{4CA14130-B5B0-4F59-83D0-BF58D3E6069C}"/>
    <cellStyle name="40% - Accent6 2 3 5 2 2 3" xfId="26167" xr:uid="{BDD5EACE-A47B-4068-9837-9F03DD261097}"/>
    <cellStyle name="40% - Accent6 2 3 5 2 2 4" xfId="34614" xr:uid="{077FEFB0-FA56-4761-BEE5-EF9D77BF30DD}"/>
    <cellStyle name="40% - Accent6 2 3 5 2 3" xfId="13503" xr:uid="{850A451F-88AE-471E-9F90-226E48AA1FBB}"/>
    <cellStyle name="40% - Accent6 2 3 5 2 4" xfId="21950" xr:uid="{EB29DFA2-E5F4-4EAF-883D-7862BB7E399F}"/>
    <cellStyle name="40% - Accent6 2 3 5 2 5" xfId="30397" xr:uid="{42E1994C-3397-4377-AAC5-AEFF4E9B69A1}"/>
    <cellStyle name="40% - Accent6 2 3 5 3" xfId="6249" xr:uid="{00000000-0005-0000-0000-00001B070000}"/>
    <cellStyle name="40% - Accent6 2 3 5 3 2" xfId="15575" xr:uid="{8C8A3472-A049-4B22-9C54-9BBCE20F0600}"/>
    <cellStyle name="40% - Accent6 2 3 5 3 3" xfId="24022" xr:uid="{DC996AFD-A09D-4CBA-85DC-3865933BBEF5}"/>
    <cellStyle name="40% - Accent6 2 3 5 3 4" xfId="32469" xr:uid="{BEA495FF-9C18-4672-8CF3-5017391AEA2E}"/>
    <cellStyle name="40% - Accent6 2 3 5 4" xfId="11358" xr:uid="{2544747B-0193-4E67-B65F-5690763EAC2E}"/>
    <cellStyle name="40% - Accent6 2 3 5 5" xfId="19805" xr:uid="{BD195F9D-B7FC-4959-AD9C-C7E0DF606F98}"/>
    <cellStyle name="40% - Accent6 2 3 5 6" xfId="28252" xr:uid="{1DF6B3E9-4CCA-49FA-BE12-E04CB7D10CB4}"/>
    <cellStyle name="40% - Accent6 2 3 6" xfId="2356" xr:uid="{00000000-0005-0000-0000-00001C070000}"/>
    <cellStyle name="40% - Accent6 2 3 6 2" xfId="6662" xr:uid="{00000000-0005-0000-0000-00001D070000}"/>
    <cellStyle name="40% - Accent6 2 3 6 2 2" xfId="15988" xr:uid="{8D350DD0-C2D1-47EA-A983-C1C9D862B47B}"/>
    <cellStyle name="40% - Accent6 2 3 6 2 3" xfId="24435" xr:uid="{82B841A8-2DF4-4732-8153-BBAC667194A8}"/>
    <cellStyle name="40% - Accent6 2 3 6 2 4" xfId="32882" xr:uid="{E01D6A01-5C66-43BD-98E0-77CFF751FE1B}"/>
    <cellStyle name="40% - Accent6 2 3 6 3" xfId="11771" xr:uid="{DE8E88EA-9B60-4A73-BCCB-2B65DED6B666}"/>
    <cellStyle name="40% - Accent6 2 3 6 4" xfId="20218" xr:uid="{02D019F7-3315-4B8A-A5A2-9C51016461C3}"/>
    <cellStyle name="40% - Accent6 2 3 6 5" xfId="28665" xr:uid="{FD961668-3A21-4BB2-B8B6-774DB1687962}"/>
    <cellStyle name="40% - Accent6 2 3 7" xfId="4596" xr:uid="{00000000-0005-0000-0000-00001E070000}"/>
    <cellStyle name="40% - Accent6 2 3 7 2" xfId="13922" xr:uid="{DD273888-FC67-42F8-A163-03FCFA9878B7}"/>
    <cellStyle name="40% - Accent6 2 3 7 3" xfId="22369" xr:uid="{8E005D92-6DEF-4DC5-88D6-F6D19834ADF8}"/>
    <cellStyle name="40% - Accent6 2 3 7 4" xfId="30816" xr:uid="{4B1FDB93-6FBC-4CDE-8032-CC2071AC7343}"/>
    <cellStyle name="40% - Accent6 2 3 8" xfId="9010" xr:uid="{63E1B5F8-FE5F-441F-B768-94B1D98CB2B1}"/>
    <cellStyle name="40% - Accent6 2 3 9" xfId="9705" xr:uid="{56C873FC-2789-4C19-9FE7-055074709A45}"/>
    <cellStyle name="40% - Accent6 2 4" xfId="659" xr:uid="{00000000-0005-0000-0000-00001F070000}"/>
    <cellStyle name="40% - Accent6 2 4 2" xfId="2930" xr:uid="{00000000-0005-0000-0000-000020070000}"/>
    <cellStyle name="40% - Accent6 2 4 2 2" xfId="7152" xr:uid="{00000000-0005-0000-0000-000021070000}"/>
    <cellStyle name="40% - Accent6 2 4 2 2 2" xfId="16478" xr:uid="{54BFEBBB-25F8-4081-9178-47299C0B6517}"/>
    <cellStyle name="40% - Accent6 2 4 2 2 3" xfId="24925" xr:uid="{0DB654D0-3791-4FDC-92F2-7FD09434A467}"/>
    <cellStyle name="40% - Accent6 2 4 2 2 4" xfId="33372" xr:uid="{4F7CA178-A0FD-4806-BAC3-D61B9EA1214A}"/>
    <cellStyle name="40% - Accent6 2 4 2 3" xfId="12261" xr:uid="{091A7CEA-1D73-4C8C-9AFE-657B80BF8051}"/>
    <cellStyle name="40% - Accent6 2 4 2 4" xfId="20708" xr:uid="{F0A32661-31C7-4804-8541-9BB1E423AD60}"/>
    <cellStyle name="40% - Accent6 2 4 2 5" xfId="29155" xr:uid="{B3D2FE99-F620-4635-B64D-8B23B7B9D456}"/>
    <cellStyle name="40% - Accent6 2 4 3" xfId="5007" xr:uid="{00000000-0005-0000-0000-000022070000}"/>
    <cellStyle name="40% - Accent6 2 4 3 2" xfId="14333" xr:uid="{E42BC2E0-3652-4446-B135-D08C7FC5F093}"/>
    <cellStyle name="40% - Accent6 2 4 3 3" xfId="22780" xr:uid="{40B730FA-67BA-40B4-8CF1-E955559E5951}"/>
    <cellStyle name="40% - Accent6 2 4 3 4" xfId="31227" xr:uid="{B980D67B-4B36-4F35-A9B2-7CD29A4E9659}"/>
    <cellStyle name="40% - Accent6 2 4 4" xfId="9227" xr:uid="{61BC3AC1-FAE9-47DF-8143-7EECE05FF8D3}"/>
    <cellStyle name="40% - Accent6 2 4 5" xfId="10116" xr:uid="{BE8AD009-5D75-46A9-AFEC-0610B7F7FB73}"/>
    <cellStyle name="40% - Accent6 2 4 6" xfId="18563" xr:uid="{466B8D00-C6D7-4E36-9B6E-9FDF659A4737}"/>
    <cellStyle name="40% - Accent6 2 4 7" xfId="27010" xr:uid="{0E31AFE2-E740-48A1-8E41-ED56513AA95C}"/>
    <cellStyle name="40% - Accent6 2 5" xfId="1112" xr:uid="{00000000-0005-0000-0000-000023070000}"/>
    <cellStyle name="40% - Accent6 2 5 2" xfId="3343" xr:uid="{00000000-0005-0000-0000-000024070000}"/>
    <cellStyle name="40% - Accent6 2 5 2 2" xfId="7565" xr:uid="{00000000-0005-0000-0000-000025070000}"/>
    <cellStyle name="40% - Accent6 2 5 2 2 2" xfId="16891" xr:uid="{9A8E37E5-AA67-4416-AED5-ADB90D7D8D77}"/>
    <cellStyle name="40% - Accent6 2 5 2 2 3" xfId="25338" xr:uid="{C3138921-EF52-44CB-84B5-6800F4CCFEFA}"/>
    <cellStyle name="40% - Accent6 2 5 2 2 4" xfId="33785" xr:uid="{5C1A541F-1DDE-4A2E-A5C4-187756954E94}"/>
    <cellStyle name="40% - Accent6 2 5 2 3" xfId="12674" xr:uid="{84B42791-DF6B-4B78-B3D2-86A4C1F71C45}"/>
    <cellStyle name="40% - Accent6 2 5 2 4" xfId="21121" xr:uid="{646A82BF-DFD3-4497-A385-C725897BA40B}"/>
    <cellStyle name="40% - Accent6 2 5 2 5" xfId="29568" xr:uid="{9F47DC97-4901-4EDE-A90A-CD313337503D}"/>
    <cellStyle name="40% - Accent6 2 5 3" xfId="5420" xr:uid="{00000000-0005-0000-0000-000026070000}"/>
    <cellStyle name="40% - Accent6 2 5 3 2" xfId="14746" xr:uid="{CF30B2C4-151B-41B0-85A3-79F18930B3D7}"/>
    <cellStyle name="40% - Accent6 2 5 3 3" xfId="23193" xr:uid="{90B048B1-C23B-4209-A890-8EE688E93AD6}"/>
    <cellStyle name="40% - Accent6 2 5 3 4" xfId="31640" xr:uid="{DF2C2781-EE61-4023-8BE2-CD9F96BAE225}"/>
    <cellStyle name="40% - Accent6 2 5 4" xfId="10529" xr:uid="{CF657C32-70FF-46F1-845C-3F5C1AB5A5CB}"/>
    <cellStyle name="40% - Accent6 2 5 5" xfId="18976" xr:uid="{F9FFFF8C-E139-4135-959F-04C75B7A6882}"/>
    <cellStyle name="40% - Accent6 2 5 6" xfId="27423" xr:uid="{429DA9BB-59F0-416A-9BC4-08A1F63CB758}"/>
    <cellStyle name="40% - Accent6 2 6" xfId="1526" xr:uid="{00000000-0005-0000-0000-000027070000}"/>
    <cellStyle name="40% - Accent6 2 6 2" xfId="3756" xr:uid="{00000000-0005-0000-0000-000028070000}"/>
    <cellStyle name="40% - Accent6 2 6 2 2" xfId="7978" xr:uid="{00000000-0005-0000-0000-000029070000}"/>
    <cellStyle name="40% - Accent6 2 6 2 2 2" xfId="17304" xr:uid="{C53FF07F-C1F2-4541-A982-EF590CADFEC2}"/>
    <cellStyle name="40% - Accent6 2 6 2 2 3" xfId="25751" xr:uid="{C4DD1EE5-C398-495A-AC96-227E544AAFA5}"/>
    <cellStyle name="40% - Accent6 2 6 2 2 4" xfId="34198" xr:uid="{0F18F3ED-207E-4ACC-8742-12A8D848A2DB}"/>
    <cellStyle name="40% - Accent6 2 6 2 3" xfId="13087" xr:uid="{0E40A229-0CDB-4283-B6D2-74662AE331AC}"/>
    <cellStyle name="40% - Accent6 2 6 2 4" xfId="21534" xr:uid="{49178E80-D91F-43EF-8761-8DD8F56F13B0}"/>
    <cellStyle name="40% - Accent6 2 6 2 5" xfId="29981" xr:uid="{E82B3752-710A-42E6-9394-E6A8C4B3AB42}"/>
    <cellStyle name="40% - Accent6 2 6 3" xfId="5833" xr:uid="{00000000-0005-0000-0000-00002A070000}"/>
    <cellStyle name="40% - Accent6 2 6 3 2" xfId="15159" xr:uid="{5810E800-EBEF-42F7-9DAC-DCD1C699CCE3}"/>
    <cellStyle name="40% - Accent6 2 6 3 3" xfId="23606" xr:uid="{CF7BCC97-3986-4412-899D-5B15048A8350}"/>
    <cellStyle name="40% - Accent6 2 6 3 4" xfId="32053" xr:uid="{760602E1-465E-4E3B-A75B-B0A77F23DFC6}"/>
    <cellStyle name="40% - Accent6 2 6 4" xfId="10942" xr:uid="{816543CD-ECAF-4AEF-BCF2-A9BD7672B118}"/>
    <cellStyle name="40% - Accent6 2 6 5" xfId="19389" xr:uid="{C0D335FD-F238-41EB-A2EB-023FF4E6C44B}"/>
    <cellStyle name="40% - Accent6 2 6 6" xfId="27836" xr:uid="{B526EFED-4D86-45D0-A3E9-676EEBBFAF8D}"/>
    <cellStyle name="40% - Accent6 2 7" xfId="1940" xr:uid="{00000000-0005-0000-0000-00002B070000}"/>
    <cellStyle name="40% - Accent6 2 7 2" xfId="4169" xr:uid="{00000000-0005-0000-0000-00002C070000}"/>
    <cellStyle name="40% - Accent6 2 7 2 2" xfId="8391" xr:uid="{00000000-0005-0000-0000-00002D070000}"/>
    <cellStyle name="40% - Accent6 2 7 2 2 2" xfId="17717" xr:uid="{46B0CBD2-2025-4C2B-944A-B9E86078B171}"/>
    <cellStyle name="40% - Accent6 2 7 2 2 3" xfId="26164" xr:uid="{475A05D9-6119-4F5B-8436-7F8D60180DBF}"/>
    <cellStyle name="40% - Accent6 2 7 2 2 4" xfId="34611" xr:uid="{C084702A-642B-42FF-BEFB-5BA5DD261598}"/>
    <cellStyle name="40% - Accent6 2 7 2 3" xfId="13500" xr:uid="{FA14A960-E96B-447B-9620-B2E86D7DAE84}"/>
    <cellStyle name="40% - Accent6 2 7 2 4" xfId="21947" xr:uid="{A62DDE67-7D3F-43AE-AB8B-86448D15F1BB}"/>
    <cellStyle name="40% - Accent6 2 7 2 5" xfId="30394" xr:uid="{559915C9-3B93-402A-BD82-1756AE6C9667}"/>
    <cellStyle name="40% - Accent6 2 7 3" xfId="6246" xr:uid="{00000000-0005-0000-0000-00002E070000}"/>
    <cellStyle name="40% - Accent6 2 7 3 2" xfId="15572" xr:uid="{FE10BA7E-9AA4-4C09-A15E-A63277F0DFA7}"/>
    <cellStyle name="40% - Accent6 2 7 3 3" xfId="24019" xr:uid="{0C6A61C3-9E23-4ED3-BB27-08EC96D0B40F}"/>
    <cellStyle name="40% - Accent6 2 7 3 4" xfId="32466" xr:uid="{1E325B2B-1AC5-4CA6-A54F-0CD9108E48FD}"/>
    <cellStyle name="40% - Accent6 2 7 4" xfId="11355" xr:uid="{76E926AD-8FAE-4DF3-9A81-341994C62671}"/>
    <cellStyle name="40% - Accent6 2 7 5" xfId="19802" xr:uid="{1603CEEC-39AF-426F-B43B-94854FFDBB22}"/>
    <cellStyle name="40% - Accent6 2 7 6" xfId="28249" xr:uid="{AB745021-A9D0-4906-BB28-097368C0F3AA}"/>
    <cellStyle name="40% - Accent6 2 8" xfId="2353" xr:uid="{00000000-0005-0000-0000-00002F070000}"/>
    <cellStyle name="40% - Accent6 2 8 2" xfId="6659" xr:uid="{00000000-0005-0000-0000-000030070000}"/>
    <cellStyle name="40% - Accent6 2 8 2 2" xfId="15985" xr:uid="{D6715111-1A07-44BC-AA40-799BFD78C147}"/>
    <cellStyle name="40% - Accent6 2 8 2 3" xfId="24432" xr:uid="{FE9EC010-FA2B-4E12-82EC-10A1CB873979}"/>
    <cellStyle name="40% - Accent6 2 8 2 4" xfId="32879" xr:uid="{B1823DC0-9A2A-40B4-AEAB-ACEC9A29EA5D}"/>
    <cellStyle name="40% - Accent6 2 8 3" xfId="11768" xr:uid="{62B2B686-E118-423B-BA35-E708D88BDE83}"/>
    <cellStyle name="40% - Accent6 2 8 4" xfId="20215" xr:uid="{681A8D7F-64CD-4642-89F3-DF749B61A0A2}"/>
    <cellStyle name="40% - Accent6 2 8 5" xfId="28662" xr:uid="{F7A2C004-649D-461B-BA3C-C545DCE07DE7}"/>
    <cellStyle name="40% - Accent6 2 9" xfId="4593" xr:uid="{00000000-0005-0000-0000-000031070000}"/>
    <cellStyle name="40% - Accent6 2 9 2" xfId="13919" xr:uid="{7CAA6D42-3779-4195-A688-43F19BDC1CD0}"/>
    <cellStyle name="40% - Accent6 2 9 3" xfId="22366" xr:uid="{4A96647B-1A91-4CF1-8E9C-25CA609BC85B}"/>
    <cellStyle name="40% - Accent6 2 9 4" xfId="30813" xr:uid="{3E7A1D34-792B-442C-8FD0-9399F3A985D9}"/>
    <cellStyle name="40% - Accent6 3" xfId="94" xr:uid="{00000000-0005-0000-0000-000032070000}"/>
    <cellStyle name="40% - Accent6 3 10" xfId="9706" xr:uid="{366FCAC2-9E61-4E7F-9DA5-C32D81596D7F}"/>
    <cellStyle name="40% - Accent6 3 11" xfId="18153" xr:uid="{3DF165A1-5E36-49CF-AE9A-7A436AF15C93}"/>
    <cellStyle name="40% - Accent6 3 12" xfId="26600" xr:uid="{2794F1D9-E49A-4853-969C-4437336476F0}"/>
    <cellStyle name="40% - Accent6 3 2" xfId="95" xr:uid="{00000000-0005-0000-0000-000033070000}"/>
    <cellStyle name="40% - Accent6 3 2 10" xfId="18154" xr:uid="{468E66A3-D45F-46E4-9EE0-4191E37F1AB3}"/>
    <cellStyle name="40% - Accent6 3 2 11" xfId="26601" xr:uid="{C5FFCFB0-BA63-4613-A1BA-A612AEA0A2FB}"/>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16483" xr:uid="{D6C9C631-EEF7-418C-9C8A-56F16A6A8240}"/>
    <cellStyle name="40% - Accent6 3 2 2 2 2 3" xfId="24930" xr:uid="{AC780907-1377-48CE-8BC6-7FA9EE6FE1CC}"/>
    <cellStyle name="40% - Accent6 3 2 2 2 2 4" xfId="33377" xr:uid="{29ACF533-8E52-4D3F-9F81-E627F1E66F62}"/>
    <cellStyle name="40% - Accent6 3 2 2 2 3" xfId="12266" xr:uid="{EA7B4DFD-DE7D-4CEE-8DC0-8EFAAAC61355}"/>
    <cellStyle name="40% - Accent6 3 2 2 2 4" xfId="20713" xr:uid="{D70F9744-63C9-443E-9C64-12607C8F4093}"/>
    <cellStyle name="40% - Accent6 3 2 2 2 5" xfId="29160" xr:uid="{92909F61-E9FC-4235-A073-48A258AF8714}"/>
    <cellStyle name="40% - Accent6 3 2 2 3" xfId="5012" xr:uid="{00000000-0005-0000-0000-000037070000}"/>
    <cellStyle name="40% - Accent6 3 2 2 3 2" xfId="14338" xr:uid="{6812C348-FABA-4B35-B0C2-CE8573A16C86}"/>
    <cellStyle name="40% - Accent6 3 2 2 3 3" xfId="22785" xr:uid="{C3B448E8-624B-4008-B7EC-84A23BC1715C}"/>
    <cellStyle name="40% - Accent6 3 2 2 3 4" xfId="31232" xr:uid="{9B00C0A3-046E-4D76-A23B-E58178BFA803}"/>
    <cellStyle name="40% - Accent6 3 2 2 4" xfId="9504" xr:uid="{23E46585-FD8F-4BA3-8B65-284D6884E4FD}"/>
    <cellStyle name="40% - Accent6 3 2 2 5" xfId="10121" xr:uid="{29E6C848-090A-46B9-A672-CB8DDF4184F4}"/>
    <cellStyle name="40% - Accent6 3 2 2 6" xfId="18568" xr:uid="{3E8B5B9F-ABA0-4739-BBED-83310FF991D4}"/>
    <cellStyle name="40% - Accent6 3 2 2 7" xfId="27015" xr:uid="{8FE9A893-7B92-44A9-9EAD-9A6A1D64A439}"/>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16896" xr:uid="{EBA20B37-5DAE-48A0-8ACF-73EE3C570F4A}"/>
    <cellStyle name="40% - Accent6 3 2 3 2 2 3" xfId="25343" xr:uid="{9E036072-9E15-476D-A1C3-4C56AB17AFB6}"/>
    <cellStyle name="40% - Accent6 3 2 3 2 2 4" xfId="33790" xr:uid="{270D89DF-D859-4851-ACBF-01CCC6EC7510}"/>
    <cellStyle name="40% - Accent6 3 2 3 2 3" xfId="12679" xr:uid="{1D7CAFDA-FD8E-4F31-BD2A-A27280E8AB31}"/>
    <cellStyle name="40% - Accent6 3 2 3 2 4" xfId="21126" xr:uid="{1B1AB742-D755-41DC-906E-260D4731337D}"/>
    <cellStyle name="40% - Accent6 3 2 3 2 5" xfId="29573" xr:uid="{000739A3-605E-4653-8561-DB90077B16C1}"/>
    <cellStyle name="40% - Accent6 3 2 3 3" xfId="5425" xr:uid="{00000000-0005-0000-0000-00003B070000}"/>
    <cellStyle name="40% - Accent6 3 2 3 3 2" xfId="14751" xr:uid="{63FDD85C-222A-4E0C-A282-9BE05480FD47}"/>
    <cellStyle name="40% - Accent6 3 2 3 3 3" xfId="23198" xr:uid="{693AF537-0585-41E9-BF71-3FD2D24F88B1}"/>
    <cellStyle name="40% - Accent6 3 2 3 3 4" xfId="31645" xr:uid="{11B255AA-61A3-409E-BEED-D33041BCA87E}"/>
    <cellStyle name="40% - Accent6 3 2 3 4" xfId="10534" xr:uid="{F609277A-2634-40BC-B5B5-3022F758DF34}"/>
    <cellStyle name="40% - Accent6 3 2 3 5" xfId="18981" xr:uid="{81CC6B1C-74DA-4740-9B73-22B06969ECBB}"/>
    <cellStyle name="40% - Accent6 3 2 3 6" xfId="27428" xr:uid="{4C650425-9F84-4C4F-B1C1-B39DC4339FB3}"/>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17309" xr:uid="{6789E6C4-1BC7-46F3-97B8-DD2BCF1EE15F}"/>
    <cellStyle name="40% - Accent6 3 2 4 2 2 3" xfId="25756" xr:uid="{B58F061A-ED41-466B-AE38-CE22C47CE41B}"/>
    <cellStyle name="40% - Accent6 3 2 4 2 2 4" xfId="34203" xr:uid="{5D83BC7E-DA24-4B6A-A0F2-0AE2025B8302}"/>
    <cellStyle name="40% - Accent6 3 2 4 2 3" xfId="13092" xr:uid="{49504AB5-6D00-4DC4-B843-7079F3B73056}"/>
    <cellStyle name="40% - Accent6 3 2 4 2 4" xfId="21539" xr:uid="{78776E75-5671-43C7-A952-B15521270714}"/>
    <cellStyle name="40% - Accent6 3 2 4 2 5" xfId="29986" xr:uid="{42CF77F6-8732-4925-A5C0-53C64E6A8395}"/>
    <cellStyle name="40% - Accent6 3 2 4 3" xfId="5838" xr:uid="{00000000-0005-0000-0000-00003F070000}"/>
    <cellStyle name="40% - Accent6 3 2 4 3 2" xfId="15164" xr:uid="{4DBFFCA2-47C2-46E3-99E2-C5B15B69215C}"/>
    <cellStyle name="40% - Accent6 3 2 4 3 3" xfId="23611" xr:uid="{742A4180-D4C9-40D3-BD93-EABFA86588C0}"/>
    <cellStyle name="40% - Accent6 3 2 4 3 4" xfId="32058" xr:uid="{86F49467-FF4F-43E1-B3CB-F9810B304F84}"/>
    <cellStyle name="40% - Accent6 3 2 4 4" xfId="10947" xr:uid="{7C9D127E-B562-4987-844E-D0ADBA874354}"/>
    <cellStyle name="40% - Accent6 3 2 4 5" xfId="19394" xr:uid="{2A2E23F2-8316-4D1C-BAB9-F254F66BEF80}"/>
    <cellStyle name="40% - Accent6 3 2 4 6" xfId="27841" xr:uid="{CE11B6FD-4983-43F6-9715-4AE334C553E8}"/>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17722" xr:uid="{10B40FF6-1B7C-4150-A72C-B8051B61CB2C}"/>
    <cellStyle name="40% - Accent6 3 2 5 2 2 3" xfId="26169" xr:uid="{B5633821-AFBE-4906-90A8-176F3EE930EA}"/>
    <cellStyle name="40% - Accent6 3 2 5 2 2 4" xfId="34616" xr:uid="{612A1FD7-90FC-4A76-83C2-C3058BA3C9BD}"/>
    <cellStyle name="40% - Accent6 3 2 5 2 3" xfId="13505" xr:uid="{17F9ABFF-FF88-4FC1-8860-07EF8C8330D7}"/>
    <cellStyle name="40% - Accent6 3 2 5 2 4" xfId="21952" xr:uid="{59874F81-9B87-421D-99AC-3CC60BDE0517}"/>
    <cellStyle name="40% - Accent6 3 2 5 2 5" xfId="30399" xr:uid="{A65E04AC-0446-4311-B596-44F7A80796DA}"/>
    <cellStyle name="40% - Accent6 3 2 5 3" xfId="6251" xr:uid="{00000000-0005-0000-0000-000043070000}"/>
    <cellStyle name="40% - Accent6 3 2 5 3 2" xfId="15577" xr:uid="{1B0A890B-42C7-4738-B73B-E531747D5775}"/>
    <cellStyle name="40% - Accent6 3 2 5 3 3" xfId="24024" xr:uid="{66C7DB4A-BB74-42A0-967F-F4975D78EC6D}"/>
    <cellStyle name="40% - Accent6 3 2 5 3 4" xfId="32471" xr:uid="{764D157E-BDC7-4D5B-8BFB-98269A7604FF}"/>
    <cellStyle name="40% - Accent6 3 2 5 4" xfId="11360" xr:uid="{C9B11174-5819-4708-8767-9BBE5DBE18C0}"/>
    <cellStyle name="40% - Accent6 3 2 5 5" xfId="19807" xr:uid="{1794EB18-AB65-4992-B217-705925F92165}"/>
    <cellStyle name="40% - Accent6 3 2 5 6" xfId="28254" xr:uid="{EA8C9DAD-B8B2-4580-A248-E81BBC16C20B}"/>
    <cellStyle name="40% - Accent6 3 2 6" xfId="2358" xr:uid="{00000000-0005-0000-0000-000044070000}"/>
    <cellStyle name="40% - Accent6 3 2 6 2" xfId="6664" xr:uid="{00000000-0005-0000-0000-000045070000}"/>
    <cellStyle name="40% - Accent6 3 2 6 2 2" xfId="15990" xr:uid="{81590100-CD5D-4F0E-AB9F-E7BEB700D61B}"/>
    <cellStyle name="40% - Accent6 3 2 6 2 3" xfId="24437" xr:uid="{C984DC19-FB2A-437F-A3B9-F9E3577D6A5B}"/>
    <cellStyle name="40% - Accent6 3 2 6 2 4" xfId="32884" xr:uid="{209333E0-C5E1-4371-96A9-DB20BE051A78}"/>
    <cellStyle name="40% - Accent6 3 2 6 3" xfId="11773" xr:uid="{D80666DC-865D-43E4-8AE5-672F9B261D2A}"/>
    <cellStyle name="40% - Accent6 3 2 6 4" xfId="20220" xr:uid="{92D11172-F745-453C-980C-E07337BE5FDE}"/>
    <cellStyle name="40% - Accent6 3 2 6 5" xfId="28667" xr:uid="{D62843FA-B5F6-4F19-98AC-F1F530039410}"/>
    <cellStyle name="40% - Accent6 3 2 7" xfId="4598" xr:uid="{00000000-0005-0000-0000-000046070000}"/>
    <cellStyle name="40% - Accent6 3 2 7 2" xfId="13924" xr:uid="{BAC36049-37B9-4211-9F05-F4C8BFD7AA0D}"/>
    <cellStyle name="40% - Accent6 3 2 7 3" xfId="22371" xr:uid="{B816BACE-CC68-4D5B-97C5-675502E3DF66}"/>
    <cellStyle name="40% - Accent6 3 2 7 4" xfId="30818" xr:uid="{77DCC2E0-79F8-44C1-AFC7-C84F773DEC46}"/>
    <cellStyle name="40% - Accent6 3 2 8" xfId="9079" xr:uid="{7FA93E2E-699F-4676-8533-A3CC5F80D807}"/>
    <cellStyle name="40% - Accent6 3 2 9" xfId="9707" xr:uid="{1741709A-428E-46DD-B868-6ECE55EE7253}"/>
    <cellStyle name="40% - Accent6 3 3" xfId="663" xr:uid="{00000000-0005-0000-0000-000047070000}"/>
    <cellStyle name="40% - Accent6 3 3 2" xfId="2934" xr:uid="{00000000-0005-0000-0000-000048070000}"/>
    <cellStyle name="40% - Accent6 3 3 2 2" xfId="7156" xr:uid="{00000000-0005-0000-0000-000049070000}"/>
    <cellStyle name="40% - Accent6 3 3 2 2 2" xfId="16482" xr:uid="{98F5A561-7A4A-4188-9D61-84037C4B3225}"/>
    <cellStyle name="40% - Accent6 3 3 2 2 3" xfId="24929" xr:uid="{516E0F05-1CBA-4B15-AF0D-339091D8DE31}"/>
    <cellStyle name="40% - Accent6 3 3 2 2 4" xfId="33376" xr:uid="{8EC1DA30-4768-4A62-80AF-C5E5FADA1629}"/>
    <cellStyle name="40% - Accent6 3 3 2 3" xfId="12265" xr:uid="{AB3AA06F-5D8B-4CCF-ABC4-5378D5E3AC40}"/>
    <cellStyle name="40% - Accent6 3 3 2 4" xfId="20712" xr:uid="{82757759-4509-429F-9120-1C355ED3EE72}"/>
    <cellStyle name="40% - Accent6 3 3 2 5" xfId="29159" xr:uid="{C623456D-F342-4811-853C-EAED6FC1916C}"/>
    <cellStyle name="40% - Accent6 3 3 3" xfId="5011" xr:uid="{00000000-0005-0000-0000-00004A070000}"/>
    <cellStyle name="40% - Accent6 3 3 3 2" xfId="14337" xr:uid="{AA0C818C-58BE-4DA9-9B90-388482E63676}"/>
    <cellStyle name="40% - Accent6 3 3 3 3" xfId="22784" xr:uid="{06F8D65C-15AA-451E-82BC-EED86DDA273E}"/>
    <cellStyle name="40% - Accent6 3 3 3 4" xfId="31231" xr:uid="{ABECA0CA-B8FA-487B-B833-EEDE2D344EEE}"/>
    <cellStyle name="40% - Accent6 3 3 4" xfId="9297" xr:uid="{1226E28F-09E7-4580-8D19-7F14AC1CB4B3}"/>
    <cellStyle name="40% - Accent6 3 3 5" xfId="10120" xr:uid="{C30CB12F-6499-4C4D-91E1-784584093503}"/>
    <cellStyle name="40% - Accent6 3 3 6" xfId="18567" xr:uid="{4DCBDB6E-C0AE-4BAE-8023-2EA753A68B36}"/>
    <cellStyle name="40% - Accent6 3 3 7" xfId="27014" xr:uid="{74FCB075-8F6E-4749-8C07-FE416FF82604}"/>
    <cellStyle name="40% - Accent6 3 4" xfId="1116" xr:uid="{00000000-0005-0000-0000-00004B070000}"/>
    <cellStyle name="40% - Accent6 3 4 2" xfId="3347" xr:uid="{00000000-0005-0000-0000-00004C070000}"/>
    <cellStyle name="40% - Accent6 3 4 2 2" xfId="7569" xr:uid="{00000000-0005-0000-0000-00004D070000}"/>
    <cellStyle name="40% - Accent6 3 4 2 2 2" xfId="16895" xr:uid="{58FCBAFA-D16E-46E0-A887-80D75C6D0469}"/>
    <cellStyle name="40% - Accent6 3 4 2 2 3" xfId="25342" xr:uid="{E755BE9C-1961-409C-947F-AE20DEC84A55}"/>
    <cellStyle name="40% - Accent6 3 4 2 2 4" xfId="33789" xr:uid="{A8C5BDD3-8B0F-4135-B1C9-085D0CE1D7DD}"/>
    <cellStyle name="40% - Accent6 3 4 2 3" xfId="12678" xr:uid="{9D1CF277-1165-4533-B6A2-6FB2F1B3C1D6}"/>
    <cellStyle name="40% - Accent6 3 4 2 4" xfId="21125" xr:uid="{DA18F782-BC95-4C59-9B65-E9CDE5488CDD}"/>
    <cellStyle name="40% - Accent6 3 4 2 5" xfId="29572" xr:uid="{2038BEE3-939B-4998-936F-3F10ACF9D8B7}"/>
    <cellStyle name="40% - Accent6 3 4 3" xfId="5424" xr:uid="{00000000-0005-0000-0000-00004E070000}"/>
    <cellStyle name="40% - Accent6 3 4 3 2" xfId="14750" xr:uid="{8D43979D-AEB1-4BA4-BC4A-82F61F1A41A1}"/>
    <cellStyle name="40% - Accent6 3 4 3 3" xfId="23197" xr:uid="{41299E40-F0F3-46BF-90C0-0F0AF7284450}"/>
    <cellStyle name="40% - Accent6 3 4 3 4" xfId="31644" xr:uid="{FE0BEA8E-D35C-4454-BB0B-DC1E86EBBC33}"/>
    <cellStyle name="40% - Accent6 3 4 4" xfId="10533" xr:uid="{DCCD2B37-4BDB-4189-8E73-3FADD82BA818}"/>
    <cellStyle name="40% - Accent6 3 4 5" xfId="18980" xr:uid="{0F8D6690-EEEC-4237-9615-C2BA7D83A409}"/>
    <cellStyle name="40% - Accent6 3 4 6" xfId="27427" xr:uid="{F95CC034-166C-43BF-99B8-23E95756B833}"/>
    <cellStyle name="40% - Accent6 3 5" xfId="1530" xr:uid="{00000000-0005-0000-0000-00004F070000}"/>
    <cellStyle name="40% - Accent6 3 5 2" xfId="3760" xr:uid="{00000000-0005-0000-0000-000050070000}"/>
    <cellStyle name="40% - Accent6 3 5 2 2" xfId="7982" xr:uid="{00000000-0005-0000-0000-000051070000}"/>
    <cellStyle name="40% - Accent6 3 5 2 2 2" xfId="17308" xr:uid="{3C2BF0A4-548E-4999-85CC-E6005553911A}"/>
    <cellStyle name="40% - Accent6 3 5 2 2 3" xfId="25755" xr:uid="{592019CD-A99D-4BEB-887B-A0E0D8391508}"/>
    <cellStyle name="40% - Accent6 3 5 2 2 4" xfId="34202" xr:uid="{EFE52C34-E28F-493E-B58F-17B8ACF86C93}"/>
    <cellStyle name="40% - Accent6 3 5 2 3" xfId="13091" xr:uid="{1222B882-0E71-4D92-84A8-D56C70D50B43}"/>
    <cellStyle name="40% - Accent6 3 5 2 4" xfId="21538" xr:uid="{8CF9BA52-9F8E-4A24-A3C7-349A8C7715C4}"/>
    <cellStyle name="40% - Accent6 3 5 2 5" xfId="29985" xr:uid="{3967D74F-F973-4FEE-924B-C8CC12CE92A6}"/>
    <cellStyle name="40% - Accent6 3 5 3" xfId="5837" xr:uid="{00000000-0005-0000-0000-000052070000}"/>
    <cellStyle name="40% - Accent6 3 5 3 2" xfId="15163" xr:uid="{576EF4B8-1D58-47A0-8E79-A7D8DAE2E0DE}"/>
    <cellStyle name="40% - Accent6 3 5 3 3" xfId="23610" xr:uid="{6725E838-C2B4-48C1-A053-589A530FA176}"/>
    <cellStyle name="40% - Accent6 3 5 3 4" xfId="32057" xr:uid="{960D191E-2668-42FB-8CAC-6E9B17DB38BE}"/>
    <cellStyle name="40% - Accent6 3 5 4" xfId="10946" xr:uid="{7547F5AB-5623-4251-9C53-099AF5B6765C}"/>
    <cellStyle name="40% - Accent6 3 5 5" xfId="19393" xr:uid="{F8EDBC60-4D12-45F4-9C77-4C6F3E777EA3}"/>
    <cellStyle name="40% - Accent6 3 5 6" xfId="27840" xr:uid="{84580146-C77E-4F85-A4F2-C5272BBFE56B}"/>
    <cellStyle name="40% - Accent6 3 6" xfId="1944" xr:uid="{00000000-0005-0000-0000-000053070000}"/>
    <cellStyle name="40% - Accent6 3 6 2" xfId="4173" xr:uid="{00000000-0005-0000-0000-000054070000}"/>
    <cellStyle name="40% - Accent6 3 6 2 2" xfId="8395" xr:uid="{00000000-0005-0000-0000-000055070000}"/>
    <cellStyle name="40% - Accent6 3 6 2 2 2" xfId="17721" xr:uid="{4184C27B-9A8F-40D2-AA9F-B95F3116E5E6}"/>
    <cellStyle name="40% - Accent6 3 6 2 2 3" xfId="26168" xr:uid="{A0728ABE-1C30-4F5F-ACB5-166070E2DDD1}"/>
    <cellStyle name="40% - Accent6 3 6 2 2 4" xfId="34615" xr:uid="{D95BDDA7-5B6F-4CA5-8C3F-EEABBA05774B}"/>
    <cellStyle name="40% - Accent6 3 6 2 3" xfId="13504" xr:uid="{2392E1B7-2F87-48AE-90F2-336A07F57873}"/>
    <cellStyle name="40% - Accent6 3 6 2 4" xfId="21951" xr:uid="{9C38A10E-0114-45A7-A79F-F2C4699D2CB2}"/>
    <cellStyle name="40% - Accent6 3 6 2 5" xfId="30398" xr:uid="{45577269-554F-453B-9BDC-C34E7731AAD8}"/>
    <cellStyle name="40% - Accent6 3 6 3" xfId="6250" xr:uid="{00000000-0005-0000-0000-000056070000}"/>
    <cellStyle name="40% - Accent6 3 6 3 2" xfId="15576" xr:uid="{D9593AB1-2372-45A4-9CA7-6B757D94C1C8}"/>
    <cellStyle name="40% - Accent6 3 6 3 3" xfId="24023" xr:uid="{1D525986-CE94-4907-9C83-F7B4AFA7A9B9}"/>
    <cellStyle name="40% - Accent6 3 6 3 4" xfId="32470" xr:uid="{BB531996-CE60-4F31-A884-F1D2607E8C09}"/>
    <cellStyle name="40% - Accent6 3 6 4" xfId="11359" xr:uid="{A74F6454-7B16-4EE2-A54F-01147045EDC2}"/>
    <cellStyle name="40% - Accent6 3 6 5" xfId="19806" xr:uid="{9D45EACB-7D46-4C95-868F-621C418AFF48}"/>
    <cellStyle name="40% - Accent6 3 6 6" xfId="28253" xr:uid="{FB41332C-1FDC-4473-8CC9-EFB3AB2B7227}"/>
    <cellStyle name="40% - Accent6 3 7" xfId="2357" xr:uid="{00000000-0005-0000-0000-000057070000}"/>
    <cellStyle name="40% - Accent6 3 7 2" xfId="6663" xr:uid="{00000000-0005-0000-0000-000058070000}"/>
    <cellStyle name="40% - Accent6 3 7 2 2" xfId="15989" xr:uid="{DF5E7D32-495E-44F0-A74C-2B6FE6526252}"/>
    <cellStyle name="40% - Accent6 3 7 2 3" xfId="24436" xr:uid="{AA11A6CB-0EC7-44ED-9A2D-EEF4A4AA6775}"/>
    <cellStyle name="40% - Accent6 3 7 2 4" xfId="32883" xr:uid="{514F3C65-3E13-4A69-A509-053B63BB3748}"/>
    <cellStyle name="40% - Accent6 3 7 3" xfId="11772" xr:uid="{37102EB5-C266-4E88-9B09-B19FD104D4A3}"/>
    <cellStyle name="40% - Accent6 3 7 4" xfId="20219" xr:uid="{A2ECBE55-4BDD-41A8-9C82-2209ED7AE83E}"/>
    <cellStyle name="40% - Accent6 3 7 5" xfId="28666" xr:uid="{0FDB2C3D-E764-44A2-BECD-DA548E662A27}"/>
    <cellStyle name="40% - Accent6 3 8" xfId="4597" xr:uid="{00000000-0005-0000-0000-000059070000}"/>
    <cellStyle name="40% - Accent6 3 8 2" xfId="13923" xr:uid="{C4865C4D-4BE1-4AF1-9F52-C21B759CE60B}"/>
    <cellStyle name="40% - Accent6 3 8 3" xfId="22370" xr:uid="{C82F6DC7-7715-4581-9418-CE962F8E381D}"/>
    <cellStyle name="40% - Accent6 3 8 4" xfId="30817" xr:uid="{5B8B1173-218E-4D8B-871A-4D64C0E9CB5F}"/>
    <cellStyle name="40% - Accent6 3 9" xfId="8872" xr:uid="{E018AF0F-504E-4DED-BF70-CC97997D74E9}"/>
    <cellStyle name="40% - Accent6 4" xfId="96" xr:uid="{00000000-0005-0000-0000-00005A070000}"/>
    <cellStyle name="40% - Accent6 4 10" xfId="18155" xr:uid="{EFE1631D-3675-4F42-B0C0-15B4EE98D7FE}"/>
    <cellStyle name="40% - Accent6 4 11" xfId="26602" xr:uid="{63EC58B6-2EBA-4B72-9F93-B71840BC0558}"/>
    <cellStyle name="40% - Accent6 4 2" xfId="665" xr:uid="{00000000-0005-0000-0000-00005B070000}"/>
    <cellStyle name="40% - Accent6 4 2 2" xfId="2936" xr:uid="{00000000-0005-0000-0000-00005C070000}"/>
    <cellStyle name="40% - Accent6 4 2 2 2" xfId="7158" xr:uid="{00000000-0005-0000-0000-00005D070000}"/>
    <cellStyle name="40% - Accent6 4 2 2 2 2" xfId="16484" xr:uid="{065884A2-4094-44B5-9B0C-AD71A4675383}"/>
    <cellStyle name="40% - Accent6 4 2 2 2 3" xfId="24931" xr:uid="{54848C1B-0641-44A2-9E27-5E1BDAB0F989}"/>
    <cellStyle name="40% - Accent6 4 2 2 2 4" xfId="33378" xr:uid="{076668B8-8A6E-4BF6-855A-50B011E29CF5}"/>
    <cellStyle name="40% - Accent6 4 2 2 3" xfId="12267" xr:uid="{F0F618B4-5998-4C54-B08F-3F67961DCD15}"/>
    <cellStyle name="40% - Accent6 4 2 2 4" xfId="20714" xr:uid="{6B71F71D-1DAA-4C43-978B-BDF6CEC9CAEA}"/>
    <cellStyle name="40% - Accent6 4 2 2 5" xfId="29161" xr:uid="{919961B6-7CA0-4375-9903-392D54359872}"/>
    <cellStyle name="40% - Accent6 4 2 3" xfId="5013" xr:uid="{00000000-0005-0000-0000-00005E070000}"/>
    <cellStyle name="40% - Accent6 4 2 3 2" xfId="14339" xr:uid="{93F25DD3-155D-4DA7-BD72-07CDA45DBC0D}"/>
    <cellStyle name="40% - Accent6 4 2 3 3" xfId="22786" xr:uid="{B130BC11-CC68-4D31-BEB6-2EC3B51AB0ED}"/>
    <cellStyle name="40% - Accent6 4 2 3 4" xfId="31233" xr:uid="{426079E8-F7FA-409E-BFFC-9C4DD28D0926}"/>
    <cellStyle name="40% - Accent6 4 2 4" xfId="9383" xr:uid="{07C7426F-B517-4815-A0BF-2BAE02B26B53}"/>
    <cellStyle name="40% - Accent6 4 2 5" xfId="10122" xr:uid="{CB8F13A3-EED1-4C9B-9896-B27E818BC75F}"/>
    <cellStyle name="40% - Accent6 4 2 6" xfId="18569" xr:uid="{B6884635-F110-4EED-8AC2-F2BEC100E8F0}"/>
    <cellStyle name="40% - Accent6 4 2 7" xfId="27016" xr:uid="{BFB09A0E-996A-412E-A657-EBE5273B4DE3}"/>
    <cellStyle name="40% - Accent6 4 3" xfId="1118" xr:uid="{00000000-0005-0000-0000-00005F070000}"/>
    <cellStyle name="40% - Accent6 4 3 2" xfId="3349" xr:uid="{00000000-0005-0000-0000-000060070000}"/>
    <cellStyle name="40% - Accent6 4 3 2 2" xfId="7571" xr:uid="{00000000-0005-0000-0000-000061070000}"/>
    <cellStyle name="40% - Accent6 4 3 2 2 2" xfId="16897" xr:uid="{F0478CE1-F6F6-4555-8FF0-A4D823B76089}"/>
    <cellStyle name="40% - Accent6 4 3 2 2 3" xfId="25344" xr:uid="{88438943-2F3B-47FF-955C-BBCBEB24DEF7}"/>
    <cellStyle name="40% - Accent6 4 3 2 2 4" xfId="33791" xr:uid="{9576A617-A5E9-4F9F-B84A-FE6FB255EF4C}"/>
    <cellStyle name="40% - Accent6 4 3 2 3" xfId="12680" xr:uid="{2B3357E1-5F87-4F89-A9A3-A7695BBE54FB}"/>
    <cellStyle name="40% - Accent6 4 3 2 4" xfId="21127" xr:uid="{6B10E26A-95BD-4101-B118-D08B5F65C4C7}"/>
    <cellStyle name="40% - Accent6 4 3 2 5" xfId="29574" xr:uid="{09F60704-8789-405E-94BB-CE91BD7D0865}"/>
    <cellStyle name="40% - Accent6 4 3 3" xfId="5426" xr:uid="{00000000-0005-0000-0000-000062070000}"/>
    <cellStyle name="40% - Accent6 4 3 3 2" xfId="14752" xr:uid="{51B47F01-39E1-4423-A361-7FCD71BDB724}"/>
    <cellStyle name="40% - Accent6 4 3 3 3" xfId="23199" xr:uid="{0CDA1343-FF50-4869-AD0F-E2CFEFFF680D}"/>
    <cellStyle name="40% - Accent6 4 3 3 4" xfId="31646" xr:uid="{1628C392-172C-4717-9811-1DB7E58E6D50}"/>
    <cellStyle name="40% - Accent6 4 3 4" xfId="10535" xr:uid="{B7B22DEB-8E37-4A31-8237-8325DAD44326}"/>
    <cellStyle name="40% - Accent6 4 3 5" xfId="18982" xr:uid="{FA93990D-3742-4FFE-801F-CAD3A61FDA42}"/>
    <cellStyle name="40% - Accent6 4 3 6" xfId="27429" xr:uid="{329DC8DB-8219-4825-A88F-7E62E8027207}"/>
    <cellStyle name="40% - Accent6 4 4" xfId="1532" xr:uid="{00000000-0005-0000-0000-000063070000}"/>
    <cellStyle name="40% - Accent6 4 4 2" xfId="3762" xr:uid="{00000000-0005-0000-0000-000064070000}"/>
    <cellStyle name="40% - Accent6 4 4 2 2" xfId="7984" xr:uid="{00000000-0005-0000-0000-000065070000}"/>
    <cellStyle name="40% - Accent6 4 4 2 2 2" xfId="17310" xr:uid="{C44C51E0-83EE-40FE-BB33-E43DF3688A84}"/>
    <cellStyle name="40% - Accent6 4 4 2 2 3" xfId="25757" xr:uid="{1BE2F362-3E85-4F35-8446-2ACB0A8719D7}"/>
    <cellStyle name="40% - Accent6 4 4 2 2 4" xfId="34204" xr:uid="{1E354B70-EAEC-4685-9EF6-1D97C179904C}"/>
    <cellStyle name="40% - Accent6 4 4 2 3" xfId="13093" xr:uid="{01C76532-67F1-4CBE-AEC0-AE597272AD89}"/>
    <cellStyle name="40% - Accent6 4 4 2 4" xfId="21540" xr:uid="{4165FB19-6573-46DD-B723-9546950CAFF1}"/>
    <cellStyle name="40% - Accent6 4 4 2 5" xfId="29987" xr:uid="{B8C4FCB0-5AC3-43FB-A1AA-15CF4E85418A}"/>
    <cellStyle name="40% - Accent6 4 4 3" xfId="5839" xr:uid="{00000000-0005-0000-0000-000066070000}"/>
    <cellStyle name="40% - Accent6 4 4 3 2" xfId="15165" xr:uid="{A6CAACB6-E505-4F97-90A0-7D0242B6DA16}"/>
    <cellStyle name="40% - Accent6 4 4 3 3" xfId="23612" xr:uid="{9CF3E1E4-E1D4-4B74-917B-A0869F420874}"/>
    <cellStyle name="40% - Accent6 4 4 3 4" xfId="32059" xr:uid="{12E1D431-568F-4BFC-BB6E-E5FC34075E49}"/>
    <cellStyle name="40% - Accent6 4 4 4" xfId="10948" xr:uid="{D294569D-8FDC-45CF-8EC1-23F2E3121D3E}"/>
    <cellStyle name="40% - Accent6 4 4 5" xfId="19395" xr:uid="{CF9188C4-5631-46F2-AE33-8562123CEBF3}"/>
    <cellStyle name="40% - Accent6 4 4 6" xfId="27842" xr:uid="{11AF7A53-763A-4D88-9B7B-06007C5AAD73}"/>
    <cellStyle name="40% - Accent6 4 5" xfId="1946" xr:uid="{00000000-0005-0000-0000-000067070000}"/>
    <cellStyle name="40% - Accent6 4 5 2" xfId="4175" xr:uid="{00000000-0005-0000-0000-000068070000}"/>
    <cellStyle name="40% - Accent6 4 5 2 2" xfId="8397" xr:uid="{00000000-0005-0000-0000-000069070000}"/>
    <cellStyle name="40% - Accent6 4 5 2 2 2" xfId="17723" xr:uid="{914FD7C0-C4A3-4684-BEAF-EFCD270E578D}"/>
    <cellStyle name="40% - Accent6 4 5 2 2 3" xfId="26170" xr:uid="{C514D96C-BF8D-426F-B47C-410D2A703007}"/>
    <cellStyle name="40% - Accent6 4 5 2 2 4" xfId="34617" xr:uid="{711B8884-0C52-4D62-B52E-D771E5C2A003}"/>
    <cellStyle name="40% - Accent6 4 5 2 3" xfId="13506" xr:uid="{59D1CDF0-3CBD-46B1-9201-766839A66B36}"/>
    <cellStyle name="40% - Accent6 4 5 2 4" xfId="21953" xr:uid="{03F96E79-37E9-4858-9602-C2367160374D}"/>
    <cellStyle name="40% - Accent6 4 5 2 5" xfId="30400" xr:uid="{F88B6D4E-29E5-41A6-A321-8D151F61E3D1}"/>
    <cellStyle name="40% - Accent6 4 5 3" xfId="6252" xr:uid="{00000000-0005-0000-0000-00006A070000}"/>
    <cellStyle name="40% - Accent6 4 5 3 2" xfId="15578" xr:uid="{E3E42D88-26F9-4F38-B4C6-0D6ADCE68365}"/>
    <cellStyle name="40% - Accent6 4 5 3 3" xfId="24025" xr:uid="{F13E298A-3089-428C-B161-9978041D8D0E}"/>
    <cellStyle name="40% - Accent6 4 5 3 4" xfId="32472" xr:uid="{104C53A2-846E-4BEE-8A2B-EFE93557BC53}"/>
    <cellStyle name="40% - Accent6 4 5 4" xfId="11361" xr:uid="{694A3B1B-49E1-4144-B489-04B6D57BC547}"/>
    <cellStyle name="40% - Accent6 4 5 5" xfId="19808" xr:uid="{DA126448-05D4-45BD-B63D-C48E63F6B68B}"/>
    <cellStyle name="40% - Accent6 4 5 6" xfId="28255" xr:uid="{0E2ACFEA-0A56-441F-9508-31D140C901FF}"/>
    <cellStyle name="40% - Accent6 4 6" xfId="2359" xr:uid="{00000000-0005-0000-0000-00006B070000}"/>
    <cellStyle name="40% - Accent6 4 6 2" xfId="6665" xr:uid="{00000000-0005-0000-0000-00006C070000}"/>
    <cellStyle name="40% - Accent6 4 6 2 2" xfId="15991" xr:uid="{104BBFF4-D5F4-4EE3-B557-CA0D1BB10335}"/>
    <cellStyle name="40% - Accent6 4 6 2 3" xfId="24438" xr:uid="{CF5CB705-3A22-4B73-8F80-B779A15A12D3}"/>
    <cellStyle name="40% - Accent6 4 6 2 4" xfId="32885" xr:uid="{FC11DD56-A636-43BD-9215-4D3AFECF62C8}"/>
    <cellStyle name="40% - Accent6 4 6 3" xfId="11774" xr:uid="{C570E214-F23A-4119-B622-4D971802567C}"/>
    <cellStyle name="40% - Accent6 4 6 4" xfId="20221" xr:uid="{93FE7487-2392-4019-B3D8-33A835F1ECEE}"/>
    <cellStyle name="40% - Accent6 4 6 5" xfId="28668" xr:uid="{6ABC669E-AAE6-4C59-99FF-9E68ADD5C381}"/>
    <cellStyle name="40% - Accent6 4 7" xfId="4599" xr:uid="{00000000-0005-0000-0000-00006D070000}"/>
    <cellStyle name="40% - Accent6 4 7 2" xfId="13925" xr:uid="{DA6528D9-5BFD-4DCB-8FFC-35D8E05C7355}"/>
    <cellStyle name="40% - Accent6 4 7 3" xfId="22372" xr:uid="{2F48E023-5C20-450D-80F3-10AA7DACD87A}"/>
    <cellStyle name="40% - Accent6 4 7 4" xfId="30819" xr:uid="{F897173C-0A85-4D19-9080-BAA57BA0E221}"/>
    <cellStyle name="40% - Accent6 4 8" xfId="8958" xr:uid="{058203D5-6D6D-4106-8D68-93F66B236239}"/>
    <cellStyle name="40% - Accent6 4 9" xfId="9708" xr:uid="{7C27736D-2DCA-4C7D-9648-5DFC356946D8}"/>
    <cellStyle name="40% - Accent6 5" xfId="658" xr:uid="{00000000-0005-0000-0000-00006E070000}"/>
    <cellStyle name="40% - Accent6 5 2" xfId="2929" xr:uid="{00000000-0005-0000-0000-00006F070000}"/>
    <cellStyle name="40% - Accent6 5 2 2" xfId="7151" xr:uid="{00000000-0005-0000-0000-000070070000}"/>
    <cellStyle name="40% - Accent6 5 2 2 2" xfId="16477" xr:uid="{86ABE45B-2B68-4BCC-A506-F7BA4B0C4893}"/>
    <cellStyle name="40% - Accent6 5 2 2 3" xfId="24924" xr:uid="{32E3D022-3A2C-442A-B4F3-F334E780B57C}"/>
    <cellStyle name="40% - Accent6 5 2 2 4" xfId="33371" xr:uid="{8FBFC4D3-DC03-4833-AC23-07032E3C5768}"/>
    <cellStyle name="40% - Accent6 5 2 3" xfId="12260" xr:uid="{F9DE278D-7E6D-4229-86F0-556D4C3B3663}"/>
    <cellStyle name="40% - Accent6 5 2 4" xfId="20707" xr:uid="{E67AC304-6195-4CC8-9384-FC6241B8D3F8}"/>
    <cellStyle name="40% - Accent6 5 2 5" xfId="29154" xr:uid="{1667A446-4E51-4F88-A30F-4EE95E2888A9}"/>
    <cellStyle name="40% - Accent6 5 3" xfId="5006" xr:uid="{00000000-0005-0000-0000-000071070000}"/>
    <cellStyle name="40% - Accent6 5 3 2" xfId="14332" xr:uid="{AD6C8C12-2824-46D1-8BA3-460A3CB4986E}"/>
    <cellStyle name="40% - Accent6 5 3 3" xfId="22779" xr:uid="{8B634CC2-3404-4CF4-B5BB-6553EEBCD8D2}"/>
    <cellStyle name="40% - Accent6 5 3 4" xfId="31226" xr:uid="{01383632-3FBA-48A8-A9A1-2AB392EB4F9E}"/>
    <cellStyle name="40% - Accent6 5 4" xfId="9192" xr:uid="{19661A88-B46A-4EF9-A9F3-4BCF8E242108}"/>
    <cellStyle name="40% - Accent6 5 5" xfId="10115" xr:uid="{6AF15C29-92BE-4BD9-8F01-E7DAD69BBFB3}"/>
    <cellStyle name="40% - Accent6 5 6" xfId="18562" xr:uid="{7F68958C-C1C0-420F-80F8-7E020050232D}"/>
    <cellStyle name="40% - Accent6 5 7" xfId="27009" xr:uid="{84180150-EB7E-4239-9A1D-29E941143F2E}"/>
    <cellStyle name="40% - Accent6 6" xfId="1111" xr:uid="{00000000-0005-0000-0000-000072070000}"/>
    <cellStyle name="40% - Accent6 6 2" xfId="3342" xr:uid="{00000000-0005-0000-0000-000073070000}"/>
    <cellStyle name="40% - Accent6 6 2 2" xfId="7564" xr:uid="{00000000-0005-0000-0000-000074070000}"/>
    <cellStyle name="40% - Accent6 6 2 2 2" xfId="16890" xr:uid="{063C267A-3721-4EC8-9AA8-091C1879B441}"/>
    <cellStyle name="40% - Accent6 6 2 2 3" xfId="25337" xr:uid="{C449803A-2DD3-4524-987A-64105F378741}"/>
    <cellStyle name="40% - Accent6 6 2 2 4" xfId="33784" xr:uid="{EF08FEF5-DE94-4227-BA1A-DE4C2DBBCF75}"/>
    <cellStyle name="40% - Accent6 6 2 3" xfId="12673" xr:uid="{DC21D6EB-80C6-4390-9F26-09405D548A6D}"/>
    <cellStyle name="40% - Accent6 6 2 4" xfId="21120" xr:uid="{88A89DCF-AEB0-4B9B-95D9-24FD1B174770}"/>
    <cellStyle name="40% - Accent6 6 2 5" xfId="29567" xr:uid="{D60D1F10-775E-4DF1-8633-D4BC6D21AFC3}"/>
    <cellStyle name="40% - Accent6 6 3" xfId="5419" xr:uid="{00000000-0005-0000-0000-000075070000}"/>
    <cellStyle name="40% - Accent6 6 3 2" xfId="14745" xr:uid="{F6F44C89-A100-4C49-8715-A1D4F88B4DF4}"/>
    <cellStyle name="40% - Accent6 6 3 3" xfId="23192" xr:uid="{65C95A2C-861F-418E-9115-683EDC81CCEA}"/>
    <cellStyle name="40% - Accent6 6 3 4" xfId="31639" xr:uid="{029A49E2-140D-4DBF-B488-A303F65E2BFE}"/>
    <cellStyle name="40% - Accent6 6 4" xfId="10528" xr:uid="{7C6E33DC-0192-478E-B7EA-8DE1CCE1F89E}"/>
    <cellStyle name="40% - Accent6 6 5" xfId="18975" xr:uid="{4A9A0C8F-B3B3-49D5-BB30-A72192D51956}"/>
    <cellStyle name="40% - Accent6 6 6" xfId="27422" xr:uid="{8A108275-482D-4BD9-8E7E-9E16CA49AE3C}"/>
    <cellStyle name="40% - Accent6 7" xfId="1525" xr:uid="{00000000-0005-0000-0000-000076070000}"/>
    <cellStyle name="40% - Accent6 7 2" xfId="3755" xr:uid="{00000000-0005-0000-0000-000077070000}"/>
    <cellStyle name="40% - Accent6 7 2 2" xfId="7977" xr:uid="{00000000-0005-0000-0000-000078070000}"/>
    <cellStyle name="40% - Accent6 7 2 2 2" xfId="17303" xr:uid="{F1E03A82-4284-4260-A54A-EF6F698E81D1}"/>
    <cellStyle name="40% - Accent6 7 2 2 3" xfId="25750" xr:uid="{588925C7-1042-4294-B462-384E4B93A347}"/>
    <cellStyle name="40% - Accent6 7 2 2 4" xfId="34197" xr:uid="{9A39E8DD-21E7-41A0-BD0B-40CF135269D2}"/>
    <cellStyle name="40% - Accent6 7 2 3" xfId="13086" xr:uid="{29041A3D-99F8-445F-AED7-06AA512DC093}"/>
    <cellStyle name="40% - Accent6 7 2 4" xfId="21533" xr:uid="{BCA5A44E-CA10-47BB-A63B-D5DCF86B1221}"/>
    <cellStyle name="40% - Accent6 7 2 5" xfId="29980" xr:uid="{0A68B06E-E237-4A26-85B3-B5ADE7BAFEE0}"/>
    <cellStyle name="40% - Accent6 7 3" xfId="5832" xr:uid="{00000000-0005-0000-0000-000079070000}"/>
    <cellStyle name="40% - Accent6 7 3 2" xfId="15158" xr:uid="{0932B074-7934-4D80-9156-FC8B82AE8332}"/>
    <cellStyle name="40% - Accent6 7 3 3" xfId="23605" xr:uid="{C80F963D-9FCE-46FD-BC97-56A70ECC114B}"/>
    <cellStyle name="40% - Accent6 7 3 4" xfId="32052" xr:uid="{9C700B37-AB63-453D-AF0E-F2B23D58225E}"/>
    <cellStyle name="40% - Accent6 7 4" xfId="10941" xr:uid="{46EEFA57-9253-4B6C-AA23-81F046E9E7CB}"/>
    <cellStyle name="40% - Accent6 7 5" xfId="19388" xr:uid="{EB05851B-182F-4B35-8865-5D789C5660B1}"/>
    <cellStyle name="40% - Accent6 7 6" xfId="27835" xr:uid="{37B47180-C3DE-4045-9177-A35506E34D19}"/>
    <cellStyle name="40% - Accent6 8" xfId="1939" xr:uid="{00000000-0005-0000-0000-00007A070000}"/>
    <cellStyle name="40% - Accent6 8 2" xfId="4168" xr:uid="{00000000-0005-0000-0000-00007B070000}"/>
    <cellStyle name="40% - Accent6 8 2 2" xfId="8390" xr:uid="{00000000-0005-0000-0000-00007C070000}"/>
    <cellStyle name="40% - Accent6 8 2 2 2" xfId="17716" xr:uid="{8D52013F-23AC-44E8-89F6-21FE37834ABB}"/>
    <cellStyle name="40% - Accent6 8 2 2 3" xfId="26163" xr:uid="{864FF9DA-7D1F-4481-ADA4-7449B141F7BE}"/>
    <cellStyle name="40% - Accent6 8 2 2 4" xfId="34610" xr:uid="{0F44E481-D69B-4329-8B2A-D4D20EE9EF7D}"/>
    <cellStyle name="40% - Accent6 8 2 3" xfId="13499" xr:uid="{EA49709D-D20A-440D-A705-1B42A8B0797F}"/>
    <cellStyle name="40% - Accent6 8 2 4" xfId="21946" xr:uid="{AEF28D71-77EC-4C93-B71D-6C2007F66E60}"/>
    <cellStyle name="40% - Accent6 8 2 5" xfId="30393" xr:uid="{21868A22-7B87-400D-B8A5-C9B719225CB9}"/>
    <cellStyle name="40% - Accent6 8 3" xfId="6245" xr:uid="{00000000-0005-0000-0000-00007D070000}"/>
    <cellStyle name="40% - Accent6 8 3 2" xfId="15571" xr:uid="{867D54C6-17C2-44CE-B118-85CD8D23E65F}"/>
    <cellStyle name="40% - Accent6 8 3 3" xfId="24018" xr:uid="{38CD52A6-6071-491D-B079-D17C73B3C5B1}"/>
    <cellStyle name="40% - Accent6 8 3 4" xfId="32465" xr:uid="{FE7C7375-E41F-489D-A286-80F393595350}"/>
    <cellStyle name="40% - Accent6 8 4" xfId="11354" xr:uid="{ED1C1C0E-9ED0-4DC6-8D0A-79FDFBAE707A}"/>
    <cellStyle name="40% - Accent6 8 5" xfId="19801" xr:uid="{A5FD380F-E5D8-4304-8B53-24CDC282DDC7}"/>
    <cellStyle name="40% - Accent6 8 6" xfId="28248" xr:uid="{507F3246-2D98-438D-8DC3-2EBD4D9E7E7A}"/>
    <cellStyle name="40% - Accent6 9" xfId="2352" xr:uid="{00000000-0005-0000-0000-00007E070000}"/>
    <cellStyle name="40% - Accent6 9 2" xfId="6658" xr:uid="{00000000-0005-0000-0000-00007F070000}"/>
    <cellStyle name="40% - Accent6 9 2 2" xfId="15984" xr:uid="{1B87D874-A45F-4C8F-A475-D6E4D9DF12D8}"/>
    <cellStyle name="40% - Accent6 9 2 3" xfId="24431" xr:uid="{A2DB339E-8ACC-447D-882A-172E3EF18EC1}"/>
    <cellStyle name="40% - Accent6 9 2 4" xfId="32878" xr:uid="{7B1AFF7E-A7F0-429B-8E38-AF09B30BF116}"/>
    <cellStyle name="40% - Accent6 9 3" xfId="11767" xr:uid="{4863C597-C447-42D2-8FB0-6383DA3417D8}"/>
    <cellStyle name="40% - Accent6 9 4" xfId="20214" xr:uid="{5901FAB0-AA6D-4807-903E-C9D9AA15C0F3}"/>
    <cellStyle name="40% - Accent6 9 5" xfId="28661" xr:uid="{CB1B8256-2328-401F-9CE2-0647C23FE433}"/>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16309" xr:uid="{8BA123D5-0245-49A3-8955-00864193AEC4}"/>
    <cellStyle name="Comma 4 2 2 2 10 2 3" xfId="24756" xr:uid="{DCA088FA-8C3D-4A7D-9BC3-261BB23F2E90}"/>
    <cellStyle name="Comma 4 2 2 2 10 2 4" xfId="33203" xr:uid="{AB0D1A1E-E56B-49A9-BB0B-2B032855C897}"/>
    <cellStyle name="Comma 4 2 2 2 10 3" xfId="12092" xr:uid="{8BFA3009-6982-4C44-B8D2-C1A394E8B9E1}"/>
    <cellStyle name="Comma 4 2 2 2 10 4" xfId="20539" xr:uid="{9FAB67D6-0BF7-4419-ABA9-76E4FDA09D0E}"/>
    <cellStyle name="Comma 4 2 2 2 10 5" xfId="28986" xr:uid="{B66214C3-A0E0-4EC2-BD1D-DDBBC51EDBBE}"/>
    <cellStyle name="Comma 4 2 2 2 11" xfId="4600" xr:uid="{00000000-0005-0000-0000-0000A3070000}"/>
    <cellStyle name="Comma 4 2 2 2 11 2" xfId="13926" xr:uid="{E2E1A705-5CDF-4D6A-BDA2-38107B69DCEC}"/>
    <cellStyle name="Comma 4 2 2 2 11 3" xfId="22373" xr:uid="{CC9CC3DA-55A4-440B-9D72-1F4C7B316630}"/>
    <cellStyle name="Comma 4 2 2 2 11 4" xfId="30820" xr:uid="{D09F78D5-1045-4BB3-BD18-A5664E53DE65}"/>
    <cellStyle name="Comma 4 2 2 2 12" xfId="8806" xr:uid="{6C773D0B-D2E3-4A8C-B041-8DA2843B9E25}"/>
    <cellStyle name="Comma 4 2 2 2 13" xfId="9709" xr:uid="{ED4330FA-CEE1-4FFC-A587-7F32EFA92A29}"/>
    <cellStyle name="Comma 4 2 2 2 14" xfId="18156" xr:uid="{D1327598-D732-4329-8E49-C0B5FDFC7B74}"/>
    <cellStyle name="Comma 4 2 2 2 15" xfId="26603" xr:uid="{F69FD193-9F2F-4FF4-A49A-9B6BF2DE69FD}"/>
    <cellStyle name="Comma 4 2 2 2 2" xfId="129" xr:uid="{00000000-0005-0000-0000-0000A4070000}"/>
    <cellStyle name="Comma 4 2 2 2 2 10" xfId="4601" xr:uid="{00000000-0005-0000-0000-0000A5070000}"/>
    <cellStyle name="Comma 4 2 2 2 2 10 2" xfId="13927" xr:uid="{A7389E23-1C0B-4A2B-AA44-DE705A9993F0}"/>
    <cellStyle name="Comma 4 2 2 2 2 10 3" xfId="22374" xr:uid="{7F7E0C0E-2AE1-4246-95B4-6CF7CEAB1780}"/>
    <cellStyle name="Comma 4 2 2 2 2 10 4" xfId="30821" xr:uid="{A5E08501-C0EA-46FA-9E9E-C6B3EAE5090A}"/>
    <cellStyle name="Comma 4 2 2 2 2 11" xfId="8909" xr:uid="{477FCE05-1F49-4658-A03C-A8A5E7983C47}"/>
    <cellStyle name="Comma 4 2 2 2 2 12" xfId="9710" xr:uid="{9EB18CF5-EAA2-4A46-93CB-C48404AF51FA}"/>
    <cellStyle name="Comma 4 2 2 2 2 13" xfId="18157" xr:uid="{B8A45405-DCFB-4850-8DF6-A01AB58A07E4}"/>
    <cellStyle name="Comma 4 2 2 2 2 14" xfId="26604" xr:uid="{91CACA16-6C0F-460C-BBEC-0B3BCD097B6F}"/>
    <cellStyle name="Comma 4 2 2 2 2 2" xfId="130" xr:uid="{00000000-0005-0000-0000-0000A6070000}"/>
    <cellStyle name="Comma 4 2 2 2 2 2 10" xfId="9116" xr:uid="{7A07505D-6B4C-4086-90B5-B5D345FB7611}"/>
    <cellStyle name="Comma 4 2 2 2 2 2 11" xfId="9711" xr:uid="{8F59EA71-04C6-40AF-9A8C-DBFB1D9C3891}"/>
    <cellStyle name="Comma 4 2 2 2 2 2 12" xfId="18158" xr:uid="{F973CE18-081E-48C8-8DD2-3F07FDA8062D}"/>
    <cellStyle name="Comma 4 2 2 2 2 2 13" xfId="26605" xr:uid="{F9AFE82C-AEE5-4684-8CC7-07729BA8AB1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16487" xr:uid="{AC42E9C4-B65F-488A-810A-6D5EBA68099A}"/>
    <cellStyle name="Comma 4 2 2 2 2 2 2 2 2 3" xfId="24934" xr:uid="{D5ED115F-4BDA-4277-95B3-E0AA77B8393D}"/>
    <cellStyle name="Comma 4 2 2 2 2 2 2 2 2 4" xfId="33381" xr:uid="{05D67608-F7AD-4AA0-9D2F-8B9819EBCBF0}"/>
    <cellStyle name="Comma 4 2 2 2 2 2 2 2 3" xfId="12270" xr:uid="{6D3DA2CF-6756-4EAD-9596-570C4D2D8459}"/>
    <cellStyle name="Comma 4 2 2 2 2 2 2 2 4" xfId="20717" xr:uid="{C2B84364-654D-4B16-A500-7998F7A5B9AA}"/>
    <cellStyle name="Comma 4 2 2 2 2 2 2 2 5" xfId="29164" xr:uid="{CEBB80DE-CA7F-4211-A5A4-42D4964DFE93}"/>
    <cellStyle name="Comma 4 2 2 2 2 2 2 3" xfId="5016" xr:uid="{00000000-0005-0000-0000-0000AA070000}"/>
    <cellStyle name="Comma 4 2 2 2 2 2 2 3 2" xfId="14342" xr:uid="{4701C35E-38AB-40D0-AC57-804FC1062CDD}"/>
    <cellStyle name="Comma 4 2 2 2 2 2 2 3 3" xfId="22789" xr:uid="{103F51EC-4D55-44A5-AAAF-8DDE3EF03290}"/>
    <cellStyle name="Comma 4 2 2 2 2 2 2 3 4" xfId="31236" xr:uid="{CA668799-CB0C-48C3-A681-C566BC221EF2}"/>
    <cellStyle name="Comma 4 2 2 2 2 2 2 4" xfId="9541" xr:uid="{21DC771E-83A2-48BA-BE40-3E9E8454DE28}"/>
    <cellStyle name="Comma 4 2 2 2 2 2 2 5" xfId="10125" xr:uid="{4917F0A6-51A1-4280-BF57-886F8A01D6FA}"/>
    <cellStyle name="Comma 4 2 2 2 2 2 2 6" xfId="18572" xr:uid="{FF451410-5082-4AC6-A83E-63825B78777D}"/>
    <cellStyle name="Comma 4 2 2 2 2 2 2 7" xfId="27019" xr:uid="{235C5E34-3044-4587-8218-62B8ABAA0646}"/>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16900" xr:uid="{5A3543F6-2AEA-4C38-B5AB-4CC1444B9908}"/>
    <cellStyle name="Comma 4 2 2 2 2 2 3 2 2 3" xfId="25347" xr:uid="{9F9609E9-DE09-4BA1-A933-331001C348FE}"/>
    <cellStyle name="Comma 4 2 2 2 2 2 3 2 2 4" xfId="33794" xr:uid="{452F15CD-2B66-45C2-B945-71D8D757E8D2}"/>
    <cellStyle name="Comma 4 2 2 2 2 2 3 2 3" xfId="12683" xr:uid="{12CCE95D-3FF8-41DA-827A-877DEAD4093E}"/>
    <cellStyle name="Comma 4 2 2 2 2 2 3 2 4" xfId="21130" xr:uid="{72329757-D231-4C2D-9B03-A6B29E31805A}"/>
    <cellStyle name="Comma 4 2 2 2 2 2 3 2 5" xfId="29577" xr:uid="{2C10F6CE-2933-4665-AA48-36F10FC63476}"/>
    <cellStyle name="Comma 4 2 2 2 2 2 3 3" xfId="5429" xr:uid="{00000000-0005-0000-0000-0000AE070000}"/>
    <cellStyle name="Comma 4 2 2 2 2 2 3 3 2" xfId="14755" xr:uid="{F44F8F8F-215B-4759-B88F-5B7EF0D8BEA3}"/>
    <cellStyle name="Comma 4 2 2 2 2 2 3 3 3" xfId="23202" xr:uid="{1448D2DB-4E76-4194-A37E-61F6BECB2144}"/>
    <cellStyle name="Comma 4 2 2 2 2 2 3 3 4" xfId="31649" xr:uid="{7BAA498B-7597-42E4-A2B4-B88E1DE57C95}"/>
    <cellStyle name="Comma 4 2 2 2 2 2 3 4" xfId="10538" xr:uid="{FD138523-2469-43FA-A7D7-F6F48488D001}"/>
    <cellStyle name="Comma 4 2 2 2 2 2 3 5" xfId="18985" xr:uid="{E15E51D7-EDC1-43B4-B1FF-1821BA71EC21}"/>
    <cellStyle name="Comma 4 2 2 2 2 2 3 6" xfId="27432" xr:uid="{02F7F0DE-3598-4E6D-9F4B-1B920133E9D1}"/>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17313" xr:uid="{AE6F0AA3-B470-420B-9A3F-B48C5E56AD88}"/>
    <cellStyle name="Comma 4 2 2 2 2 2 4 2 2 3" xfId="25760" xr:uid="{91D07D75-D939-45CD-AC04-4C74266CA0CA}"/>
    <cellStyle name="Comma 4 2 2 2 2 2 4 2 2 4" xfId="34207" xr:uid="{55936D2B-EC3A-446C-AC8A-053638D23720}"/>
    <cellStyle name="Comma 4 2 2 2 2 2 4 2 3" xfId="13096" xr:uid="{6674FD93-A523-4DBE-BFAB-83F124D8A2D7}"/>
    <cellStyle name="Comma 4 2 2 2 2 2 4 2 4" xfId="21543" xr:uid="{8BFC9968-56FE-4523-B2EE-8B22F9D2D6C6}"/>
    <cellStyle name="Comma 4 2 2 2 2 2 4 2 5" xfId="29990" xr:uid="{42371270-61E6-44E9-AD67-CF5250A69A8E}"/>
    <cellStyle name="Comma 4 2 2 2 2 2 4 3" xfId="5842" xr:uid="{00000000-0005-0000-0000-0000B2070000}"/>
    <cellStyle name="Comma 4 2 2 2 2 2 4 3 2" xfId="15168" xr:uid="{37D4A9AF-11CC-415A-AD84-78403322614C}"/>
    <cellStyle name="Comma 4 2 2 2 2 2 4 3 3" xfId="23615" xr:uid="{783EE848-6752-4AA7-81DC-5E4DB6497889}"/>
    <cellStyle name="Comma 4 2 2 2 2 2 4 3 4" xfId="32062" xr:uid="{260F36D3-E1F1-41AF-8792-3152A06331AA}"/>
    <cellStyle name="Comma 4 2 2 2 2 2 4 4" xfId="10951" xr:uid="{11AE5FA3-FBDF-418A-8A7D-610376938CC1}"/>
    <cellStyle name="Comma 4 2 2 2 2 2 4 5" xfId="19398" xr:uid="{F6FD66B0-F393-4D65-8EBA-E0AC48C419D7}"/>
    <cellStyle name="Comma 4 2 2 2 2 2 4 6" xfId="27845" xr:uid="{8989D2D7-1F88-45E5-9162-72D692CBA21D}"/>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17726" xr:uid="{AD595FAC-2321-425A-9EC4-53B895692EDF}"/>
    <cellStyle name="Comma 4 2 2 2 2 2 5 2 2 3" xfId="26173" xr:uid="{67E448E5-6E1D-488F-9DDB-0173ABD54CCE}"/>
    <cellStyle name="Comma 4 2 2 2 2 2 5 2 2 4" xfId="34620" xr:uid="{6FBD0DE6-991C-4703-BBCF-9EDC64220558}"/>
    <cellStyle name="Comma 4 2 2 2 2 2 5 2 3" xfId="13509" xr:uid="{075EF5E1-ACEB-46C9-ACF3-710B68F75B66}"/>
    <cellStyle name="Comma 4 2 2 2 2 2 5 2 4" xfId="21956" xr:uid="{6EA2F37F-A203-4AF4-8495-21ABC7CA4888}"/>
    <cellStyle name="Comma 4 2 2 2 2 2 5 2 5" xfId="30403" xr:uid="{02135116-9D74-457D-A046-29C19BBE7FE0}"/>
    <cellStyle name="Comma 4 2 2 2 2 2 5 3" xfId="6255" xr:uid="{00000000-0005-0000-0000-0000B6070000}"/>
    <cellStyle name="Comma 4 2 2 2 2 2 5 3 2" xfId="15581" xr:uid="{C55AF3E2-CD32-4FA0-88DD-889C7CF30925}"/>
    <cellStyle name="Comma 4 2 2 2 2 2 5 3 3" xfId="24028" xr:uid="{869F9860-682F-4B5E-BBC7-0753978FC6CA}"/>
    <cellStyle name="Comma 4 2 2 2 2 2 5 3 4" xfId="32475" xr:uid="{D2D36470-3F96-4A81-AAC5-C6C99640CDA8}"/>
    <cellStyle name="Comma 4 2 2 2 2 2 5 4" xfId="11364" xr:uid="{2C6E6A57-F639-493A-B4B0-AFBE61CE9AEC}"/>
    <cellStyle name="Comma 4 2 2 2 2 2 5 5" xfId="19811" xr:uid="{5D250D1C-81C8-459A-8E66-9E9893CA0DE4}"/>
    <cellStyle name="Comma 4 2 2 2 2 2 5 6" xfId="28258" xr:uid="{75294209-4E11-4B36-8B43-9AA2754C3AE5}"/>
    <cellStyle name="Comma 4 2 2 2 2 2 6" xfId="2384" xr:uid="{00000000-0005-0000-0000-0000B7070000}"/>
    <cellStyle name="Comma 4 2 2 2 2 2 6 2" xfId="6668" xr:uid="{00000000-0005-0000-0000-0000B8070000}"/>
    <cellStyle name="Comma 4 2 2 2 2 2 6 2 2" xfId="15994" xr:uid="{EB87E42E-4DFE-4302-A0C7-5BFD99A1DD1A}"/>
    <cellStyle name="Comma 4 2 2 2 2 2 6 2 3" xfId="24441" xr:uid="{2844CB0C-F9A0-4751-B63F-8B66509BD36F}"/>
    <cellStyle name="Comma 4 2 2 2 2 2 6 2 4" xfId="32888" xr:uid="{BC69A537-BC2B-4314-B087-002685D70C55}"/>
    <cellStyle name="Comma 4 2 2 2 2 2 6 3" xfId="11777" xr:uid="{5F071C66-FDB8-4934-A2AB-81E327FB8383}"/>
    <cellStyle name="Comma 4 2 2 2 2 2 6 4" xfId="20224" xr:uid="{F5E86A52-35DC-42DA-B08E-DDF94C70C963}"/>
    <cellStyle name="Comma 4 2 2 2 2 2 6 5" xfId="28671" xr:uid="{0AD08A45-3031-447C-8713-C4FE613F0936}"/>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16311" xr:uid="{53BE960C-A498-49F0-999F-158A5BCFEC5B}"/>
    <cellStyle name="Comma 4 2 2 2 2 2 8 2 3" xfId="24758" xr:uid="{C29B8FEB-F92A-44DF-86F8-EAC73E76A6B4}"/>
    <cellStyle name="Comma 4 2 2 2 2 2 8 2 4" xfId="33205" xr:uid="{4F6DAB81-2709-4287-BC61-FF40F89ADA2E}"/>
    <cellStyle name="Comma 4 2 2 2 2 2 8 3" xfId="12094" xr:uid="{1525C585-8FD0-4A39-B243-1943D47ACE27}"/>
    <cellStyle name="Comma 4 2 2 2 2 2 8 4" xfId="20541" xr:uid="{C6EA3659-1D6B-45BA-A78B-BE91A5B2EB99}"/>
    <cellStyle name="Comma 4 2 2 2 2 2 8 5" xfId="28988" xr:uid="{08A002FD-F52A-416D-9F3F-E81A3C0FD692}"/>
    <cellStyle name="Comma 4 2 2 2 2 2 9" xfId="4602" xr:uid="{00000000-0005-0000-0000-0000BC070000}"/>
    <cellStyle name="Comma 4 2 2 2 2 2 9 2" xfId="13928" xr:uid="{199B04EC-8A03-429B-BDBF-262A15A78F7F}"/>
    <cellStyle name="Comma 4 2 2 2 2 2 9 3" xfId="22375" xr:uid="{5EDB31A6-12A5-40ED-AD77-75A70CEB4C92}"/>
    <cellStyle name="Comma 4 2 2 2 2 2 9 4" xfId="30822" xr:uid="{0380E5C6-7E60-4013-AC4D-1E315EA81762}"/>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16486" xr:uid="{003573C5-1F09-4B27-9C05-49F4FE712E54}"/>
    <cellStyle name="Comma 4 2 2 2 2 3 2 2 3" xfId="24933" xr:uid="{0B9E7953-9C11-4B8F-88A5-4F2107298FF7}"/>
    <cellStyle name="Comma 4 2 2 2 2 3 2 2 4" xfId="33380" xr:uid="{1BCB3BE7-9E35-4E87-AD6C-66CC8CF55F8A}"/>
    <cellStyle name="Comma 4 2 2 2 2 3 2 3" xfId="12269" xr:uid="{5054BF32-4438-4A32-B576-76854FD553E3}"/>
    <cellStyle name="Comma 4 2 2 2 2 3 2 4" xfId="20716" xr:uid="{D348156E-756F-4ED4-B925-CD595F5551A5}"/>
    <cellStyle name="Comma 4 2 2 2 2 3 2 5" xfId="29163" xr:uid="{D03A8CE8-C88C-40BA-BC4C-1990E20DFE43}"/>
    <cellStyle name="Comma 4 2 2 2 2 3 3" xfId="5015" xr:uid="{00000000-0005-0000-0000-0000C0070000}"/>
    <cellStyle name="Comma 4 2 2 2 2 3 3 2" xfId="14341" xr:uid="{E0C27961-45B1-4B95-8DD7-9A0A59DA7CEE}"/>
    <cellStyle name="Comma 4 2 2 2 2 3 3 3" xfId="22788" xr:uid="{483443DD-B0F1-408E-9A8E-54B56953DAE2}"/>
    <cellStyle name="Comma 4 2 2 2 2 3 3 4" xfId="31235" xr:uid="{7CE04A83-41A8-4542-9BFE-4C89BB436BB5}"/>
    <cellStyle name="Comma 4 2 2 2 2 3 4" xfId="9334" xr:uid="{50E8807F-6450-4082-BD30-0A86C2E78D0E}"/>
    <cellStyle name="Comma 4 2 2 2 2 3 5" xfId="10124" xr:uid="{BC751FC6-5CA7-4D02-B14D-E1A4CFA37B9E}"/>
    <cellStyle name="Comma 4 2 2 2 2 3 6" xfId="18571" xr:uid="{9719F002-9FAD-4215-9671-E50B576E55B4}"/>
    <cellStyle name="Comma 4 2 2 2 2 3 7" xfId="27018" xr:uid="{F16C1314-FEB2-419A-9F20-12E4FD304A69}"/>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16899" xr:uid="{E2737C56-6A3E-4A18-B03D-210B8A423BD9}"/>
    <cellStyle name="Comma 4 2 2 2 2 4 2 2 3" xfId="25346" xr:uid="{FCF62F59-0E2F-4623-B015-255551BFA846}"/>
    <cellStyle name="Comma 4 2 2 2 2 4 2 2 4" xfId="33793" xr:uid="{79489980-5523-4EC9-9E19-0D082E46BAA9}"/>
    <cellStyle name="Comma 4 2 2 2 2 4 2 3" xfId="12682" xr:uid="{B0F2096C-5FE5-4479-B371-2B37192A3145}"/>
    <cellStyle name="Comma 4 2 2 2 2 4 2 4" xfId="21129" xr:uid="{07CFE5CB-EEC5-40C7-B723-E0DEF381CA98}"/>
    <cellStyle name="Comma 4 2 2 2 2 4 2 5" xfId="29576" xr:uid="{ADFC00D3-F26C-4654-A1C4-10A022058A91}"/>
    <cellStyle name="Comma 4 2 2 2 2 4 3" xfId="5428" xr:uid="{00000000-0005-0000-0000-0000C4070000}"/>
    <cellStyle name="Comma 4 2 2 2 2 4 3 2" xfId="14754" xr:uid="{4767E384-A527-4524-B2B9-073488145410}"/>
    <cellStyle name="Comma 4 2 2 2 2 4 3 3" xfId="23201" xr:uid="{CFBBDA01-3AEA-4BD3-9D07-6EEBFC28CA02}"/>
    <cellStyle name="Comma 4 2 2 2 2 4 3 4" xfId="31648" xr:uid="{8407A632-1866-4572-B2CC-08DE4B4247E1}"/>
    <cellStyle name="Comma 4 2 2 2 2 4 4" xfId="10537" xr:uid="{73FCB528-FD6C-4A54-86AB-2C6F9B46320E}"/>
    <cellStyle name="Comma 4 2 2 2 2 4 5" xfId="18984" xr:uid="{245E2918-F3C3-482E-AFAF-081978891F92}"/>
    <cellStyle name="Comma 4 2 2 2 2 4 6" xfId="27431" xr:uid="{F709D6D5-F26E-47C7-9ED0-4F45AAD84411}"/>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17312" xr:uid="{050A1C25-BC72-4613-9AEA-57FC3AE5DEE8}"/>
    <cellStyle name="Comma 4 2 2 2 2 5 2 2 3" xfId="25759" xr:uid="{7802063F-8EAE-4A71-808F-ECA3E6494038}"/>
    <cellStyle name="Comma 4 2 2 2 2 5 2 2 4" xfId="34206" xr:uid="{9E894ACC-615B-49A4-AE12-2A8996BA561C}"/>
    <cellStyle name="Comma 4 2 2 2 2 5 2 3" xfId="13095" xr:uid="{09E90EC0-E34E-47B0-93AE-2F598C5C46DB}"/>
    <cellStyle name="Comma 4 2 2 2 2 5 2 4" xfId="21542" xr:uid="{BB0043B7-EB8D-48C3-9922-702640F3996B}"/>
    <cellStyle name="Comma 4 2 2 2 2 5 2 5" xfId="29989" xr:uid="{C7041242-7EBB-44F1-BB0E-98779EAD6FE5}"/>
    <cellStyle name="Comma 4 2 2 2 2 5 3" xfId="5841" xr:uid="{00000000-0005-0000-0000-0000C8070000}"/>
    <cellStyle name="Comma 4 2 2 2 2 5 3 2" xfId="15167" xr:uid="{4E634D1D-3049-46B6-B7D4-91D705E60FF8}"/>
    <cellStyle name="Comma 4 2 2 2 2 5 3 3" xfId="23614" xr:uid="{BE10D94E-0F96-4932-A3CD-6CFA6AF9595F}"/>
    <cellStyle name="Comma 4 2 2 2 2 5 3 4" xfId="32061" xr:uid="{AC515AF2-EFCD-4207-8177-66E2284F8577}"/>
    <cellStyle name="Comma 4 2 2 2 2 5 4" xfId="10950" xr:uid="{82E24AB9-D849-4253-8810-F327E4531CFB}"/>
    <cellStyle name="Comma 4 2 2 2 2 5 5" xfId="19397" xr:uid="{F9FF6D67-0589-4D8E-9345-EF8F1D22A5D2}"/>
    <cellStyle name="Comma 4 2 2 2 2 5 6" xfId="27844" xr:uid="{B37F5F6F-D6EF-4066-8B4D-60BE40BA9892}"/>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17725" xr:uid="{F97058DB-BF1B-405F-BDA6-4CC737ED8381}"/>
    <cellStyle name="Comma 4 2 2 2 2 6 2 2 3" xfId="26172" xr:uid="{1BC6FC8F-965E-464F-A707-79F913F66C61}"/>
    <cellStyle name="Comma 4 2 2 2 2 6 2 2 4" xfId="34619" xr:uid="{9CBB0EE5-FA59-404D-A042-C846CB3B3389}"/>
    <cellStyle name="Comma 4 2 2 2 2 6 2 3" xfId="13508" xr:uid="{88C700D8-75EA-47E3-93E4-4FA7C2CBFBD6}"/>
    <cellStyle name="Comma 4 2 2 2 2 6 2 4" xfId="21955" xr:uid="{888808E4-0F36-42C6-8A77-F84C0DFFF4CF}"/>
    <cellStyle name="Comma 4 2 2 2 2 6 2 5" xfId="30402" xr:uid="{8982F4EB-0686-4E03-BD13-7187196F3927}"/>
    <cellStyle name="Comma 4 2 2 2 2 6 3" xfId="6254" xr:uid="{00000000-0005-0000-0000-0000CC070000}"/>
    <cellStyle name="Comma 4 2 2 2 2 6 3 2" xfId="15580" xr:uid="{24F755C2-5B59-4613-BFEF-7D0C79ABB00D}"/>
    <cellStyle name="Comma 4 2 2 2 2 6 3 3" xfId="24027" xr:uid="{F288C4AB-D326-4973-BA17-C1E248B1D14E}"/>
    <cellStyle name="Comma 4 2 2 2 2 6 3 4" xfId="32474" xr:uid="{ED96DCEF-6076-4689-8EE4-9E1D73BD5FE6}"/>
    <cellStyle name="Comma 4 2 2 2 2 6 4" xfId="11363" xr:uid="{2DF3E099-5AF9-49CD-935A-07459EF32BF2}"/>
    <cellStyle name="Comma 4 2 2 2 2 6 5" xfId="19810" xr:uid="{8770E2F2-CE56-4621-940A-D743FC9C54E0}"/>
    <cellStyle name="Comma 4 2 2 2 2 6 6" xfId="28257" xr:uid="{2C07FDDC-0099-4345-99CB-3445DCCCA688}"/>
    <cellStyle name="Comma 4 2 2 2 2 7" xfId="2383" xr:uid="{00000000-0005-0000-0000-0000CD070000}"/>
    <cellStyle name="Comma 4 2 2 2 2 7 2" xfId="6667" xr:uid="{00000000-0005-0000-0000-0000CE070000}"/>
    <cellStyle name="Comma 4 2 2 2 2 7 2 2" xfId="15993" xr:uid="{FFF92A36-263F-48A0-9102-861F0D47F4EA}"/>
    <cellStyle name="Comma 4 2 2 2 2 7 2 3" xfId="24440" xr:uid="{343E60AB-6F11-4BBA-B489-4ED058FEA4A5}"/>
    <cellStyle name="Comma 4 2 2 2 2 7 2 4" xfId="32887" xr:uid="{1B85E5FD-3E18-4844-8333-1E59AD4DFA58}"/>
    <cellStyle name="Comma 4 2 2 2 2 7 3" xfId="11776" xr:uid="{F75E77B6-EED3-4090-90DC-0E562DD14BBE}"/>
    <cellStyle name="Comma 4 2 2 2 2 7 4" xfId="20223" xr:uid="{FEC6FC52-A1B4-4765-9847-64DC871C304B}"/>
    <cellStyle name="Comma 4 2 2 2 2 7 5" xfId="28670" xr:uid="{0E7F9F7A-844C-4B58-BBB0-AE2280E7450D}"/>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16310" xr:uid="{9F8C1A1C-550F-49F4-A4E4-4DB9BA00B650}"/>
    <cellStyle name="Comma 4 2 2 2 2 9 2 3" xfId="24757" xr:uid="{A19466B3-782F-47E6-9B8A-583CC4801113}"/>
    <cellStyle name="Comma 4 2 2 2 2 9 2 4" xfId="33204" xr:uid="{25AC9D7E-CA38-4B1B-98E6-1809A24B04EF}"/>
    <cellStyle name="Comma 4 2 2 2 2 9 3" xfId="12093" xr:uid="{513A5761-93D2-4DB7-8998-708C165FA575}"/>
    <cellStyle name="Comma 4 2 2 2 2 9 4" xfId="20540" xr:uid="{7AF9C07F-129E-4CB0-B685-EFA880EF92AA}"/>
    <cellStyle name="Comma 4 2 2 2 2 9 5" xfId="28987" xr:uid="{049B0C7D-3EA8-4DF6-9B57-3B1775AA8008}"/>
    <cellStyle name="Comma 4 2 2 2 3" xfId="131" xr:uid="{00000000-0005-0000-0000-0000D2070000}"/>
    <cellStyle name="Comma 4 2 2 2 3 10" xfId="9013" xr:uid="{D7491CA1-A7A0-4099-A659-9FB418CDDACA}"/>
    <cellStyle name="Comma 4 2 2 2 3 11" xfId="9712" xr:uid="{3141743D-A11A-43C3-ABDB-A047ACB250FC}"/>
    <cellStyle name="Comma 4 2 2 2 3 12" xfId="18159" xr:uid="{68AAD213-BB8D-49FF-AEEA-532C174D2AD6}"/>
    <cellStyle name="Comma 4 2 2 2 3 13" xfId="26606" xr:uid="{620172D1-9DCB-4315-A53C-125CBCBB3F71}"/>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16488" xr:uid="{1002DCC4-D82E-4668-AB8C-F9C7E6A9675E}"/>
    <cellStyle name="Comma 4 2 2 2 3 2 2 2 3" xfId="24935" xr:uid="{2F4AA2B7-98E5-499B-B747-9685EC51CADD}"/>
    <cellStyle name="Comma 4 2 2 2 3 2 2 2 4" xfId="33382" xr:uid="{4AD2D35C-802A-4501-97CF-4B0BE8F1211C}"/>
    <cellStyle name="Comma 4 2 2 2 3 2 2 3" xfId="12271" xr:uid="{A442161F-0DB3-49BE-A6DF-DB5601B58972}"/>
    <cellStyle name="Comma 4 2 2 2 3 2 2 4" xfId="20718" xr:uid="{E0EE1161-5975-4C97-B0F2-48E7826FA5CC}"/>
    <cellStyle name="Comma 4 2 2 2 3 2 2 5" xfId="29165" xr:uid="{0B2D4AB4-9CB4-43B4-BB78-AF32C9839335}"/>
    <cellStyle name="Comma 4 2 2 2 3 2 3" xfId="5017" xr:uid="{00000000-0005-0000-0000-0000D6070000}"/>
    <cellStyle name="Comma 4 2 2 2 3 2 3 2" xfId="14343" xr:uid="{BED158BA-0703-43E6-895C-E80CA020B54C}"/>
    <cellStyle name="Comma 4 2 2 2 3 2 3 3" xfId="22790" xr:uid="{4D8583E9-E8F0-481A-A1F6-A04A50AD0885}"/>
    <cellStyle name="Comma 4 2 2 2 3 2 3 4" xfId="31237" xr:uid="{B621F794-92ED-46F9-A515-EEA47899D907}"/>
    <cellStyle name="Comma 4 2 2 2 3 2 4" xfId="9438" xr:uid="{8E9C4341-814A-43D1-8D35-8CCC512A2E32}"/>
    <cellStyle name="Comma 4 2 2 2 3 2 5" xfId="10126" xr:uid="{C687ACF1-1851-46AA-8335-6833F06DA832}"/>
    <cellStyle name="Comma 4 2 2 2 3 2 6" xfId="18573" xr:uid="{EB09E457-569C-4168-9EC5-C7E8AEE91848}"/>
    <cellStyle name="Comma 4 2 2 2 3 2 7" xfId="27020" xr:uid="{49B64D75-402D-4805-84BB-5020E14CFB0F}"/>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16901" xr:uid="{40D2D4D4-DE9A-454D-8BFE-096C93FE86E6}"/>
    <cellStyle name="Comma 4 2 2 2 3 3 2 2 3" xfId="25348" xr:uid="{D423F2FE-2079-4BA4-9D81-3B0B5781C51C}"/>
    <cellStyle name="Comma 4 2 2 2 3 3 2 2 4" xfId="33795" xr:uid="{B21F8BD3-56CF-4694-8E7C-C4AAC3D54EF6}"/>
    <cellStyle name="Comma 4 2 2 2 3 3 2 3" xfId="12684" xr:uid="{74E184AA-9106-43DC-BD09-A01728D21204}"/>
    <cellStyle name="Comma 4 2 2 2 3 3 2 4" xfId="21131" xr:uid="{33D138CB-F9CA-4238-9140-27FE3193F516}"/>
    <cellStyle name="Comma 4 2 2 2 3 3 2 5" xfId="29578" xr:uid="{594E3B7E-8AA9-4705-88C7-73562172362B}"/>
    <cellStyle name="Comma 4 2 2 2 3 3 3" xfId="5430" xr:uid="{00000000-0005-0000-0000-0000DA070000}"/>
    <cellStyle name="Comma 4 2 2 2 3 3 3 2" xfId="14756" xr:uid="{325F8DE9-22A9-4BEA-9588-849A0A4D8759}"/>
    <cellStyle name="Comma 4 2 2 2 3 3 3 3" xfId="23203" xr:uid="{929E85B1-9356-4F15-AC9C-E882ECDB47FD}"/>
    <cellStyle name="Comma 4 2 2 2 3 3 3 4" xfId="31650" xr:uid="{E163D02E-2DAE-464D-AE4E-3C65BC41C2B7}"/>
    <cellStyle name="Comma 4 2 2 2 3 3 4" xfId="10539" xr:uid="{D082213C-C9D4-423E-9935-952018B7BC6C}"/>
    <cellStyle name="Comma 4 2 2 2 3 3 5" xfId="18986" xr:uid="{234B7A6A-139E-4DBC-AB22-CB9252B47609}"/>
    <cellStyle name="Comma 4 2 2 2 3 3 6" xfId="27433" xr:uid="{9167B60A-6B3E-4C1D-AD65-FEA34F011DEE}"/>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17314" xr:uid="{E45476C9-141D-4358-BB9A-2D0302B33758}"/>
    <cellStyle name="Comma 4 2 2 2 3 4 2 2 3" xfId="25761" xr:uid="{E00CC3CC-06E3-4B62-91D7-034FFE7C8A84}"/>
    <cellStyle name="Comma 4 2 2 2 3 4 2 2 4" xfId="34208" xr:uid="{2F1278D2-04AF-40D4-B608-D61926B31B1B}"/>
    <cellStyle name="Comma 4 2 2 2 3 4 2 3" xfId="13097" xr:uid="{20519AFB-8F8A-4E7C-BE5D-D328E213F5CE}"/>
    <cellStyle name="Comma 4 2 2 2 3 4 2 4" xfId="21544" xr:uid="{104A73D4-9C31-4C33-93C1-C8AC4D262206}"/>
    <cellStyle name="Comma 4 2 2 2 3 4 2 5" xfId="29991" xr:uid="{55A03FAD-209F-4983-9AEF-55F95BD44A09}"/>
    <cellStyle name="Comma 4 2 2 2 3 4 3" xfId="5843" xr:uid="{00000000-0005-0000-0000-0000DE070000}"/>
    <cellStyle name="Comma 4 2 2 2 3 4 3 2" xfId="15169" xr:uid="{FFF0EF66-E575-4188-9832-556DB50ED1EB}"/>
    <cellStyle name="Comma 4 2 2 2 3 4 3 3" xfId="23616" xr:uid="{EABA7EC0-87A8-4619-9193-BFE4F3511530}"/>
    <cellStyle name="Comma 4 2 2 2 3 4 3 4" xfId="32063" xr:uid="{EB22E29A-544C-49F5-B4F3-8BFFEF997A63}"/>
    <cellStyle name="Comma 4 2 2 2 3 4 4" xfId="10952" xr:uid="{E9868AB3-26F7-439B-B073-F1BF6BD928F2}"/>
    <cellStyle name="Comma 4 2 2 2 3 4 5" xfId="19399" xr:uid="{1082012E-6BA5-41C9-A487-697F585EDE27}"/>
    <cellStyle name="Comma 4 2 2 2 3 4 6" xfId="27846" xr:uid="{B8D2FE3A-9ADF-4D20-9149-4F731BBA8A17}"/>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17727" xr:uid="{CCE98A2C-BC29-4F89-8C4B-983EAF6064E8}"/>
    <cellStyle name="Comma 4 2 2 2 3 5 2 2 3" xfId="26174" xr:uid="{A535EFA6-BCC9-460A-BCA9-8F7CDA4F63C1}"/>
    <cellStyle name="Comma 4 2 2 2 3 5 2 2 4" xfId="34621" xr:uid="{CE6A5AF3-882B-40B2-AEF4-191E54E5C366}"/>
    <cellStyle name="Comma 4 2 2 2 3 5 2 3" xfId="13510" xr:uid="{7F86F8A7-BDAB-40F5-A787-EA676C1F37F4}"/>
    <cellStyle name="Comma 4 2 2 2 3 5 2 4" xfId="21957" xr:uid="{63EB1CAD-CDB7-4C75-AC7A-1E4585225769}"/>
    <cellStyle name="Comma 4 2 2 2 3 5 2 5" xfId="30404" xr:uid="{C2DAC52C-1258-4F24-AD48-2D68EEFB65C3}"/>
    <cellStyle name="Comma 4 2 2 2 3 5 3" xfId="6256" xr:uid="{00000000-0005-0000-0000-0000E2070000}"/>
    <cellStyle name="Comma 4 2 2 2 3 5 3 2" xfId="15582" xr:uid="{AFBA8211-E4D6-45E5-AAD5-20CA72977B25}"/>
    <cellStyle name="Comma 4 2 2 2 3 5 3 3" xfId="24029" xr:uid="{7E32BA61-575C-4AF7-A771-EC558694758F}"/>
    <cellStyle name="Comma 4 2 2 2 3 5 3 4" xfId="32476" xr:uid="{9F4F97C9-1854-41EE-AB97-6E576939AAC2}"/>
    <cellStyle name="Comma 4 2 2 2 3 5 4" xfId="11365" xr:uid="{60F38FF5-98A1-49C4-9E0B-C65F1B011F0F}"/>
    <cellStyle name="Comma 4 2 2 2 3 5 5" xfId="19812" xr:uid="{040E02EE-D1A2-4003-8945-646A01EBE79F}"/>
    <cellStyle name="Comma 4 2 2 2 3 5 6" xfId="28259" xr:uid="{0E7BEA8B-4D5A-4C28-BD1F-B6CB4E7478F8}"/>
    <cellStyle name="Comma 4 2 2 2 3 6" xfId="2385" xr:uid="{00000000-0005-0000-0000-0000E3070000}"/>
    <cellStyle name="Comma 4 2 2 2 3 6 2" xfId="6669" xr:uid="{00000000-0005-0000-0000-0000E4070000}"/>
    <cellStyle name="Comma 4 2 2 2 3 6 2 2" xfId="15995" xr:uid="{B387FBE1-5BE2-4228-B843-45D8DB8F9F36}"/>
    <cellStyle name="Comma 4 2 2 2 3 6 2 3" xfId="24442" xr:uid="{14419DC7-1AAF-40F6-B2E8-31CF3709BB8D}"/>
    <cellStyle name="Comma 4 2 2 2 3 6 2 4" xfId="32889" xr:uid="{0159F069-3DC2-4848-B617-ADCF94CF1367}"/>
    <cellStyle name="Comma 4 2 2 2 3 6 3" xfId="11778" xr:uid="{1BD3CCDA-AA5C-4011-89FC-EFBEC0B5431F}"/>
    <cellStyle name="Comma 4 2 2 2 3 6 4" xfId="20225" xr:uid="{D0F35620-7BF8-47AD-91A9-B1A016DE05BD}"/>
    <cellStyle name="Comma 4 2 2 2 3 6 5" xfId="28672" xr:uid="{4A128F29-83D8-4201-B587-A688DE78577E}"/>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16312" xr:uid="{52EB6C9A-E21E-4B52-AAB9-B3A3D53942F9}"/>
    <cellStyle name="Comma 4 2 2 2 3 8 2 3" xfId="24759" xr:uid="{3756C293-EAAE-479B-AE23-FD251854F825}"/>
    <cellStyle name="Comma 4 2 2 2 3 8 2 4" xfId="33206" xr:uid="{DE805623-8680-40D1-A46A-F76EF43AFED6}"/>
    <cellStyle name="Comma 4 2 2 2 3 8 3" xfId="12095" xr:uid="{BAB88311-261B-4E81-A595-EF605B3F5A42}"/>
    <cellStyle name="Comma 4 2 2 2 3 8 4" xfId="20542" xr:uid="{C03180BB-B526-4A1E-88C2-91172BC7437D}"/>
    <cellStyle name="Comma 4 2 2 2 3 8 5" xfId="28989" xr:uid="{2F692839-AAB9-4E1D-AE2C-0BA6FDB5A60E}"/>
    <cellStyle name="Comma 4 2 2 2 3 9" xfId="4603" xr:uid="{00000000-0005-0000-0000-0000E8070000}"/>
    <cellStyle name="Comma 4 2 2 2 3 9 2" xfId="13929" xr:uid="{696DFAFA-6076-42D7-9AFB-F0974DAA92B3}"/>
    <cellStyle name="Comma 4 2 2 2 3 9 3" xfId="22376" xr:uid="{AF9A3A4C-9F9C-45EA-ADA0-A944FFF688AB}"/>
    <cellStyle name="Comma 4 2 2 2 3 9 4" xfId="30823" xr:uid="{DC1D755B-7829-449D-95BC-776A1F775C99}"/>
    <cellStyle name="Comma 4 2 2 2 4" xfId="666" xr:uid="{00000000-0005-0000-0000-0000E9070000}"/>
    <cellStyle name="Comma 4 2 2 2 4 2" xfId="2937" xr:uid="{00000000-0005-0000-0000-0000EA070000}"/>
    <cellStyle name="Comma 4 2 2 2 4 2 2" xfId="7159" xr:uid="{00000000-0005-0000-0000-0000EB070000}"/>
    <cellStyle name="Comma 4 2 2 2 4 2 2 2" xfId="16485" xr:uid="{FC8E4BB3-F361-4517-B3CE-B95063CC38C9}"/>
    <cellStyle name="Comma 4 2 2 2 4 2 2 3" xfId="24932" xr:uid="{23FCB282-EA93-4704-B0E9-643CF9C4384C}"/>
    <cellStyle name="Comma 4 2 2 2 4 2 2 4" xfId="33379" xr:uid="{F95F8B45-2FDE-40AA-BE42-ED1E184F3E39}"/>
    <cellStyle name="Comma 4 2 2 2 4 2 3" xfId="12268" xr:uid="{83496F6F-8CAF-4D7F-BE59-02A16AD89CB2}"/>
    <cellStyle name="Comma 4 2 2 2 4 2 4" xfId="20715" xr:uid="{E152EF1B-5B0B-4B45-AE43-E2636DE60E73}"/>
    <cellStyle name="Comma 4 2 2 2 4 2 5" xfId="29162" xr:uid="{81EB7301-80F6-4797-8523-37692B45220D}"/>
    <cellStyle name="Comma 4 2 2 2 4 3" xfId="5014" xr:uid="{00000000-0005-0000-0000-0000EC070000}"/>
    <cellStyle name="Comma 4 2 2 2 4 3 2" xfId="14340" xr:uid="{10D0D2EE-42E7-4E9C-8AF9-BC91037093AC}"/>
    <cellStyle name="Comma 4 2 2 2 4 3 3" xfId="22787" xr:uid="{F7E52B90-D54B-4E71-9404-FEEBDCDAB04A}"/>
    <cellStyle name="Comma 4 2 2 2 4 3 4" xfId="31234" xr:uid="{3C6C1968-1FA4-4841-926E-35BB3DADB1EC}"/>
    <cellStyle name="Comma 4 2 2 2 4 4" xfId="9231" xr:uid="{31DAC97A-9492-467B-9850-183797A56FBE}"/>
    <cellStyle name="Comma 4 2 2 2 4 5" xfId="10123" xr:uid="{E6ED8653-6509-48DA-A6DC-363EC83CD41A}"/>
    <cellStyle name="Comma 4 2 2 2 4 6" xfId="18570" xr:uid="{B1A603AE-DCFA-462F-87DF-7A4B8FB03C1D}"/>
    <cellStyle name="Comma 4 2 2 2 4 7" xfId="27017" xr:uid="{E7FD176E-0E3C-42BE-93B3-29B9815FD524}"/>
    <cellStyle name="Comma 4 2 2 2 5" xfId="1119" xr:uid="{00000000-0005-0000-0000-0000ED070000}"/>
    <cellStyle name="Comma 4 2 2 2 5 2" xfId="3350" xr:uid="{00000000-0005-0000-0000-0000EE070000}"/>
    <cellStyle name="Comma 4 2 2 2 5 2 2" xfId="7572" xr:uid="{00000000-0005-0000-0000-0000EF070000}"/>
    <cellStyle name="Comma 4 2 2 2 5 2 2 2" xfId="16898" xr:uid="{C9E8A502-1A1F-49A5-86F2-736FFDEED261}"/>
    <cellStyle name="Comma 4 2 2 2 5 2 2 3" xfId="25345" xr:uid="{190BD54A-D5EC-42CA-9D4C-2FB4558C6638}"/>
    <cellStyle name="Comma 4 2 2 2 5 2 2 4" xfId="33792" xr:uid="{49FD0BB3-1430-45D6-8828-4D9EFC5D4277}"/>
    <cellStyle name="Comma 4 2 2 2 5 2 3" xfId="12681" xr:uid="{CEC3F17D-DEEF-46A2-A463-5ECB72C2E226}"/>
    <cellStyle name="Comma 4 2 2 2 5 2 4" xfId="21128" xr:uid="{48863644-C69E-41B6-BD2B-6FB1A59ECE59}"/>
    <cellStyle name="Comma 4 2 2 2 5 2 5" xfId="29575" xr:uid="{4A6B09EB-ADFD-4EB2-BD29-CCC3DE05B447}"/>
    <cellStyle name="Comma 4 2 2 2 5 3" xfId="5427" xr:uid="{00000000-0005-0000-0000-0000F0070000}"/>
    <cellStyle name="Comma 4 2 2 2 5 3 2" xfId="14753" xr:uid="{1D8C551F-CAA8-4A37-9194-BCF9C31E40AD}"/>
    <cellStyle name="Comma 4 2 2 2 5 3 3" xfId="23200" xr:uid="{9F065947-4333-410E-876A-F3CD3213CC7D}"/>
    <cellStyle name="Comma 4 2 2 2 5 3 4" xfId="31647" xr:uid="{44AEDE47-75B3-41DE-9692-7BCBFA17114B}"/>
    <cellStyle name="Comma 4 2 2 2 5 4" xfId="10536" xr:uid="{B9B8B4D2-4215-47CF-8A66-26C83465BEA2}"/>
    <cellStyle name="Comma 4 2 2 2 5 5" xfId="18983" xr:uid="{CE03A392-963A-41A2-9E81-37BE75A13961}"/>
    <cellStyle name="Comma 4 2 2 2 5 6" xfId="27430" xr:uid="{8608FBAB-2104-4A6E-ADA9-1FD729E92431}"/>
    <cellStyle name="Comma 4 2 2 2 6" xfId="1533" xr:uid="{00000000-0005-0000-0000-0000F1070000}"/>
    <cellStyle name="Comma 4 2 2 2 6 2" xfId="3763" xr:uid="{00000000-0005-0000-0000-0000F2070000}"/>
    <cellStyle name="Comma 4 2 2 2 6 2 2" xfId="7985" xr:uid="{00000000-0005-0000-0000-0000F3070000}"/>
    <cellStyle name="Comma 4 2 2 2 6 2 2 2" xfId="17311" xr:uid="{7AEB4465-CB55-488A-87B1-FC576C793BC4}"/>
    <cellStyle name="Comma 4 2 2 2 6 2 2 3" xfId="25758" xr:uid="{2C9E74E0-DCF0-4555-AAB1-D48FFC80F1CA}"/>
    <cellStyle name="Comma 4 2 2 2 6 2 2 4" xfId="34205" xr:uid="{C0B7EAF8-CE37-469A-A5B9-8A2E04113F72}"/>
    <cellStyle name="Comma 4 2 2 2 6 2 3" xfId="13094" xr:uid="{68E4F91F-24F8-4379-B43C-A7AABF63E52E}"/>
    <cellStyle name="Comma 4 2 2 2 6 2 4" xfId="21541" xr:uid="{C118F7F2-8B7F-4FBD-8ED9-EDC2F1D1E53E}"/>
    <cellStyle name="Comma 4 2 2 2 6 2 5" xfId="29988" xr:uid="{D52462EA-6CB2-43E7-855A-9E71216C514F}"/>
    <cellStyle name="Comma 4 2 2 2 6 3" xfId="5840" xr:uid="{00000000-0005-0000-0000-0000F4070000}"/>
    <cellStyle name="Comma 4 2 2 2 6 3 2" xfId="15166" xr:uid="{381BE390-8EC4-4D57-A3E3-C60377295126}"/>
    <cellStyle name="Comma 4 2 2 2 6 3 3" xfId="23613" xr:uid="{0EF8E4BC-CFC5-42FF-9C9E-BDCCEFF5906D}"/>
    <cellStyle name="Comma 4 2 2 2 6 3 4" xfId="32060" xr:uid="{3EFCDBE7-D46E-4EF2-845C-183B58B04981}"/>
    <cellStyle name="Comma 4 2 2 2 6 4" xfId="10949" xr:uid="{B524F8EE-F25B-4E5D-A2A1-60E6F8DAB9F8}"/>
    <cellStyle name="Comma 4 2 2 2 6 5" xfId="19396" xr:uid="{58BF6E61-DE84-4173-8244-E0897DA32985}"/>
    <cellStyle name="Comma 4 2 2 2 6 6" xfId="27843" xr:uid="{C43CB9B0-A1A8-4057-8E6D-9097CF296A5D}"/>
    <cellStyle name="Comma 4 2 2 2 7" xfId="1947" xr:uid="{00000000-0005-0000-0000-0000F5070000}"/>
    <cellStyle name="Comma 4 2 2 2 7 2" xfId="4176" xr:uid="{00000000-0005-0000-0000-0000F6070000}"/>
    <cellStyle name="Comma 4 2 2 2 7 2 2" xfId="8398" xr:uid="{00000000-0005-0000-0000-0000F7070000}"/>
    <cellStyle name="Comma 4 2 2 2 7 2 2 2" xfId="17724" xr:uid="{8486925D-C819-4727-8096-BD67332EF2EC}"/>
    <cellStyle name="Comma 4 2 2 2 7 2 2 3" xfId="26171" xr:uid="{D259973D-28A0-425B-B712-52072A0EA58F}"/>
    <cellStyle name="Comma 4 2 2 2 7 2 2 4" xfId="34618" xr:uid="{BB666BA1-ACB8-409A-8C42-1827CBAB4DFF}"/>
    <cellStyle name="Comma 4 2 2 2 7 2 3" xfId="13507" xr:uid="{F0A12A99-5A82-49FE-BC0F-9D4222D2A99A}"/>
    <cellStyle name="Comma 4 2 2 2 7 2 4" xfId="21954" xr:uid="{1A4E5894-6851-4AAD-9F72-0C289F5CD3C4}"/>
    <cellStyle name="Comma 4 2 2 2 7 2 5" xfId="30401" xr:uid="{C9785260-9EEA-48DF-A727-7070DD9F5CA1}"/>
    <cellStyle name="Comma 4 2 2 2 7 3" xfId="6253" xr:uid="{00000000-0005-0000-0000-0000F8070000}"/>
    <cellStyle name="Comma 4 2 2 2 7 3 2" xfId="15579" xr:uid="{E657F9A2-DBD1-4E33-B956-8B448F7664B1}"/>
    <cellStyle name="Comma 4 2 2 2 7 3 3" xfId="24026" xr:uid="{2BE8C3CF-53D2-4D41-9A24-872298B2B7C4}"/>
    <cellStyle name="Comma 4 2 2 2 7 3 4" xfId="32473" xr:uid="{0B64EAF8-1319-4F4C-9448-A6DB9E27CBFB}"/>
    <cellStyle name="Comma 4 2 2 2 7 4" xfId="11362" xr:uid="{905CBA5F-BF75-4F54-B5F4-78F869493E07}"/>
    <cellStyle name="Comma 4 2 2 2 7 5" xfId="19809" xr:uid="{7692E025-6661-4790-829E-02ED9DF3B629}"/>
    <cellStyle name="Comma 4 2 2 2 7 6" xfId="28256" xr:uid="{39BE77F5-F0B5-4067-86C8-B24A47C3613A}"/>
    <cellStyle name="Comma 4 2 2 2 8" xfId="2382" xr:uid="{00000000-0005-0000-0000-0000F9070000}"/>
    <cellStyle name="Comma 4 2 2 2 8 2" xfId="6666" xr:uid="{00000000-0005-0000-0000-0000FA070000}"/>
    <cellStyle name="Comma 4 2 2 2 8 2 2" xfId="15992" xr:uid="{CE9A82A2-107F-490A-9192-7672FFB851C8}"/>
    <cellStyle name="Comma 4 2 2 2 8 2 3" xfId="24439" xr:uid="{ACFF7AA7-734F-4C29-B7F8-930FF7E31312}"/>
    <cellStyle name="Comma 4 2 2 2 8 2 4" xfId="32886" xr:uid="{68760ACE-AF9F-49EC-9396-17FEA317C43B}"/>
    <cellStyle name="Comma 4 2 2 2 8 3" xfId="11775" xr:uid="{8311FC2F-28A3-49A6-80A8-74B0FB342906}"/>
    <cellStyle name="Comma 4 2 2 2 8 4" xfId="20222" xr:uid="{EF5FF4F8-110C-4318-BE33-6F431CABFC96}"/>
    <cellStyle name="Comma 4 2 2 2 8 5" xfId="28669" xr:uid="{ECBA8EFF-2F40-4DE2-B798-3E8E5CBB2A00}"/>
    <cellStyle name="Comma 4 2 2 2 9" xfId="2381" xr:uid="{00000000-0005-0000-0000-0000FB070000}"/>
    <cellStyle name="Comma 4 2 2 3" xfId="132" xr:uid="{00000000-0005-0000-0000-0000FC070000}"/>
    <cellStyle name="Comma 4 2 2 3 10" xfId="4604" xr:uid="{00000000-0005-0000-0000-0000FD070000}"/>
    <cellStyle name="Comma 4 2 2 3 10 2" xfId="13930" xr:uid="{A829338C-57F6-4BC7-BDC6-66EEF69838E0}"/>
    <cellStyle name="Comma 4 2 2 3 10 3" xfId="22377" xr:uid="{30F2EC7E-59F0-4E66-9A4A-AB953AB5466F}"/>
    <cellStyle name="Comma 4 2 2 3 10 4" xfId="30824" xr:uid="{5D969C75-C1EC-49D1-8CAF-D5578F4A6BC3}"/>
    <cellStyle name="Comma 4 2 2 3 11" xfId="8889" xr:uid="{93813409-C042-4436-8561-B0237A135E7D}"/>
    <cellStyle name="Comma 4 2 2 3 12" xfId="9713" xr:uid="{C8209894-7C26-4BF5-8D91-DF26064664C0}"/>
    <cellStyle name="Comma 4 2 2 3 13" xfId="18160" xr:uid="{12FED6B2-ECAD-49BA-B960-E38340BB5534}"/>
    <cellStyle name="Comma 4 2 2 3 14" xfId="26607" xr:uid="{09FE34E3-794C-41A9-A013-672724010BA1}"/>
    <cellStyle name="Comma 4 2 2 3 2" xfId="133" xr:uid="{00000000-0005-0000-0000-0000FE070000}"/>
    <cellStyle name="Comma 4 2 2 3 2 10" xfId="9096" xr:uid="{C395B6CC-7E3E-452B-B5AB-BBF992A45CEB}"/>
    <cellStyle name="Comma 4 2 2 3 2 11" xfId="9714" xr:uid="{0360F34E-E9EB-45D1-8EB8-E449AFE71019}"/>
    <cellStyle name="Comma 4 2 2 3 2 12" xfId="18161" xr:uid="{DB39BA0E-191D-4A14-BB89-F5DC5BAF9BF4}"/>
    <cellStyle name="Comma 4 2 2 3 2 13" xfId="26608" xr:uid="{0946FD77-F713-4DF5-BCB4-232CEA6396EB}"/>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16490" xr:uid="{E56F2E72-26A0-467E-A8FD-A9A421D492D7}"/>
    <cellStyle name="Comma 4 2 2 3 2 2 2 2 3" xfId="24937" xr:uid="{7B29DB24-99CE-4320-98A6-3C9FD6DEF906}"/>
    <cellStyle name="Comma 4 2 2 3 2 2 2 2 4" xfId="33384" xr:uid="{97D637D4-22C9-4F17-8792-231036B2D1F1}"/>
    <cellStyle name="Comma 4 2 2 3 2 2 2 3" xfId="12273" xr:uid="{DF68A410-3008-4664-B363-9BCD730BEDF3}"/>
    <cellStyle name="Comma 4 2 2 3 2 2 2 4" xfId="20720" xr:uid="{192F440B-2EF8-40DD-BE13-982EAF6CF506}"/>
    <cellStyle name="Comma 4 2 2 3 2 2 2 5" xfId="29167" xr:uid="{BC757C52-8F93-45EA-9470-822A857A13B3}"/>
    <cellStyle name="Comma 4 2 2 3 2 2 3" xfId="5019" xr:uid="{00000000-0005-0000-0000-000002080000}"/>
    <cellStyle name="Comma 4 2 2 3 2 2 3 2" xfId="14345" xr:uid="{01DBAE6A-3D9D-47A8-9DDB-124F1A530479}"/>
    <cellStyle name="Comma 4 2 2 3 2 2 3 3" xfId="22792" xr:uid="{FBDF5909-3684-4239-B2AF-2522737B8740}"/>
    <cellStyle name="Comma 4 2 2 3 2 2 3 4" xfId="31239" xr:uid="{76C2FA59-0A51-4F39-A1C9-15A5076DBBC9}"/>
    <cellStyle name="Comma 4 2 2 3 2 2 4" xfId="9521" xr:uid="{8F14F654-C711-4E70-8A06-71F68E70E2E0}"/>
    <cellStyle name="Comma 4 2 2 3 2 2 5" xfId="10128" xr:uid="{35D7EFE6-1C4D-4BE9-949E-5C54A647891E}"/>
    <cellStyle name="Comma 4 2 2 3 2 2 6" xfId="18575" xr:uid="{DB6BC9E5-26C9-41BE-9F7A-7D58448B4598}"/>
    <cellStyle name="Comma 4 2 2 3 2 2 7" xfId="27022" xr:uid="{A322C6C2-64A4-4972-9C39-48B440D6B77D}"/>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16903" xr:uid="{942FA32D-1A1E-4152-8738-6BE483933FF4}"/>
    <cellStyle name="Comma 4 2 2 3 2 3 2 2 3" xfId="25350" xr:uid="{6506FBFC-791A-4A04-80D2-258B96DB82C2}"/>
    <cellStyle name="Comma 4 2 2 3 2 3 2 2 4" xfId="33797" xr:uid="{3CA24A8E-0B42-4675-BF3F-3FD770082B99}"/>
    <cellStyle name="Comma 4 2 2 3 2 3 2 3" xfId="12686" xr:uid="{BA9BABCF-C417-4C2E-998B-E1BDECE79E43}"/>
    <cellStyle name="Comma 4 2 2 3 2 3 2 4" xfId="21133" xr:uid="{07119A77-42E5-4ED6-833F-7B1173E28CC7}"/>
    <cellStyle name="Comma 4 2 2 3 2 3 2 5" xfId="29580" xr:uid="{3DB6DCB8-33A2-4540-8728-0BD2BA6C97C4}"/>
    <cellStyle name="Comma 4 2 2 3 2 3 3" xfId="5432" xr:uid="{00000000-0005-0000-0000-000006080000}"/>
    <cellStyle name="Comma 4 2 2 3 2 3 3 2" xfId="14758" xr:uid="{EFC34469-D4D9-4AB4-9A01-66C136C02D78}"/>
    <cellStyle name="Comma 4 2 2 3 2 3 3 3" xfId="23205" xr:uid="{5C7D2EB5-93F6-4438-AD48-496C995AD5AB}"/>
    <cellStyle name="Comma 4 2 2 3 2 3 3 4" xfId="31652" xr:uid="{1955F851-0B0B-4552-9E09-B7E6448C23F6}"/>
    <cellStyle name="Comma 4 2 2 3 2 3 4" xfId="10541" xr:uid="{93568A9C-60C2-42DB-98D6-B21030F82B4C}"/>
    <cellStyle name="Comma 4 2 2 3 2 3 5" xfId="18988" xr:uid="{F1CE2DFA-2EE3-4605-A60A-373FE80EFDA4}"/>
    <cellStyle name="Comma 4 2 2 3 2 3 6" xfId="27435" xr:uid="{73DCE758-D9FB-477E-9AE1-7DCBC9A6B6CF}"/>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17316" xr:uid="{3B7807DA-9933-40A6-9824-7EA6E379AD70}"/>
    <cellStyle name="Comma 4 2 2 3 2 4 2 2 3" xfId="25763" xr:uid="{2B4E9185-92E4-448E-ACEE-86C465096D91}"/>
    <cellStyle name="Comma 4 2 2 3 2 4 2 2 4" xfId="34210" xr:uid="{A754A363-75E1-4CAC-8329-126ACEFBB224}"/>
    <cellStyle name="Comma 4 2 2 3 2 4 2 3" xfId="13099" xr:uid="{37483195-AD9B-4BD6-942B-FDFD16359898}"/>
    <cellStyle name="Comma 4 2 2 3 2 4 2 4" xfId="21546" xr:uid="{FAA8A9A3-B6AB-4F42-A4A3-ABC9784DCBAB}"/>
    <cellStyle name="Comma 4 2 2 3 2 4 2 5" xfId="29993" xr:uid="{FC4D553D-6538-4256-B453-C2832C183869}"/>
    <cellStyle name="Comma 4 2 2 3 2 4 3" xfId="5845" xr:uid="{00000000-0005-0000-0000-00000A080000}"/>
    <cellStyle name="Comma 4 2 2 3 2 4 3 2" xfId="15171" xr:uid="{DE075151-D853-4A03-853A-F8C2C3742409}"/>
    <cellStyle name="Comma 4 2 2 3 2 4 3 3" xfId="23618" xr:uid="{80BEE5BB-A9E6-4361-B6AD-46FC5BF69DD9}"/>
    <cellStyle name="Comma 4 2 2 3 2 4 3 4" xfId="32065" xr:uid="{05214062-9D77-48A2-80D3-2F6294F1A891}"/>
    <cellStyle name="Comma 4 2 2 3 2 4 4" xfId="10954" xr:uid="{86A563F2-C943-43B9-8176-00F8A950D9A0}"/>
    <cellStyle name="Comma 4 2 2 3 2 4 5" xfId="19401" xr:uid="{5E0BAB57-A2B3-43DB-9C15-242A12927F02}"/>
    <cellStyle name="Comma 4 2 2 3 2 4 6" xfId="27848" xr:uid="{A124D803-1F55-4550-919A-3502B0BBF8D6}"/>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17729" xr:uid="{9761EB51-3226-4CA6-8F74-547E70D1F757}"/>
    <cellStyle name="Comma 4 2 2 3 2 5 2 2 3" xfId="26176" xr:uid="{B98AE06B-D213-4922-9C21-EE8EEFC08AB0}"/>
    <cellStyle name="Comma 4 2 2 3 2 5 2 2 4" xfId="34623" xr:uid="{E0BD1765-BFB1-45B3-A12F-71D04B1FCD3A}"/>
    <cellStyle name="Comma 4 2 2 3 2 5 2 3" xfId="13512" xr:uid="{23FEE55E-9B3D-4055-AB90-6FB5928D5F25}"/>
    <cellStyle name="Comma 4 2 2 3 2 5 2 4" xfId="21959" xr:uid="{C7B04641-EC43-4BDB-A60A-4B9B1320CF36}"/>
    <cellStyle name="Comma 4 2 2 3 2 5 2 5" xfId="30406" xr:uid="{0CC60CAA-1EDA-45CC-A3EB-9479835B26BE}"/>
    <cellStyle name="Comma 4 2 2 3 2 5 3" xfId="6258" xr:uid="{00000000-0005-0000-0000-00000E080000}"/>
    <cellStyle name="Comma 4 2 2 3 2 5 3 2" xfId="15584" xr:uid="{79A2CA7A-EDCE-4831-8D2B-88452FA93B41}"/>
    <cellStyle name="Comma 4 2 2 3 2 5 3 3" xfId="24031" xr:uid="{EE845F74-AD07-4FE7-9A07-EDFE95FD21C6}"/>
    <cellStyle name="Comma 4 2 2 3 2 5 3 4" xfId="32478" xr:uid="{64742028-7581-43BB-A69D-B0646C56822A}"/>
    <cellStyle name="Comma 4 2 2 3 2 5 4" xfId="11367" xr:uid="{63AB7C7E-2732-4051-937C-38C1027F13E8}"/>
    <cellStyle name="Comma 4 2 2 3 2 5 5" xfId="19814" xr:uid="{7CB54E7E-32F5-4EB3-A6D2-3ED3AE21841C}"/>
    <cellStyle name="Comma 4 2 2 3 2 5 6" xfId="28261" xr:uid="{E97B542E-CE0F-47AB-8FE6-1D10A6BBB70F}"/>
    <cellStyle name="Comma 4 2 2 3 2 6" xfId="2387" xr:uid="{00000000-0005-0000-0000-00000F080000}"/>
    <cellStyle name="Comma 4 2 2 3 2 6 2" xfId="6671" xr:uid="{00000000-0005-0000-0000-000010080000}"/>
    <cellStyle name="Comma 4 2 2 3 2 6 2 2" xfId="15997" xr:uid="{D3DF62CA-23EE-4F9E-8AC2-5F7B461E6049}"/>
    <cellStyle name="Comma 4 2 2 3 2 6 2 3" xfId="24444" xr:uid="{D0690790-684E-4731-9048-9D52B7921836}"/>
    <cellStyle name="Comma 4 2 2 3 2 6 2 4" xfId="32891" xr:uid="{CDD50627-E004-4EF9-B9C3-C3DC532AD22F}"/>
    <cellStyle name="Comma 4 2 2 3 2 6 3" xfId="11780" xr:uid="{6CC9A011-0156-4818-B4B5-BE8E84AEDCC7}"/>
    <cellStyle name="Comma 4 2 2 3 2 6 4" xfId="20227" xr:uid="{A989E3A0-5D23-4570-9B79-ADD737920341}"/>
    <cellStyle name="Comma 4 2 2 3 2 6 5" xfId="28674" xr:uid="{7B4A7C5E-DF7E-4FB5-B8C1-4478A7A9BFF6}"/>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16314" xr:uid="{D9B9A51C-3CEF-442E-AFBD-33307AE84B0D}"/>
    <cellStyle name="Comma 4 2 2 3 2 8 2 3" xfId="24761" xr:uid="{91C1F364-D7DD-45B8-B43A-D6606BA8628B}"/>
    <cellStyle name="Comma 4 2 2 3 2 8 2 4" xfId="33208" xr:uid="{C45F034E-F31C-48A7-9667-1F51CAB65378}"/>
    <cellStyle name="Comma 4 2 2 3 2 8 3" xfId="12097" xr:uid="{C746FA00-B7D8-414C-8EAC-E38B632381EB}"/>
    <cellStyle name="Comma 4 2 2 3 2 8 4" xfId="20544" xr:uid="{FF62486F-E0F8-4433-86B9-19A6B10274DA}"/>
    <cellStyle name="Comma 4 2 2 3 2 8 5" xfId="28991" xr:uid="{80D23DF0-1FDD-43D7-94DC-5EEAC31433B3}"/>
    <cellStyle name="Comma 4 2 2 3 2 9" xfId="4605" xr:uid="{00000000-0005-0000-0000-000014080000}"/>
    <cellStyle name="Comma 4 2 2 3 2 9 2" xfId="13931" xr:uid="{201D2891-B802-4D8F-BD2D-A9842A1F15FB}"/>
    <cellStyle name="Comma 4 2 2 3 2 9 3" xfId="22378" xr:uid="{D3AB4C21-0831-449B-9B5D-AC10A173DB7B}"/>
    <cellStyle name="Comma 4 2 2 3 2 9 4" xfId="30825" xr:uid="{59674E4E-6CE8-4FB2-B5BE-0D7F6106CEE5}"/>
    <cellStyle name="Comma 4 2 2 3 3" xfId="670" xr:uid="{00000000-0005-0000-0000-000015080000}"/>
    <cellStyle name="Comma 4 2 2 3 3 2" xfId="2941" xr:uid="{00000000-0005-0000-0000-000016080000}"/>
    <cellStyle name="Comma 4 2 2 3 3 2 2" xfId="7163" xr:uid="{00000000-0005-0000-0000-000017080000}"/>
    <cellStyle name="Comma 4 2 2 3 3 2 2 2" xfId="16489" xr:uid="{EE4C9634-6ADB-446F-B293-0F248DC1CAFB}"/>
    <cellStyle name="Comma 4 2 2 3 3 2 2 3" xfId="24936" xr:uid="{FCE5F9C1-1AE3-4832-A1D9-8FE25B8A9F9C}"/>
    <cellStyle name="Comma 4 2 2 3 3 2 2 4" xfId="33383" xr:uid="{D4BE5300-8CB7-44A7-B96A-CDD55EA65B51}"/>
    <cellStyle name="Comma 4 2 2 3 3 2 3" xfId="12272" xr:uid="{8664D433-7150-4B55-848B-97B51F04A720}"/>
    <cellStyle name="Comma 4 2 2 3 3 2 4" xfId="20719" xr:uid="{65786279-0466-4B17-BF2B-66BED9A38DE1}"/>
    <cellStyle name="Comma 4 2 2 3 3 2 5" xfId="29166" xr:uid="{B8D7D033-1AE6-4F97-B9CE-C0D291D11758}"/>
    <cellStyle name="Comma 4 2 2 3 3 3" xfId="5018" xr:uid="{00000000-0005-0000-0000-000018080000}"/>
    <cellStyle name="Comma 4 2 2 3 3 3 2" xfId="14344" xr:uid="{B6D28A93-A414-4103-B5DC-358BC115F2A3}"/>
    <cellStyle name="Comma 4 2 2 3 3 3 3" xfId="22791" xr:uid="{F9BC20D9-F5D9-4E1F-86C5-A072048331E7}"/>
    <cellStyle name="Comma 4 2 2 3 3 3 4" xfId="31238" xr:uid="{1ACC0B28-E390-4917-83A2-C65CA716899D}"/>
    <cellStyle name="Comma 4 2 2 3 3 4" xfId="9314" xr:uid="{A74197AE-1229-40FC-8212-8FB289D74FF6}"/>
    <cellStyle name="Comma 4 2 2 3 3 5" xfId="10127" xr:uid="{0AD508E8-3D49-48E7-972A-5F2841688D83}"/>
    <cellStyle name="Comma 4 2 2 3 3 6" xfId="18574" xr:uid="{983CB07D-1906-4857-8604-D5A6BB1967B2}"/>
    <cellStyle name="Comma 4 2 2 3 3 7" xfId="27021" xr:uid="{B9D508C6-7E4D-4859-BBE0-04EB2C2DD9C3}"/>
    <cellStyle name="Comma 4 2 2 3 4" xfId="1123" xr:uid="{00000000-0005-0000-0000-000019080000}"/>
    <cellStyle name="Comma 4 2 2 3 4 2" xfId="3354" xr:uid="{00000000-0005-0000-0000-00001A080000}"/>
    <cellStyle name="Comma 4 2 2 3 4 2 2" xfId="7576" xr:uid="{00000000-0005-0000-0000-00001B080000}"/>
    <cellStyle name="Comma 4 2 2 3 4 2 2 2" xfId="16902" xr:uid="{FA497805-9D92-466C-9F8B-A4042E7957BF}"/>
    <cellStyle name="Comma 4 2 2 3 4 2 2 3" xfId="25349" xr:uid="{9FAF9879-5E26-408D-A37C-3177366F2F00}"/>
    <cellStyle name="Comma 4 2 2 3 4 2 2 4" xfId="33796" xr:uid="{FD3DAD4C-0AC0-4DB6-9C59-50AD217C2D2F}"/>
    <cellStyle name="Comma 4 2 2 3 4 2 3" xfId="12685" xr:uid="{B9664453-9D06-4CB3-9572-6079A59C169A}"/>
    <cellStyle name="Comma 4 2 2 3 4 2 4" xfId="21132" xr:uid="{F3F27534-B7AA-4600-9B8F-47E3C0EAA2B5}"/>
    <cellStyle name="Comma 4 2 2 3 4 2 5" xfId="29579" xr:uid="{835389CD-69C9-4F5B-ABAF-CE07A92E6C8A}"/>
    <cellStyle name="Comma 4 2 2 3 4 3" xfId="5431" xr:uid="{00000000-0005-0000-0000-00001C080000}"/>
    <cellStyle name="Comma 4 2 2 3 4 3 2" xfId="14757" xr:uid="{24D887DF-2A35-4786-B945-6E041BD93B97}"/>
    <cellStyle name="Comma 4 2 2 3 4 3 3" xfId="23204" xr:uid="{8F70AAC8-7910-4F8B-BC88-F58CCD507FA9}"/>
    <cellStyle name="Comma 4 2 2 3 4 3 4" xfId="31651" xr:uid="{95088798-3473-406F-A401-B91929F2AFC5}"/>
    <cellStyle name="Comma 4 2 2 3 4 4" xfId="10540" xr:uid="{8A49BA3C-6357-4584-9496-0CC2212C4489}"/>
    <cellStyle name="Comma 4 2 2 3 4 5" xfId="18987" xr:uid="{019EA3E9-0825-4308-A3A2-F706FB357D02}"/>
    <cellStyle name="Comma 4 2 2 3 4 6" xfId="27434" xr:uid="{2D91CF93-7373-4145-84D4-DF57C735803B}"/>
    <cellStyle name="Comma 4 2 2 3 5" xfId="1537" xr:uid="{00000000-0005-0000-0000-00001D080000}"/>
    <cellStyle name="Comma 4 2 2 3 5 2" xfId="3767" xr:uid="{00000000-0005-0000-0000-00001E080000}"/>
    <cellStyle name="Comma 4 2 2 3 5 2 2" xfId="7989" xr:uid="{00000000-0005-0000-0000-00001F080000}"/>
    <cellStyle name="Comma 4 2 2 3 5 2 2 2" xfId="17315" xr:uid="{1C3ACFE4-3A60-4EC5-B9D7-06E8AFA931E4}"/>
    <cellStyle name="Comma 4 2 2 3 5 2 2 3" xfId="25762" xr:uid="{DDDA76C2-374F-4953-858D-39D214887665}"/>
    <cellStyle name="Comma 4 2 2 3 5 2 2 4" xfId="34209" xr:uid="{B2316FC1-A082-432C-86BD-8EE61AF0DFAE}"/>
    <cellStyle name="Comma 4 2 2 3 5 2 3" xfId="13098" xr:uid="{EC5AEF64-A207-4B11-9CB8-D0856F7C80FB}"/>
    <cellStyle name="Comma 4 2 2 3 5 2 4" xfId="21545" xr:uid="{4BA2A8AD-3B00-4C42-A059-8F28074B25E3}"/>
    <cellStyle name="Comma 4 2 2 3 5 2 5" xfId="29992" xr:uid="{6DC796D0-8B77-47C3-A785-782C5B02AA59}"/>
    <cellStyle name="Comma 4 2 2 3 5 3" xfId="5844" xr:uid="{00000000-0005-0000-0000-000020080000}"/>
    <cellStyle name="Comma 4 2 2 3 5 3 2" xfId="15170" xr:uid="{519EE1A7-1F49-4D1A-9C16-1A9E97DAD3C3}"/>
    <cellStyle name="Comma 4 2 2 3 5 3 3" xfId="23617" xr:uid="{EBBCD1DC-D222-40CC-94FC-99A59E484E2C}"/>
    <cellStyle name="Comma 4 2 2 3 5 3 4" xfId="32064" xr:uid="{40D046EA-597B-4295-B817-FAA0B24BF8A6}"/>
    <cellStyle name="Comma 4 2 2 3 5 4" xfId="10953" xr:uid="{718D68FB-CEA2-425B-8B89-77AC579261B3}"/>
    <cellStyle name="Comma 4 2 2 3 5 5" xfId="19400" xr:uid="{66038071-EB82-4B54-B5A3-5EE335FF6CC8}"/>
    <cellStyle name="Comma 4 2 2 3 5 6" xfId="27847" xr:uid="{A1FCC8B4-D0E7-4186-8E9A-CB47DA22A95B}"/>
    <cellStyle name="Comma 4 2 2 3 6" xfId="1951" xr:uid="{00000000-0005-0000-0000-000021080000}"/>
    <cellStyle name="Comma 4 2 2 3 6 2" xfId="4180" xr:uid="{00000000-0005-0000-0000-000022080000}"/>
    <cellStyle name="Comma 4 2 2 3 6 2 2" xfId="8402" xr:uid="{00000000-0005-0000-0000-000023080000}"/>
    <cellStyle name="Comma 4 2 2 3 6 2 2 2" xfId="17728" xr:uid="{3F6E570F-29CB-4C8B-8988-C2098ED77855}"/>
    <cellStyle name="Comma 4 2 2 3 6 2 2 3" xfId="26175" xr:uid="{B4109051-9E1A-4BD6-8E21-582827491811}"/>
    <cellStyle name="Comma 4 2 2 3 6 2 2 4" xfId="34622" xr:uid="{FDBE3B78-AA5F-4FDE-A4BC-869A18163286}"/>
    <cellStyle name="Comma 4 2 2 3 6 2 3" xfId="13511" xr:uid="{578ED3C0-9810-4B1C-ACFB-AB2E4B127740}"/>
    <cellStyle name="Comma 4 2 2 3 6 2 4" xfId="21958" xr:uid="{D1F637A4-C68E-441E-B87E-4D48597D1C0B}"/>
    <cellStyle name="Comma 4 2 2 3 6 2 5" xfId="30405" xr:uid="{74B779C1-E14B-4EA7-AE4F-9204CB145AB8}"/>
    <cellStyle name="Comma 4 2 2 3 6 3" xfId="6257" xr:uid="{00000000-0005-0000-0000-000024080000}"/>
    <cellStyle name="Comma 4 2 2 3 6 3 2" xfId="15583" xr:uid="{B8EA8C1F-9B72-4590-BD74-E3276F0A37C8}"/>
    <cellStyle name="Comma 4 2 2 3 6 3 3" xfId="24030" xr:uid="{8B4542A7-D0A1-4E44-B9E8-9D28792AAEBC}"/>
    <cellStyle name="Comma 4 2 2 3 6 3 4" xfId="32477" xr:uid="{6406D6A7-2DEC-4DC1-9A16-769A1FB8436E}"/>
    <cellStyle name="Comma 4 2 2 3 6 4" xfId="11366" xr:uid="{B7F7026F-F779-4642-82D6-5AD886A759C3}"/>
    <cellStyle name="Comma 4 2 2 3 6 5" xfId="19813" xr:uid="{2B8770C8-A939-47C6-8319-3563FA0D2D87}"/>
    <cellStyle name="Comma 4 2 2 3 6 6" xfId="28260" xr:uid="{CBB15C41-7FE4-4E7D-9051-F0F2C527E46E}"/>
    <cellStyle name="Comma 4 2 2 3 7" xfId="2386" xr:uid="{00000000-0005-0000-0000-000025080000}"/>
    <cellStyle name="Comma 4 2 2 3 7 2" xfId="6670" xr:uid="{00000000-0005-0000-0000-000026080000}"/>
    <cellStyle name="Comma 4 2 2 3 7 2 2" xfId="15996" xr:uid="{2A18EE96-9B36-45BA-B032-AAA74BBBD7FA}"/>
    <cellStyle name="Comma 4 2 2 3 7 2 3" xfId="24443" xr:uid="{646800DA-F872-4666-8E24-1EB18E43FE2A}"/>
    <cellStyle name="Comma 4 2 2 3 7 2 4" xfId="32890" xr:uid="{97186D02-E77D-4FEC-B50C-BE52C78B87C3}"/>
    <cellStyle name="Comma 4 2 2 3 7 3" xfId="11779" xr:uid="{47B61A8F-15A0-4298-B1E8-F62A05B83336}"/>
    <cellStyle name="Comma 4 2 2 3 7 4" xfId="20226" xr:uid="{C86858F8-C273-4B32-BAA1-6A500A5DF8F4}"/>
    <cellStyle name="Comma 4 2 2 3 7 5" xfId="28673" xr:uid="{52069719-E3A4-4BCE-82AE-2F48D35A58CE}"/>
    <cellStyle name="Comma 4 2 2 3 8" xfId="2377" xr:uid="{00000000-0005-0000-0000-000027080000}"/>
    <cellStyle name="Comma 4 2 2 3 9" xfId="2764" xr:uid="{00000000-0005-0000-0000-000028080000}"/>
    <cellStyle name="Comma 4 2 2 3 9 2" xfId="6987" xr:uid="{00000000-0005-0000-0000-000029080000}"/>
    <cellStyle name="Comma 4 2 2 3 9 2 2" xfId="16313" xr:uid="{26598E22-C3DC-41BE-AC57-CD5740FA4460}"/>
    <cellStyle name="Comma 4 2 2 3 9 2 3" xfId="24760" xr:uid="{01C7BB6B-7006-4175-85F1-C40805A7926C}"/>
    <cellStyle name="Comma 4 2 2 3 9 2 4" xfId="33207" xr:uid="{1BC965E3-0381-4DC4-9605-201F3D42A5F3}"/>
    <cellStyle name="Comma 4 2 2 3 9 3" xfId="12096" xr:uid="{CEEDAFBC-1127-4195-A885-4607662F5195}"/>
    <cellStyle name="Comma 4 2 2 3 9 4" xfId="20543" xr:uid="{705B26AA-8086-41D7-A668-EA8992B5EB53}"/>
    <cellStyle name="Comma 4 2 2 3 9 5" xfId="28990" xr:uid="{98980DF3-38A8-4E1A-9AF8-AABE99C1B290}"/>
    <cellStyle name="Comma 4 2 2 4" xfId="134" xr:uid="{00000000-0005-0000-0000-00002A080000}"/>
    <cellStyle name="Comma 4 2 2 4 10" xfId="8993" xr:uid="{2969CB69-37C4-4C43-BC9D-87F92556F829}"/>
    <cellStyle name="Comma 4 2 2 4 11" xfId="9715" xr:uid="{9613DDE9-915A-4C77-ABDD-8AD03CE09D43}"/>
    <cellStyle name="Comma 4 2 2 4 12" xfId="18162" xr:uid="{46902ED9-89DD-4D20-8620-0BE044AC6393}"/>
    <cellStyle name="Comma 4 2 2 4 13" xfId="26609" xr:uid="{2EA1DDEF-FF51-458C-9D15-E381A2143A06}"/>
    <cellStyle name="Comma 4 2 2 4 2" xfId="672" xr:uid="{00000000-0005-0000-0000-00002B080000}"/>
    <cellStyle name="Comma 4 2 2 4 2 2" xfId="2943" xr:uid="{00000000-0005-0000-0000-00002C080000}"/>
    <cellStyle name="Comma 4 2 2 4 2 2 2" xfId="7165" xr:uid="{00000000-0005-0000-0000-00002D080000}"/>
    <cellStyle name="Comma 4 2 2 4 2 2 2 2" xfId="16491" xr:uid="{0C09E021-930E-424D-9D10-EDE81B3D5043}"/>
    <cellStyle name="Comma 4 2 2 4 2 2 2 3" xfId="24938" xr:uid="{9ABF5E66-80A4-414A-8251-971F0AA2D087}"/>
    <cellStyle name="Comma 4 2 2 4 2 2 2 4" xfId="33385" xr:uid="{71482FE5-E711-43BC-BD0E-29EF8FA8528B}"/>
    <cellStyle name="Comma 4 2 2 4 2 2 3" xfId="12274" xr:uid="{8FB5985C-6BC4-4BC9-B105-097FC9197B64}"/>
    <cellStyle name="Comma 4 2 2 4 2 2 4" xfId="20721" xr:uid="{14389B16-4538-42B5-B660-BFD18BFC25D9}"/>
    <cellStyle name="Comma 4 2 2 4 2 2 5" xfId="29168" xr:uid="{51008B78-E945-4400-92B3-32C14B3D50A2}"/>
    <cellStyle name="Comma 4 2 2 4 2 3" xfId="5020" xr:uid="{00000000-0005-0000-0000-00002E080000}"/>
    <cellStyle name="Comma 4 2 2 4 2 3 2" xfId="14346" xr:uid="{C8574B8B-3E8A-485A-BAD8-B0B2DB9A21CA}"/>
    <cellStyle name="Comma 4 2 2 4 2 3 3" xfId="22793" xr:uid="{277F2416-18FB-4286-B11A-1CC7B0D70E9D}"/>
    <cellStyle name="Comma 4 2 2 4 2 3 4" xfId="31240" xr:uid="{18166CF7-336F-489F-8ED8-3CE705CA98D7}"/>
    <cellStyle name="Comma 4 2 2 4 2 4" xfId="9418" xr:uid="{F2EB07B7-2227-485D-9411-A8F75EC2F9DA}"/>
    <cellStyle name="Comma 4 2 2 4 2 5" xfId="10129" xr:uid="{D41829B0-51B2-4790-9C4A-61AFD780C27B}"/>
    <cellStyle name="Comma 4 2 2 4 2 6" xfId="18576" xr:uid="{C52FAF7C-A8AE-4F53-9B09-2774F2983962}"/>
    <cellStyle name="Comma 4 2 2 4 2 7" xfId="27023" xr:uid="{EFEE76D0-69C7-4100-9D4F-D25344276433}"/>
    <cellStyle name="Comma 4 2 2 4 3" xfId="1125" xr:uid="{00000000-0005-0000-0000-00002F080000}"/>
    <cellStyle name="Comma 4 2 2 4 3 2" xfId="3356" xr:uid="{00000000-0005-0000-0000-000030080000}"/>
    <cellStyle name="Comma 4 2 2 4 3 2 2" xfId="7578" xr:uid="{00000000-0005-0000-0000-000031080000}"/>
    <cellStyle name="Comma 4 2 2 4 3 2 2 2" xfId="16904" xr:uid="{CB5EF04D-F0DF-4A4E-BB19-178B3C4E0236}"/>
    <cellStyle name="Comma 4 2 2 4 3 2 2 3" xfId="25351" xr:uid="{E3429040-14FC-4E16-913A-F75E3B31C9FE}"/>
    <cellStyle name="Comma 4 2 2 4 3 2 2 4" xfId="33798" xr:uid="{D6AEDD59-04A8-4383-8642-5B69DC6D554B}"/>
    <cellStyle name="Comma 4 2 2 4 3 2 3" xfId="12687" xr:uid="{CF8C1F50-FD33-4D35-997D-648F3055F367}"/>
    <cellStyle name="Comma 4 2 2 4 3 2 4" xfId="21134" xr:uid="{B6DA829D-9C82-4B43-80FA-B66004FD8DA2}"/>
    <cellStyle name="Comma 4 2 2 4 3 2 5" xfId="29581" xr:uid="{CC884608-9097-4B49-BAA5-BD09C6753423}"/>
    <cellStyle name="Comma 4 2 2 4 3 3" xfId="5433" xr:uid="{00000000-0005-0000-0000-000032080000}"/>
    <cellStyle name="Comma 4 2 2 4 3 3 2" xfId="14759" xr:uid="{5A8B97D0-B8C4-40DD-AE4D-9684BF24A65C}"/>
    <cellStyle name="Comma 4 2 2 4 3 3 3" xfId="23206" xr:uid="{DD74E01A-A2FC-43AC-AD54-000DB9EEDC7B}"/>
    <cellStyle name="Comma 4 2 2 4 3 3 4" xfId="31653" xr:uid="{2CD0303D-EAEB-4335-8CD0-BADCD743C572}"/>
    <cellStyle name="Comma 4 2 2 4 3 4" xfId="10542" xr:uid="{E7C94EA8-143E-4D8A-93BA-881C08D6528E}"/>
    <cellStyle name="Comma 4 2 2 4 3 5" xfId="18989" xr:uid="{E2AA74BC-9DA2-4E80-BB7D-80B133D4CB07}"/>
    <cellStyle name="Comma 4 2 2 4 3 6" xfId="27436" xr:uid="{CBBFEAEA-AFAD-4DC5-8247-CAF7A8E1489D}"/>
    <cellStyle name="Comma 4 2 2 4 4" xfId="1539" xr:uid="{00000000-0005-0000-0000-000033080000}"/>
    <cellStyle name="Comma 4 2 2 4 4 2" xfId="3769" xr:uid="{00000000-0005-0000-0000-000034080000}"/>
    <cellStyle name="Comma 4 2 2 4 4 2 2" xfId="7991" xr:uid="{00000000-0005-0000-0000-000035080000}"/>
    <cellStyle name="Comma 4 2 2 4 4 2 2 2" xfId="17317" xr:uid="{33D771A7-6F1F-4088-BCA4-C6471FA372C4}"/>
    <cellStyle name="Comma 4 2 2 4 4 2 2 3" xfId="25764" xr:uid="{D56818DB-6121-47CE-85BE-7377202AD815}"/>
    <cellStyle name="Comma 4 2 2 4 4 2 2 4" xfId="34211" xr:uid="{F0048FDB-BAA9-49C2-8C12-8AE1186875BC}"/>
    <cellStyle name="Comma 4 2 2 4 4 2 3" xfId="13100" xr:uid="{DB75BD5E-9960-44A6-8DD8-247917798B23}"/>
    <cellStyle name="Comma 4 2 2 4 4 2 4" xfId="21547" xr:uid="{59C63C3B-6AB6-4218-BB90-D5BDA20B58EF}"/>
    <cellStyle name="Comma 4 2 2 4 4 2 5" xfId="29994" xr:uid="{C433D49C-BA0C-4E31-A75E-F3293D8B4357}"/>
    <cellStyle name="Comma 4 2 2 4 4 3" xfId="5846" xr:uid="{00000000-0005-0000-0000-000036080000}"/>
    <cellStyle name="Comma 4 2 2 4 4 3 2" xfId="15172" xr:uid="{CAFA4983-0214-425D-8B37-0FB5F8B371F6}"/>
    <cellStyle name="Comma 4 2 2 4 4 3 3" xfId="23619" xr:uid="{4CECC069-E7D5-4932-A85D-69BC69468516}"/>
    <cellStyle name="Comma 4 2 2 4 4 3 4" xfId="32066" xr:uid="{FA98BA73-2497-411A-A343-6DF77074164C}"/>
    <cellStyle name="Comma 4 2 2 4 4 4" xfId="10955" xr:uid="{3223F4E0-FAEF-4542-ADEE-D385348EA934}"/>
    <cellStyle name="Comma 4 2 2 4 4 5" xfId="19402" xr:uid="{5EEEA84D-C710-46BF-A3E3-F9C8714448A9}"/>
    <cellStyle name="Comma 4 2 2 4 4 6" xfId="27849" xr:uid="{42E6F342-AEE2-4720-BFE8-D83CE6BFE453}"/>
    <cellStyle name="Comma 4 2 2 4 5" xfId="1953" xr:uid="{00000000-0005-0000-0000-000037080000}"/>
    <cellStyle name="Comma 4 2 2 4 5 2" xfId="4182" xr:uid="{00000000-0005-0000-0000-000038080000}"/>
    <cellStyle name="Comma 4 2 2 4 5 2 2" xfId="8404" xr:uid="{00000000-0005-0000-0000-000039080000}"/>
    <cellStyle name="Comma 4 2 2 4 5 2 2 2" xfId="17730" xr:uid="{F6D6B28B-F65F-48B3-A9FE-19660EC7CCB3}"/>
    <cellStyle name="Comma 4 2 2 4 5 2 2 3" xfId="26177" xr:uid="{90F09EF2-F463-4737-90AF-4995B80734C8}"/>
    <cellStyle name="Comma 4 2 2 4 5 2 2 4" xfId="34624" xr:uid="{218DEFBC-CFAC-48B7-A49B-2E2B9A7D5B52}"/>
    <cellStyle name="Comma 4 2 2 4 5 2 3" xfId="13513" xr:uid="{32DD6590-558A-4726-8672-271D71D19150}"/>
    <cellStyle name="Comma 4 2 2 4 5 2 4" xfId="21960" xr:uid="{9C3D0F6D-A011-4C93-AA71-FA1A29D270DB}"/>
    <cellStyle name="Comma 4 2 2 4 5 2 5" xfId="30407" xr:uid="{2399A6DB-8E76-4EFA-83D6-38C72E8143D6}"/>
    <cellStyle name="Comma 4 2 2 4 5 3" xfId="6259" xr:uid="{00000000-0005-0000-0000-00003A080000}"/>
    <cellStyle name="Comma 4 2 2 4 5 3 2" xfId="15585" xr:uid="{3DC1CDF9-0632-4031-82D4-A3418479B528}"/>
    <cellStyle name="Comma 4 2 2 4 5 3 3" xfId="24032" xr:uid="{A9A279D9-64DD-4174-B0DF-18FD954CA92E}"/>
    <cellStyle name="Comma 4 2 2 4 5 3 4" xfId="32479" xr:uid="{6DF88258-3BC2-4D2E-8E96-BF2DEA71ADAF}"/>
    <cellStyle name="Comma 4 2 2 4 5 4" xfId="11368" xr:uid="{3A149815-7A3E-44E8-941F-80F46F7BF32F}"/>
    <cellStyle name="Comma 4 2 2 4 5 5" xfId="19815" xr:uid="{10B950F4-D8B2-4F31-AF08-6E2D1ACEA6A6}"/>
    <cellStyle name="Comma 4 2 2 4 5 6" xfId="28262" xr:uid="{0F331444-1B26-4019-AF0A-A89A57BF7176}"/>
    <cellStyle name="Comma 4 2 2 4 6" xfId="2388" xr:uid="{00000000-0005-0000-0000-00003B080000}"/>
    <cellStyle name="Comma 4 2 2 4 6 2" xfId="6672" xr:uid="{00000000-0005-0000-0000-00003C080000}"/>
    <cellStyle name="Comma 4 2 2 4 6 2 2" xfId="15998" xr:uid="{C2BD0374-CF21-4950-A4F6-86518801AD27}"/>
    <cellStyle name="Comma 4 2 2 4 6 2 3" xfId="24445" xr:uid="{855A94D7-E64D-4687-B95A-46E501C04630}"/>
    <cellStyle name="Comma 4 2 2 4 6 2 4" xfId="32892" xr:uid="{89CF9586-A10D-4492-A15A-6B72D8519F20}"/>
    <cellStyle name="Comma 4 2 2 4 6 3" xfId="11781" xr:uid="{B94438E1-FB7A-447D-85C3-D77FB34E41C5}"/>
    <cellStyle name="Comma 4 2 2 4 6 4" xfId="20228" xr:uid="{EDEAAEE4-162B-4D02-B826-899DC8CB696F}"/>
    <cellStyle name="Comma 4 2 2 4 6 5" xfId="28675" xr:uid="{30C44898-B63E-4A17-BCAE-00B23597D68E}"/>
    <cellStyle name="Comma 4 2 2 4 7" xfId="2375" xr:uid="{00000000-0005-0000-0000-00003D080000}"/>
    <cellStyle name="Comma 4 2 2 4 8" xfId="2766" xr:uid="{00000000-0005-0000-0000-00003E080000}"/>
    <cellStyle name="Comma 4 2 2 4 8 2" xfId="6989" xr:uid="{00000000-0005-0000-0000-00003F080000}"/>
    <cellStyle name="Comma 4 2 2 4 8 2 2" xfId="16315" xr:uid="{CE168877-F83A-45B5-81EC-07ED2F104984}"/>
    <cellStyle name="Comma 4 2 2 4 8 2 3" xfId="24762" xr:uid="{9B929B43-B66B-4EE0-892A-D731FFE84AED}"/>
    <cellStyle name="Comma 4 2 2 4 8 2 4" xfId="33209" xr:uid="{3E72956D-9DEB-46CC-B4D4-7969008527DF}"/>
    <cellStyle name="Comma 4 2 2 4 8 3" xfId="12098" xr:uid="{5C271DFE-B3BE-49DB-817A-2451D74C32F4}"/>
    <cellStyle name="Comma 4 2 2 4 8 4" xfId="20545" xr:uid="{17DD7794-1290-4AC0-9B1B-C3FD9341FA72}"/>
    <cellStyle name="Comma 4 2 2 4 8 5" xfId="28992" xr:uid="{CA08E965-1963-4E1A-A7B4-361224307EB9}"/>
    <cellStyle name="Comma 4 2 2 4 9" xfId="4606" xr:uid="{00000000-0005-0000-0000-000040080000}"/>
    <cellStyle name="Comma 4 2 2 4 9 2" xfId="13932" xr:uid="{17A094DC-EE43-4DD0-9CC1-B1083B1B0DF2}"/>
    <cellStyle name="Comma 4 2 2 4 9 3" xfId="22379" xr:uid="{3BB457CB-DCA2-44FD-AFB4-3DDE2F9429FF}"/>
    <cellStyle name="Comma 4 2 2 4 9 4" xfId="30826" xr:uid="{13E111A2-30F3-4A01-BFB1-C14FA70254AD}"/>
    <cellStyle name="Comma 4 2 2 5" xfId="135" xr:uid="{00000000-0005-0000-0000-000041080000}"/>
    <cellStyle name="Comma 4 2 2 5 10" xfId="9210" xr:uid="{C1F9418B-EF96-4063-883D-A983E131C6A4}"/>
    <cellStyle name="Comma 4 2 2 5 11" xfId="9716" xr:uid="{B23A5D6A-53FF-4FB5-944F-13DF6EF37EBE}"/>
    <cellStyle name="Comma 4 2 2 5 12" xfId="18163" xr:uid="{C0D44E07-7875-41EB-A8AC-3BBF62984F74}"/>
    <cellStyle name="Comma 4 2 2 5 13" xfId="26610" xr:uid="{33C855A0-ED5C-47BE-9CC6-21258B45017F}"/>
    <cellStyle name="Comma 4 2 2 5 2" xfId="673" xr:uid="{00000000-0005-0000-0000-000042080000}"/>
    <cellStyle name="Comma 4 2 2 5 2 2" xfId="2944" xr:uid="{00000000-0005-0000-0000-000043080000}"/>
    <cellStyle name="Comma 4 2 2 5 2 2 2" xfId="7166" xr:uid="{00000000-0005-0000-0000-000044080000}"/>
    <cellStyle name="Comma 4 2 2 5 2 2 2 2" xfId="16492" xr:uid="{C35608C2-97ED-4393-8140-E862C0D38C8D}"/>
    <cellStyle name="Comma 4 2 2 5 2 2 2 3" xfId="24939" xr:uid="{2C1DFEE6-DC04-4C5E-A280-592F6F246732}"/>
    <cellStyle name="Comma 4 2 2 5 2 2 2 4" xfId="33386" xr:uid="{9E842FE0-0448-43A6-B874-E8251A649FDA}"/>
    <cellStyle name="Comma 4 2 2 5 2 2 3" xfId="12275" xr:uid="{C054555B-BCAF-4257-9ED5-C99BB7DF740F}"/>
    <cellStyle name="Comma 4 2 2 5 2 2 4" xfId="20722" xr:uid="{DD756947-79D2-4326-BE91-B58DA664AA48}"/>
    <cellStyle name="Comma 4 2 2 5 2 2 5" xfId="29169" xr:uid="{7BF3FE67-1A64-45B4-A36C-3FBA279E3AD0}"/>
    <cellStyle name="Comma 4 2 2 5 2 3" xfId="5021" xr:uid="{00000000-0005-0000-0000-000045080000}"/>
    <cellStyle name="Comma 4 2 2 5 2 3 2" xfId="14347" xr:uid="{0FBABFAE-D823-44C6-B1C1-11919F6F9456}"/>
    <cellStyle name="Comma 4 2 2 5 2 3 3" xfId="22794" xr:uid="{2F06AFF8-39C5-46C6-B892-4EB9167B1919}"/>
    <cellStyle name="Comma 4 2 2 5 2 3 4" xfId="31241" xr:uid="{9B925795-1020-404B-9C5F-2A813127285B}"/>
    <cellStyle name="Comma 4 2 2 5 2 4" xfId="9593" xr:uid="{3B41C66E-2108-4CBE-9776-211459781E55}"/>
    <cellStyle name="Comma 4 2 2 5 2 5" xfId="10130" xr:uid="{A17984AF-38A8-4C0D-8BBA-CB996D45E6B6}"/>
    <cellStyle name="Comma 4 2 2 5 2 6" xfId="18577" xr:uid="{D543C61B-B636-4D79-9D41-75E76B6C52E9}"/>
    <cellStyle name="Comma 4 2 2 5 2 7" xfId="27024" xr:uid="{4544A2B8-A0A5-421F-B89E-8E67856DD97E}"/>
    <cellStyle name="Comma 4 2 2 5 3" xfId="1126" xr:uid="{00000000-0005-0000-0000-000046080000}"/>
    <cellStyle name="Comma 4 2 2 5 3 2" xfId="3357" xr:uid="{00000000-0005-0000-0000-000047080000}"/>
    <cellStyle name="Comma 4 2 2 5 3 2 2" xfId="7579" xr:uid="{00000000-0005-0000-0000-000048080000}"/>
    <cellStyle name="Comma 4 2 2 5 3 2 2 2" xfId="16905" xr:uid="{91C4900C-DA45-47F4-BE9C-398B75440B67}"/>
    <cellStyle name="Comma 4 2 2 5 3 2 2 3" xfId="25352" xr:uid="{496AD117-FC0D-4EF5-ABED-5C8B0BDBF0D7}"/>
    <cellStyle name="Comma 4 2 2 5 3 2 2 4" xfId="33799" xr:uid="{CD074021-518A-4CD9-AD4B-10AAC3970FF7}"/>
    <cellStyle name="Comma 4 2 2 5 3 2 3" xfId="12688" xr:uid="{A9073947-1E56-4888-955A-73268DFE9591}"/>
    <cellStyle name="Comma 4 2 2 5 3 2 4" xfId="21135" xr:uid="{754FC1C4-4888-4B6D-9754-4180FB0EF317}"/>
    <cellStyle name="Comma 4 2 2 5 3 2 5" xfId="29582" xr:uid="{E93FCC8B-94D1-4760-B9C6-25887E18B027}"/>
    <cellStyle name="Comma 4 2 2 5 3 3" xfId="5434" xr:uid="{00000000-0005-0000-0000-000049080000}"/>
    <cellStyle name="Comma 4 2 2 5 3 3 2" xfId="14760" xr:uid="{1D983C6A-5477-45FF-998D-F2D20D2C1EFF}"/>
    <cellStyle name="Comma 4 2 2 5 3 3 3" xfId="23207" xr:uid="{DCC2F23F-94B0-4B7C-AF3B-2EF5697F5659}"/>
    <cellStyle name="Comma 4 2 2 5 3 3 4" xfId="31654" xr:uid="{5955FADF-DF52-4B73-B6FB-82157D2BDB90}"/>
    <cellStyle name="Comma 4 2 2 5 3 4" xfId="10543" xr:uid="{7034DE2F-560F-4F90-B12C-46EC0EFBB57C}"/>
    <cellStyle name="Comma 4 2 2 5 3 5" xfId="18990" xr:uid="{557C3662-243C-42AF-84E2-1892C509CBE9}"/>
    <cellStyle name="Comma 4 2 2 5 3 6" xfId="27437" xr:uid="{0E9239E4-FCA2-413E-B787-0DAAFE827ECB}"/>
    <cellStyle name="Comma 4 2 2 5 4" xfId="1540" xr:uid="{00000000-0005-0000-0000-00004A080000}"/>
    <cellStyle name="Comma 4 2 2 5 4 2" xfId="3770" xr:uid="{00000000-0005-0000-0000-00004B080000}"/>
    <cellStyle name="Comma 4 2 2 5 4 2 2" xfId="7992" xr:uid="{00000000-0005-0000-0000-00004C080000}"/>
    <cellStyle name="Comma 4 2 2 5 4 2 2 2" xfId="17318" xr:uid="{FF252B68-B585-401D-A57D-B606E83B277F}"/>
    <cellStyle name="Comma 4 2 2 5 4 2 2 3" xfId="25765" xr:uid="{30630400-1F64-464C-ABE2-FFF04FF678C3}"/>
    <cellStyle name="Comma 4 2 2 5 4 2 2 4" xfId="34212" xr:uid="{D5CDBDAE-B659-40CC-B4C7-93D02DECD137}"/>
    <cellStyle name="Comma 4 2 2 5 4 2 3" xfId="13101" xr:uid="{75A25D4B-DE5B-4288-B124-D8CBF3D55B13}"/>
    <cellStyle name="Comma 4 2 2 5 4 2 4" xfId="21548" xr:uid="{FD7FE13B-04D0-4404-80B7-79735ED37539}"/>
    <cellStyle name="Comma 4 2 2 5 4 2 5" xfId="29995" xr:uid="{77C6D6E8-0BAC-48BE-BFC2-090330B72304}"/>
    <cellStyle name="Comma 4 2 2 5 4 3" xfId="5847" xr:uid="{00000000-0005-0000-0000-00004D080000}"/>
    <cellStyle name="Comma 4 2 2 5 4 3 2" xfId="15173" xr:uid="{3AF43CBD-2D87-4249-AB67-2026574BD6E8}"/>
    <cellStyle name="Comma 4 2 2 5 4 3 3" xfId="23620" xr:uid="{66411B49-2F59-4063-B98C-A514AF928B80}"/>
    <cellStyle name="Comma 4 2 2 5 4 3 4" xfId="32067" xr:uid="{60140D5B-FB35-4678-8F57-DB6F505404D8}"/>
    <cellStyle name="Comma 4 2 2 5 4 4" xfId="10956" xr:uid="{F6BB4572-1A91-4310-B177-C855779F0466}"/>
    <cellStyle name="Comma 4 2 2 5 4 5" xfId="19403" xr:uid="{B57A79E6-F827-49B8-A57D-62E510777B6D}"/>
    <cellStyle name="Comma 4 2 2 5 4 6" xfId="27850" xr:uid="{A1C54E05-26DE-497F-A5A9-4365047E9F63}"/>
    <cellStyle name="Comma 4 2 2 5 5" xfId="1954" xr:uid="{00000000-0005-0000-0000-00004E080000}"/>
    <cellStyle name="Comma 4 2 2 5 5 2" xfId="4183" xr:uid="{00000000-0005-0000-0000-00004F080000}"/>
    <cellStyle name="Comma 4 2 2 5 5 2 2" xfId="8405" xr:uid="{00000000-0005-0000-0000-000050080000}"/>
    <cellStyle name="Comma 4 2 2 5 5 2 2 2" xfId="17731" xr:uid="{2E0FA110-8C3C-406F-97E0-817B04F27584}"/>
    <cellStyle name="Comma 4 2 2 5 5 2 2 3" xfId="26178" xr:uid="{D607BEDB-F28F-432B-99E4-FE9398C0512D}"/>
    <cellStyle name="Comma 4 2 2 5 5 2 2 4" xfId="34625" xr:uid="{39D4DD02-57DA-4127-BE2A-86D5DE1BF7A4}"/>
    <cellStyle name="Comma 4 2 2 5 5 2 3" xfId="13514" xr:uid="{6E637932-4715-4D17-A668-ECD0AD4B2666}"/>
    <cellStyle name="Comma 4 2 2 5 5 2 4" xfId="21961" xr:uid="{FF916039-74AC-4A39-BECB-0C7931FE92BF}"/>
    <cellStyle name="Comma 4 2 2 5 5 2 5" xfId="30408" xr:uid="{CAFC3B98-0AC8-412B-9148-290815A46AEE}"/>
    <cellStyle name="Comma 4 2 2 5 5 3" xfId="6260" xr:uid="{00000000-0005-0000-0000-000051080000}"/>
    <cellStyle name="Comma 4 2 2 5 5 3 2" xfId="15586" xr:uid="{1FC0DAAF-13EC-4223-89E0-C689F88BDE6C}"/>
    <cellStyle name="Comma 4 2 2 5 5 3 3" xfId="24033" xr:uid="{DBD7F994-9DB1-4336-BA1B-C1418E5CACB8}"/>
    <cellStyle name="Comma 4 2 2 5 5 3 4" xfId="32480" xr:uid="{1A32B8CE-9D3C-48EF-9931-93525825FD72}"/>
    <cellStyle name="Comma 4 2 2 5 5 4" xfId="11369" xr:uid="{B76E3817-1C7C-4A9D-8925-E1EC21CF565F}"/>
    <cellStyle name="Comma 4 2 2 5 5 5" xfId="19816" xr:uid="{6695F865-AFD2-4E42-9E35-5987ACA0522F}"/>
    <cellStyle name="Comma 4 2 2 5 5 6" xfId="28263" xr:uid="{DF8BFD01-5255-4322-8A19-18CD340F03B7}"/>
    <cellStyle name="Comma 4 2 2 5 6" xfId="2389" xr:uid="{00000000-0005-0000-0000-000052080000}"/>
    <cellStyle name="Comma 4 2 2 5 6 2" xfId="6673" xr:uid="{00000000-0005-0000-0000-000053080000}"/>
    <cellStyle name="Comma 4 2 2 5 6 2 2" xfId="15999" xr:uid="{F92C5079-7031-4973-84A7-ACBED9D160BA}"/>
    <cellStyle name="Comma 4 2 2 5 6 2 3" xfId="24446" xr:uid="{710F2BE4-DA57-46F3-8CEB-B7CFD5056A50}"/>
    <cellStyle name="Comma 4 2 2 5 6 2 4" xfId="32893" xr:uid="{0C5E65B8-93A5-417D-AB3B-88CEF39BC973}"/>
    <cellStyle name="Comma 4 2 2 5 6 3" xfId="11782" xr:uid="{46ADC0C0-82E0-49EB-90F8-46ECE6999476}"/>
    <cellStyle name="Comma 4 2 2 5 6 4" xfId="20229" xr:uid="{48B9D596-653E-46FE-BFB3-0DCE124AB5CA}"/>
    <cellStyle name="Comma 4 2 2 5 6 5" xfId="28676" xr:uid="{E1CA931B-5C0F-41CF-A1E6-414DC0FD6913}"/>
    <cellStyle name="Comma 4 2 2 5 7" xfId="2374" xr:uid="{00000000-0005-0000-0000-000054080000}"/>
    <cellStyle name="Comma 4 2 2 5 8" xfId="2767" xr:uid="{00000000-0005-0000-0000-000055080000}"/>
    <cellStyle name="Comma 4 2 2 5 8 2" xfId="6990" xr:uid="{00000000-0005-0000-0000-000056080000}"/>
    <cellStyle name="Comma 4 2 2 5 8 2 2" xfId="16316" xr:uid="{272611C1-7771-4CE5-ADA8-DEAC5EB713A9}"/>
    <cellStyle name="Comma 4 2 2 5 8 2 3" xfId="24763" xr:uid="{CDF900DE-E2F8-4CB2-8361-48DF47A7DED2}"/>
    <cellStyle name="Comma 4 2 2 5 8 2 4" xfId="33210" xr:uid="{5BA6A0B1-30F8-4634-B7E1-73F186A90FA1}"/>
    <cellStyle name="Comma 4 2 2 5 8 3" xfId="12099" xr:uid="{CC884060-62B3-4EFF-A6E4-E630996194A6}"/>
    <cellStyle name="Comma 4 2 2 5 8 4" xfId="20546" xr:uid="{5612C5DD-23F1-42B4-A861-A81BF5EA4159}"/>
    <cellStyle name="Comma 4 2 2 5 8 5" xfId="28993" xr:uid="{5BEBF23B-E887-46BC-A4A2-5EE05B7E8FF2}"/>
    <cellStyle name="Comma 4 2 2 5 9" xfId="4607" xr:uid="{00000000-0005-0000-0000-000057080000}"/>
    <cellStyle name="Comma 4 2 2 5 9 2" xfId="13933" xr:uid="{726AA66D-71AF-4A8F-BAAC-E2E5A5593DC0}"/>
    <cellStyle name="Comma 4 2 2 5 9 3" xfId="22380" xr:uid="{91F2871D-E860-41F8-97B4-26E5EA56B4D3}"/>
    <cellStyle name="Comma 4 2 2 5 9 4" xfId="30827" xr:uid="{9CA51839-B398-4A0F-9772-C1FA6D530631}"/>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0 2 2" xfId="16317" xr:uid="{D5D7D988-8201-48FF-A08C-F2F0CC0C3436}"/>
    <cellStyle name="Comma 4 2 3 10 2 3" xfId="24764" xr:uid="{17EEA6B6-2C74-4CEC-B917-C4F307518595}"/>
    <cellStyle name="Comma 4 2 3 10 2 4" xfId="33211" xr:uid="{8A6C3B7F-8C04-4A41-BACE-781428B10441}"/>
    <cellStyle name="Comma 4 2 3 10 3" xfId="12100" xr:uid="{70034062-643A-453D-82FF-40B808CBD3FA}"/>
    <cellStyle name="Comma 4 2 3 10 4" xfId="20547" xr:uid="{CFFBF9C2-FB5F-48C3-80ED-66ABCD317216}"/>
    <cellStyle name="Comma 4 2 3 10 5" xfId="28994" xr:uid="{58DAC900-8AE2-4FB8-A6F6-63A0B7CBEFF7}"/>
    <cellStyle name="Comma 4 2 3 11" xfId="4608" xr:uid="{00000000-0005-0000-0000-00005B080000}"/>
    <cellStyle name="Comma 4 2 3 11 2" xfId="13934" xr:uid="{583E2E30-DA0D-4037-B883-CE6861661913}"/>
    <cellStyle name="Comma 4 2 3 11 3" xfId="22381" xr:uid="{6004A9BC-AC19-4F90-902F-487B6AC5BCAD}"/>
    <cellStyle name="Comma 4 2 3 11 4" xfId="30828" xr:uid="{3741AF70-0553-4825-AB87-76B59EDEE1CF}"/>
    <cellStyle name="Comma 4 2 3 12" xfId="8805" xr:uid="{C45527F6-07B7-4887-BAF3-A6424444BA3B}"/>
    <cellStyle name="Comma 4 2 3 13" xfId="9717" xr:uid="{B3A762A5-B31B-46C8-ACC9-065F637B23C5}"/>
    <cellStyle name="Comma 4 2 3 14" xfId="18164" xr:uid="{C6F03E39-74FD-4A37-ADF9-9BE33B2D3A4C}"/>
    <cellStyle name="Comma 4 2 3 15" xfId="26611" xr:uid="{3DBA7387-C659-44BC-B1FD-9BEB83BB523A}"/>
    <cellStyle name="Comma 4 2 3 2" xfId="137" xr:uid="{00000000-0005-0000-0000-00005C080000}"/>
    <cellStyle name="Comma 4 2 3 2 10" xfId="4609" xr:uid="{00000000-0005-0000-0000-00005D080000}"/>
    <cellStyle name="Comma 4 2 3 2 10 2" xfId="13935" xr:uid="{9ED8BCCE-9A12-4EFB-8659-3A4260DD944A}"/>
    <cellStyle name="Comma 4 2 3 2 10 3" xfId="22382" xr:uid="{E3BD521E-300B-4F6C-B2A8-4D81E65408EA}"/>
    <cellStyle name="Comma 4 2 3 2 10 4" xfId="30829" xr:uid="{6F90EEDC-C897-4E4B-A75A-8E3D9924B8E9}"/>
    <cellStyle name="Comma 4 2 3 2 11" xfId="8908" xr:uid="{E7021C11-E6EB-4392-A0AD-2A78F42B4BB7}"/>
    <cellStyle name="Comma 4 2 3 2 12" xfId="9718" xr:uid="{3AC922AB-2B2C-4200-B934-6B164A7370A0}"/>
    <cellStyle name="Comma 4 2 3 2 13" xfId="18165" xr:uid="{37F52E0E-E296-4332-B01E-E1693CDA2697}"/>
    <cellStyle name="Comma 4 2 3 2 14" xfId="26612" xr:uid="{3FF0C03D-2395-48E2-A7D6-30A8F1955893}"/>
    <cellStyle name="Comma 4 2 3 2 2" xfId="138" xr:uid="{00000000-0005-0000-0000-00005E080000}"/>
    <cellStyle name="Comma 4 2 3 2 2 10" xfId="9115" xr:uid="{1A31CCC4-B2C0-4E0C-B714-855521500FE8}"/>
    <cellStyle name="Comma 4 2 3 2 2 11" xfId="9719" xr:uid="{39B0D4E7-34BA-414E-9213-08C7399FC5ED}"/>
    <cellStyle name="Comma 4 2 3 2 2 12" xfId="18166" xr:uid="{CD0187E0-4BDB-4BEA-B6D9-E0B7F83D2C71}"/>
    <cellStyle name="Comma 4 2 3 2 2 13" xfId="26613" xr:uid="{6EF50FCC-D23C-4676-BEF7-5B1A257477A7}"/>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16495" xr:uid="{1BD8D029-E5F9-4D46-A952-169F475CC7C0}"/>
    <cellStyle name="Comma 4 2 3 2 2 2 2 2 3" xfId="24942" xr:uid="{BF1658E8-575F-4E73-A00F-ED8E9E891651}"/>
    <cellStyle name="Comma 4 2 3 2 2 2 2 2 4" xfId="33389" xr:uid="{CBCB16A8-56C1-4767-94DF-2CB0825D0DA0}"/>
    <cellStyle name="Comma 4 2 3 2 2 2 2 3" xfId="12278" xr:uid="{D8784BF2-7784-4AF5-AA30-EDCD7665237E}"/>
    <cellStyle name="Comma 4 2 3 2 2 2 2 4" xfId="20725" xr:uid="{DDEC2649-AB03-427E-A0EB-BBA01F45954A}"/>
    <cellStyle name="Comma 4 2 3 2 2 2 2 5" xfId="29172" xr:uid="{07D06C6F-0747-41F9-B724-593E2FC3E750}"/>
    <cellStyle name="Comma 4 2 3 2 2 2 3" xfId="5024" xr:uid="{00000000-0005-0000-0000-000062080000}"/>
    <cellStyle name="Comma 4 2 3 2 2 2 3 2" xfId="14350" xr:uid="{C16297B1-C6F5-4ED9-82AE-F53979656F61}"/>
    <cellStyle name="Comma 4 2 3 2 2 2 3 3" xfId="22797" xr:uid="{B574B495-0ACC-4F7F-A9A4-2D580186DBF0}"/>
    <cellStyle name="Comma 4 2 3 2 2 2 3 4" xfId="31244" xr:uid="{8F9ECE29-20A6-41AF-BB31-9701201722D1}"/>
    <cellStyle name="Comma 4 2 3 2 2 2 4" xfId="9540" xr:uid="{F922DD27-FEAE-4DB6-894F-26CD58815668}"/>
    <cellStyle name="Comma 4 2 3 2 2 2 5" xfId="10133" xr:uid="{E212AABE-DA9D-4014-80EC-92E402410DA2}"/>
    <cellStyle name="Comma 4 2 3 2 2 2 6" xfId="18580" xr:uid="{35676276-40B8-4AF2-816B-B757451D73E9}"/>
    <cellStyle name="Comma 4 2 3 2 2 2 7" xfId="27027" xr:uid="{172170C2-E009-44BF-B63E-5F5E92E18612}"/>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16908" xr:uid="{86F73F85-5D42-481C-84CC-B3BCA633DD29}"/>
    <cellStyle name="Comma 4 2 3 2 2 3 2 2 3" xfId="25355" xr:uid="{F0CAD778-44F1-48ED-A17A-F234C6586840}"/>
    <cellStyle name="Comma 4 2 3 2 2 3 2 2 4" xfId="33802" xr:uid="{51423926-4D5F-4DC8-8738-C251AFCB4E08}"/>
    <cellStyle name="Comma 4 2 3 2 2 3 2 3" xfId="12691" xr:uid="{EC3E83EA-085A-47E9-A2B8-50168759D235}"/>
    <cellStyle name="Comma 4 2 3 2 2 3 2 4" xfId="21138" xr:uid="{BBED4190-A2F2-4E46-B928-5AF19DC4110C}"/>
    <cellStyle name="Comma 4 2 3 2 2 3 2 5" xfId="29585" xr:uid="{1982C7A4-4BE8-4933-BC15-E809275840AB}"/>
    <cellStyle name="Comma 4 2 3 2 2 3 3" xfId="5437" xr:uid="{00000000-0005-0000-0000-000066080000}"/>
    <cellStyle name="Comma 4 2 3 2 2 3 3 2" xfId="14763" xr:uid="{C7A64739-CED4-4C35-932B-07031678C382}"/>
    <cellStyle name="Comma 4 2 3 2 2 3 3 3" xfId="23210" xr:uid="{7891B4E4-0DE7-4404-9401-6CD49AFB4D0B}"/>
    <cellStyle name="Comma 4 2 3 2 2 3 3 4" xfId="31657" xr:uid="{A5249E42-4208-4474-BE07-637B4EE1487B}"/>
    <cellStyle name="Comma 4 2 3 2 2 3 4" xfId="10546" xr:uid="{B39BD18F-5701-435B-B8C9-5883EDFFE487}"/>
    <cellStyle name="Comma 4 2 3 2 2 3 5" xfId="18993" xr:uid="{CD01EA2A-BAB9-4F84-9F81-232AE4FB6686}"/>
    <cellStyle name="Comma 4 2 3 2 2 3 6" xfId="27440" xr:uid="{8DB8700D-31F6-486D-8FD9-57C9ABED79C1}"/>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17321" xr:uid="{27828CE0-8D8D-4A77-B1CC-8070BFFF8601}"/>
    <cellStyle name="Comma 4 2 3 2 2 4 2 2 3" xfId="25768" xr:uid="{54C3331B-8D10-41EC-B20A-69D884A4AAE4}"/>
    <cellStyle name="Comma 4 2 3 2 2 4 2 2 4" xfId="34215" xr:uid="{25DC082C-45EE-44C7-A239-00A670188B60}"/>
    <cellStyle name="Comma 4 2 3 2 2 4 2 3" xfId="13104" xr:uid="{E21DC710-EF59-409A-88F4-B600D27CC589}"/>
    <cellStyle name="Comma 4 2 3 2 2 4 2 4" xfId="21551" xr:uid="{7870BBE8-13FA-4CEE-ACAF-897F51AB780C}"/>
    <cellStyle name="Comma 4 2 3 2 2 4 2 5" xfId="29998" xr:uid="{A8CBE79D-833E-4349-9E89-6EA8F3DD1168}"/>
    <cellStyle name="Comma 4 2 3 2 2 4 3" xfId="5850" xr:uid="{00000000-0005-0000-0000-00006A080000}"/>
    <cellStyle name="Comma 4 2 3 2 2 4 3 2" xfId="15176" xr:uid="{7AD38854-7B66-4C0B-BCE8-2D452235521E}"/>
    <cellStyle name="Comma 4 2 3 2 2 4 3 3" xfId="23623" xr:uid="{7424A524-C43E-43B4-8FC4-1FEC9966773B}"/>
    <cellStyle name="Comma 4 2 3 2 2 4 3 4" xfId="32070" xr:uid="{7E9EAD2E-84BF-439B-86B6-DC533ADDDA24}"/>
    <cellStyle name="Comma 4 2 3 2 2 4 4" xfId="10959" xr:uid="{209FB7E1-3A1A-44FA-83BC-7781DFA33F08}"/>
    <cellStyle name="Comma 4 2 3 2 2 4 5" xfId="19406" xr:uid="{0D945D4E-6707-4D4C-B1CF-ED232A4D0194}"/>
    <cellStyle name="Comma 4 2 3 2 2 4 6" xfId="27853" xr:uid="{0476317A-4E68-4949-BE55-873853B9F0C0}"/>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17734" xr:uid="{D9D83084-DF20-453E-A4AD-074CE5FC85EB}"/>
    <cellStyle name="Comma 4 2 3 2 2 5 2 2 3" xfId="26181" xr:uid="{11945139-8D63-4402-BEF0-CE3FC1E4278F}"/>
    <cellStyle name="Comma 4 2 3 2 2 5 2 2 4" xfId="34628" xr:uid="{42374492-71BB-45C1-8746-6ED339AB4FBD}"/>
    <cellStyle name="Comma 4 2 3 2 2 5 2 3" xfId="13517" xr:uid="{DB45590B-63B2-45B1-81CF-DAC7CB09C121}"/>
    <cellStyle name="Comma 4 2 3 2 2 5 2 4" xfId="21964" xr:uid="{97443445-4A6A-4D4B-934F-FA1A1B22B469}"/>
    <cellStyle name="Comma 4 2 3 2 2 5 2 5" xfId="30411" xr:uid="{316DB8C9-7EDE-48A0-A201-A9EB704D3F5C}"/>
    <cellStyle name="Comma 4 2 3 2 2 5 3" xfId="6263" xr:uid="{00000000-0005-0000-0000-00006E080000}"/>
    <cellStyle name="Comma 4 2 3 2 2 5 3 2" xfId="15589" xr:uid="{0CCDF399-B765-4681-8E40-20413C7587A3}"/>
    <cellStyle name="Comma 4 2 3 2 2 5 3 3" xfId="24036" xr:uid="{B6F90548-3F46-4443-A92B-42773F867F78}"/>
    <cellStyle name="Comma 4 2 3 2 2 5 3 4" xfId="32483" xr:uid="{1F6EC5B4-EDB3-4C60-9F7E-4710605FCB76}"/>
    <cellStyle name="Comma 4 2 3 2 2 5 4" xfId="11372" xr:uid="{B370DAC0-D746-4EDD-91E0-252FFE42590D}"/>
    <cellStyle name="Comma 4 2 3 2 2 5 5" xfId="19819" xr:uid="{2EF283AC-42FB-42EB-97E8-535D325726D8}"/>
    <cellStyle name="Comma 4 2 3 2 2 5 6" xfId="28266" xr:uid="{0F16615C-1DAA-480B-A1B0-995458B0B2D3}"/>
    <cellStyle name="Comma 4 2 3 2 2 6" xfId="2392" xr:uid="{00000000-0005-0000-0000-00006F080000}"/>
    <cellStyle name="Comma 4 2 3 2 2 6 2" xfId="6676" xr:uid="{00000000-0005-0000-0000-000070080000}"/>
    <cellStyle name="Comma 4 2 3 2 2 6 2 2" xfId="16002" xr:uid="{63B06907-C002-40B9-B355-D32BD32B22D2}"/>
    <cellStyle name="Comma 4 2 3 2 2 6 2 3" xfId="24449" xr:uid="{34B839DB-A87E-4028-A003-4DBECC1F55CA}"/>
    <cellStyle name="Comma 4 2 3 2 2 6 2 4" xfId="32896" xr:uid="{D853A5B4-F1FC-470E-A776-43DD9E31425B}"/>
    <cellStyle name="Comma 4 2 3 2 2 6 3" xfId="11785" xr:uid="{75D95B01-E62C-42B9-B765-288BCF5DBBDB}"/>
    <cellStyle name="Comma 4 2 3 2 2 6 4" xfId="20232" xr:uid="{1612DD90-1503-42FC-ACBB-E042C0D77BBF}"/>
    <cellStyle name="Comma 4 2 3 2 2 6 5" xfId="28679" xr:uid="{578738D4-DEE9-4C94-9F44-6162B7A042F3}"/>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16319" xr:uid="{3C407278-D045-48B6-8845-7D186C6D17D7}"/>
    <cellStyle name="Comma 4 2 3 2 2 8 2 3" xfId="24766" xr:uid="{DFC664AC-31B9-47CA-8897-D80B9F74E70E}"/>
    <cellStyle name="Comma 4 2 3 2 2 8 2 4" xfId="33213" xr:uid="{B938B390-85C4-43AA-A1A6-CAC9073F139F}"/>
    <cellStyle name="Comma 4 2 3 2 2 8 3" xfId="12102" xr:uid="{965C36F3-08FE-45BE-83B5-43AF226562B1}"/>
    <cellStyle name="Comma 4 2 3 2 2 8 4" xfId="20549" xr:uid="{01ED8F96-F43D-4D05-B93A-2D39A95EC0C4}"/>
    <cellStyle name="Comma 4 2 3 2 2 8 5" xfId="28996" xr:uid="{475F5FF7-3F2A-4FD8-94A8-87DD751288D2}"/>
    <cellStyle name="Comma 4 2 3 2 2 9" xfId="4610" xr:uid="{00000000-0005-0000-0000-000074080000}"/>
    <cellStyle name="Comma 4 2 3 2 2 9 2" xfId="13936" xr:uid="{9976D7DE-2761-40DE-9876-C51922CEC799}"/>
    <cellStyle name="Comma 4 2 3 2 2 9 3" xfId="22383" xr:uid="{88B478E7-173F-4C7B-A6D2-83DC019E1D43}"/>
    <cellStyle name="Comma 4 2 3 2 2 9 4" xfId="30830" xr:uid="{707825A3-0F8A-4AD9-8F22-D8115983AAEA}"/>
    <cellStyle name="Comma 4 2 3 2 3" xfId="675" xr:uid="{00000000-0005-0000-0000-000075080000}"/>
    <cellStyle name="Comma 4 2 3 2 3 2" xfId="2946" xr:uid="{00000000-0005-0000-0000-000076080000}"/>
    <cellStyle name="Comma 4 2 3 2 3 2 2" xfId="7168" xr:uid="{00000000-0005-0000-0000-000077080000}"/>
    <cellStyle name="Comma 4 2 3 2 3 2 2 2" xfId="16494" xr:uid="{5A0BAF00-638F-4BF2-ADD7-DA166AD8C8B0}"/>
    <cellStyle name="Comma 4 2 3 2 3 2 2 3" xfId="24941" xr:uid="{0EA4223E-14F1-4FEF-A3C7-663C73D2D491}"/>
    <cellStyle name="Comma 4 2 3 2 3 2 2 4" xfId="33388" xr:uid="{CA6CFDF7-50A4-4876-BE18-9970E31D830E}"/>
    <cellStyle name="Comma 4 2 3 2 3 2 3" xfId="12277" xr:uid="{66467BEE-FAA0-474F-9FE7-E4068C9E33FC}"/>
    <cellStyle name="Comma 4 2 3 2 3 2 4" xfId="20724" xr:uid="{8619BF95-9D0F-4BB5-A403-CAE9447A4820}"/>
    <cellStyle name="Comma 4 2 3 2 3 2 5" xfId="29171" xr:uid="{AFBADD93-6AEB-4FB6-8E81-5050EE03BF1F}"/>
    <cellStyle name="Comma 4 2 3 2 3 3" xfId="5023" xr:uid="{00000000-0005-0000-0000-000078080000}"/>
    <cellStyle name="Comma 4 2 3 2 3 3 2" xfId="14349" xr:uid="{6059F77A-BBA9-4C33-8B13-A60C58430115}"/>
    <cellStyle name="Comma 4 2 3 2 3 3 3" xfId="22796" xr:uid="{399B9FAD-AAE5-4530-89E3-43E9B2BE0A87}"/>
    <cellStyle name="Comma 4 2 3 2 3 3 4" xfId="31243" xr:uid="{7664E863-901C-4868-93DB-97D185D99B98}"/>
    <cellStyle name="Comma 4 2 3 2 3 4" xfId="9333" xr:uid="{5C974796-1B06-4FA8-AB2A-F6B34628ACD4}"/>
    <cellStyle name="Comma 4 2 3 2 3 5" xfId="10132" xr:uid="{4EACF158-4BEB-439A-94E7-BEB4DB23867D}"/>
    <cellStyle name="Comma 4 2 3 2 3 6" xfId="18579" xr:uid="{6A1C6938-A876-4CE1-AEDB-CDD61F11F396}"/>
    <cellStyle name="Comma 4 2 3 2 3 7" xfId="27026" xr:uid="{88BF29C7-0C44-40D0-82E8-7D7CEE5F75D3}"/>
    <cellStyle name="Comma 4 2 3 2 4" xfId="1128" xr:uid="{00000000-0005-0000-0000-000079080000}"/>
    <cellStyle name="Comma 4 2 3 2 4 2" xfId="3359" xr:uid="{00000000-0005-0000-0000-00007A080000}"/>
    <cellStyle name="Comma 4 2 3 2 4 2 2" xfId="7581" xr:uid="{00000000-0005-0000-0000-00007B080000}"/>
    <cellStyle name="Comma 4 2 3 2 4 2 2 2" xfId="16907" xr:uid="{7D8C2049-F4D1-40CA-AF89-C26A484A9F54}"/>
    <cellStyle name="Comma 4 2 3 2 4 2 2 3" xfId="25354" xr:uid="{DB76D0B9-9E9F-4012-A987-C63FA73B5904}"/>
    <cellStyle name="Comma 4 2 3 2 4 2 2 4" xfId="33801" xr:uid="{2381D726-0837-42C0-9970-0CBD1A4CDC35}"/>
    <cellStyle name="Comma 4 2 3 2 4 2 3" xfId="12690" xr:uid="{CFBB930E-F335-4101-AF3E-2D1274F2B40B}"/>
    <cellStyle name="Comma 4 2 3 2 4 2 4" xfId="21137" xr:uid="{F04020C3-FB52-4741-886A-746F7586B59F}"/>
    <cellStyle name="Comma 4 2 3 2 4 2 5" xfId="29584" xr:uid="{E57F9A0C-31C1-4D80-9939-F1D343BF9632}"/>
    <cellStyle name="Comma 4 2 3 2 4 3" xfId="5436" xr:uid="{00000000-0005-0000-0000-00007C080000}"/>
    <cellStyle name="Comma 4 2 3 2 4 3 2" xfId="14762" xr:uid="{3B1068BA-1B5B-4A23-9922-946A7719497B}"/>
    <cellStyle name="Comma 4 2 3 2 4 3 3" xfId="23209" xr:uid="{5CECAAAA-134E-4E06-BCD3-0410ED1F53B6}"/>
    <cellStyle name="Comma 4 2 3 2 4 3 4" xfId="31656" xr:uid="{BC6C8EB5-6B1F-47C9-9D77-91695D2D089B}"/>
    <cellStyle name="Comma 4 2 3 2 4 4" xfId="10545" xr:uid="{957E9060-6D59-4A06-988C-334D48C464DB}"/>
    <cellStyle name="Comma 4 2 3 2 4 5" xfId="18992" xr:uid="{43228653-1E4F-4348-9029-7F1248042C18}"/>
    <cellStyle name="Comma 4 2 3 2 4 6" xfId="27439" xr:uid="{D4D4130E-137E-4423-A3DA-2419B5A8E78A}"/>
    <cellStyle name="Comma 4 2 3 2 5" xfId="1542" xr:uid="{00000000-0005-0000-0000-00007D080000}"/>
    <cellStyle name="Comma 4 2 3 2 5 2" xfId="3772" xr:uid="{00000000-0005-0000-0000-00007E080000}"/>
    <cellStyle name="Comma 4 2 3 2 5 2 2" xfId="7994" xr:uid="{00000000-0005-0000-0000-00007F080000}"/>
    <cellStyle name="Comma 4 2 3 2 5 2 2 2" xfId="17320" xr:uid="{3B8C3F6F-036D-4E8D-B617-46342163477D}"/>
    <cellStyle name="Comma 4 2 3 2 5 2 2 3" xfId="25767" xr:uid="{542F1CAF-0C2E-4770-83BC-31A0CCE2BBBE}"/>
    <cellStyle name="Comma 4 2 3 2 5 2 2 4" xfId="34214" xr:uid="{3C5A2BC7-39C6-4FA0-80B8-A312A221A06B}"/>
    <cellStyle name="Comma 4 2 3 2 5 2 3" xfId="13103" xr:uid="{70CC1C0B-5B59-46BB-8433-EF76255BF628}"/>
    <cellStyle name="Comma 4 2 3 2 5 2 4" xfId="21550" xr:uid="{1DD85536-1D6D-4C24-8343-3E06763F7414}"/>
    <cellStyle name="Comma 4 2 3 2 5 2 5" xfId="29997" xr:uid="{4A83C78C-F5AE-46BE-94BA-63337A6C3B4E}"/>
    <cellStyle name="Comma 4 2 3 2 5 3" xfId="5849" xr:uid="{00000000-0005-0000-0000-000080080000}"/>
    <cellStyle name="Comma 4 2 3 2 5 3 2" xfId="15175" xr:uid="{D562768E-F875-4D90-8AE9-98E02322803C}"/>
    <cellStyle name="Comma 4 2 3 2 5 3 3" xfId="23622" xr:uid="{90135F63-193B-401F-B2AC-F5F9E4FA1302}"/>
    <cellStyle name="Comma 4 2 3 2 5 3 4" xfId="32069" xr:uid="{F22A254E-5D11-4342-8F42-2D03A101C470}"/>
    <cellStyle name="Comma 4 2 3 2 5 4" xfId="10958" xr:uid="{5D5A8AB0-D88E-419A-8478-7F6F7E448BD8}"/>
    <cellStyle name="Comma 4 2 3 2 5 5" xfId="19405" xr:uid="{A45AAD25-BC05-4523-8956-5801AA43FF1B}"/>
    <cellStyle name="Comma 4 2 3 2 5 6" xfId="27852" xr:uid="{E0039FE0-FE8C-4A2D-A011-9678259A9592}"/>
    <cellStyle name="Comma 4 2 3 2 6" xfId="1956" xr:uid="{00000000-0005-0000-0000-000081080000}"/>
    <cellStyle name="Comma 4 2 3 2 6 2" xfId="4185" xr:uid="{00000000-0005-0000-0000-000082080000}"/>
    <cellStyle name="Comma 4 2 3 2 6 2 2" xfId="8407" xr:uid="{00000000-0005-0000-0000-000083080000}"/>
    <cellStyle name="Comma 4 2 3 2 6 2 2 2" xfId="17733" xr:uid="{A648708F-D4B7-458A-BDDF-321A68D460AB}"/>
    <cellStyle name="Comma 4 2 3 2 6 2 2 3" xfId="26180" xr:uid="{1D67A990-CE5C-4D27-880E-211880EC565B}"/>
    <cellStyle name="Comma 4 2 3 2 6 2 2 4" xfId="34627" xr:uid="{CE650AD7-E8EC-4615-BE85-7FFFDA327334}"/>
    <cellStyle name="Comma 4 2 3 2 6 2 3" xfId="13516" xr:uid="{2A59EA52-1136-448F-9545-4B65C0DB738A}"/>
    <cellStyle name="Comma 4 2 3 2 6 2 4" xfId="21963" xr:uid="{A6AAA553-6084-46D6-9B72-42D294E5C47D}"/>
    <cellStyle name="Comma 4 2 3 2 6 2 5" xfId="30410" xr:uid="{76BA4AFD-551C-4991-B87D-DB67254FD9F7}"/>
    <cellStyle name="Comma 4 2 3 2 6 3" xfId="6262" xr:uid="{00000000-0005-0000-0000-000084080000}"/>
    <cellStyle name="Comma 4 2 3 2 6 3 2" xfId="15588" xr:uid="{A2B7F1EF-1914-4B2C-A57E-ACF727BF320D}"/>
    <cellStyle name="Comma 4 2 3 2 6 3 3" xfId="24035" xr:uid="{3C755DBE-0B62-4ED2-9907-39C7F4F7305F}"/>
    <cellStyle name="Comma 4 2 3 2 6 3 4" xfId="32482" xr:uid="{53CF6961-1755-4C67-816A-6B783DCBF7ED}"/>
    <cellStyle name="Comma 4 2 3 2 6 4" xfId="11371" xr:uid="{865F55BE-2E4C-47D7-9759-A1901C9F9C8C}"/>
    <cellStyle name="Comma 4 2 3 2 6 5" xfId="19818" xr:uid="{E73B86EC-F398-4BB6-9B48-2D25C0FBA47A}"/>
    <cellStyle name="Comma 4 2 3 2 6 6" xfId="28265" xr:uid="{E51C8E3C-CD85-4F0D-9E97-577A8EF8E642}"/>
    <cellStyle name="Comma 4 2 3 2 7" xfId="2391" xr:uid="{00000000-0005-0000-0000-000085080000}"/>
    <cellStyle name="Comma 4 2 3 2 7 2" xfId="6675" xr:uid="{00000000-0005-0000-0000-000086080000}"/>
    <cellStyle name="Comma 4 2 3 2 7 2 2" xfId="16001" xr:uid="{5113BFFC-5AD8-4A1C-AE74-2C41BD3780B8}"/>
    <cellStyle name="Comma 4 2 3 2 7 2 3" xfId="24448" xr:uid="{F0AD6118-1D40-4B4D-89CA-1764B83CCAEF}"/>
    <cellStyle name="Comma 4 2 3 2 7 2 4" xfId="32895" xr:uid="{44DCB880-3A9B-43D6-BD0A-C771DC922908}"/>
    <cellStyle name="Comma 4 2 3 2 7 3" xfId="11784" xr:uid="{89422D1F-362C-4E5D-AF62-F090C61AA396}"/>
    <cellStyle name="Comma 4 2 3 2 7 4" xfId="20231" xr:uid="{4A413DC5-F5F2-4C3E-990C-EA5FB5890515}"/>
    <cellStyle name="Comma 4 2 3 2 7 5" xfId="28678" xr:uid="{D622E9A2-D2D4-451A-98B7-6E7425D61DEA}"/>
    <cellStyle name="Comma 4 2 3 2 8" xfId="2372" xr:uid="{00000000-0005-0000-0000-000087080000}"/>
    <cellStyle name="Comma 4 2 3 2 9" xfId="2769" xr:uid="{00000000-0005-0000-0000-000088080000}"/>
    <cellStyle name="Comma 4 2 3 2 9 2" xfId="6992" xr:uid="{00000000-0005-0000-0000-000089080000}"/>
    <cellStyle name="Comma 4 2 3 2 9 2 2" xfId="16318" xr:uid="{691B173B-A6F3-4D0A-9F91-802420C76817}"/>
    <cellStyle name="Comma 4 2 3 2 9 2 3" xfId="24765" xr:uid="{0318952D-2A0C-49FB-9DB5-3B980996E124}"/>
    <cellStyle name="Comma 4 2 3 2 9 2 4" xfId="33212" xr:uid="{F584C72B-6181-4D23-8472-15F9D8A38D23}"/>
    <cellStyle name="Comma 4 2 3 2 9 3" xfId="12101" xr:uid="{AFE5C8B0-1F6C-4EAF-AB41-2D35775B40F0}"/>
    <cellStyle name="Comma 4 2 3 2 9 4" xfId="20548" xr:uid="{B1D98EE4-3F56-43FD-9C73-52E8A690F4BC}"/>
    <cellStyle name="Comma 4 2 3 2 9 5" xfId="28995" xr:uid="{96444020-48B1-4FEE-9009-2281E7E0C496}"/>
    <cellStyle name="Comma 4 2 3 3" xfId="139" xr:uid="{00000000-0005-0000-0000-00008A080000}"/>
    <cellStyle name="Comma 4 2 3 3 10" xfId="9012" xr:uid="{61C0F117-76A9-43CA-B381-88B2CFF6294C}"/>
    <cellStyle name="Comma 4 2 3 3 11" xfId="9720" xr:uid="{D4EAAAA6-3369-45EA-B058-4189D8CC50F9}"/>
    <cellStyle name="Comma 4 2 3 3 12" xfId="18167" xr:uid="{8463D047-3EBF-4156-B61C-397FA4C43221}"/>
    <cellStyle name="Comma 4 2 3 3 13" xfId="26614" xr:uid="{2E2E72DA-F97B-4331-902B-BD41350F552F}"/>
    <cellStyle name="Comma 4 2 3 3 2" xfId="677" xr:uid="{00000000-0005-0000-0000-00008B080000}"/>
    <cellStyle name="Comma 4 2 3 3 2 2" xfId="2948" xr:uid="{00000000-0005-0000-0000-00008C080000}"/>
    <cellStyle name="Comma 4 2 3 3 2 2 2" xfId="7170" xr:uid="{00000000-0005-0000-0000-00008D080000}"/>
    <cellStyle name="Comma 4 2 3 3 2 2 2 2" xfId="16496" xr:uid="{3AB9F838-E8C1-41C2-BE58-12C8361E3BA9}"/>
    <cellStyle name="Comma 4 2 3 3 2 2 2 3" xfId="24943" xr:uid="{70B9CCE7-EB18-4FB6-9841-DFE192249875}"/>
    <cellStyle name="Comma 4 2 3 3 2 2 2 4" xfId="33390" xr:uid="{94588340-2B94-4D61-94F0-21E68D9D836C}"/>
    <cellStyle name="Comma 4 2 3 3 2 2 3" xfId="12279" xr:uid="{EAF94973-4C3E-4305-9007-37131A257049}"/>
    <cellStyle name="Comma 4 2 3 3 2 2 4" xfId="20726" xr:uid="{A8F851E9-44A1-442E-8013-B34C672504B8}"/>
    <cellStyle name="Comma 4 2 3 3 2 2 5" xfId="29173" xr:uid="{163E782D-EE8D-4822-A7EA-DA2B0E9610F1}"/>
    <cellStyle name="Comma 4 2 3 3 2 3" xfId="5025" xr:uid="{00000000-0005-0000-0000-00008E080000}"/>
    <cellStyle name="Comma 4 2 3 3 2 3 2" xfId="14351" xr:uid="{72DA128F-4EE5-4EB2-8F43-8110AB8E06A0}"/>
    <cellStyle name="Comma 4 2 3 3 2 3 3" xfId="22798" xr:uid="{0F3D76CC-307A-4F8F-85CF-1DB27BD1B9B6}"/>
    <cellStyle name="Comma 4 2 3 3 2 3 4" xfId="31245" xr:uid="{06054135-5CCD-4BFD-A74D-9ABEB0E7960B}"/>
    <cellStyle name="Comma 4 2 3 3 2 4" xfId="9437" xr:uid="{35C6809B-E49F-4A7F-8CB1-650474E72B0A}"/>
    <cellStyle name="Comma 4 2 3 3 2 5" xfId="10134" xr:uid="{EF2E0A35-EFE0-4DCD-AC15-ACFBB0AE4F69}"/>
    <cellStyle name="Comma 4 2 3 3 2 6" xfId="18581" xr:uid="{FAFA52DB-584A-4259-88F7-C05E427785C7}"/>
    <cellStyle name="Comma 4 2 3 3 2 7" xfId="27028" xr:uid="{93BE0A86-85EC-4AF6-86F4-438BD009765F}"/>
    <cellStyle name="Comma 4 2 3 3 3" xfId="1130" xr:uid="{00000000-0005-0000-0000-00008F080000}"/>
    <cellStyle name="Comma 4 2 3 3 3 2" xfId="3361" xr:uid="{00000000-0005-0000-0000-000090080000}"/>
    <cellStyle name="Comma 4 2 3 3 3 2 2" xfId="7583" xr:uid="{00000000-0005-0000-0000-000091080000}"/>
    <cellStyle name="Comma 4 2 3 3 3 2 2 2" xfId="16909" xr:uid="{84FE7B18-6DDD-4247-BA43-EDDB2D7C41A1}"/>
    <cellStyle name="Comma 4 2 3 3 3 2 2 3" xfId="25356" xr:uid="{9CA3B05D-173E-4933-AEF4-9EB003667B13}"/>
    <cellStyle name="Comma 4 2 3 3 3 2 2 4" xfId="33803" xr:uid="{34A5740B-6422-448C-9588-40D26712A481}"/>
    <cellStyle name="Comma 4 2 3 3 3 2 3" xfId="12692" xr:uid="{23665026-ED54-42D7-927C-F8A1EE4FB88A}"/>
    <cellStyle name="Comma 4 2 3 3 3 2 4" xfId="21139" xr:uid="{B84A68B0-5D86-44F7-874C-2C715C94FF15}"/>
    <cellStyle name="Comma 4 2 3 3 3 2 5" xfId="29586" xr:uid="{EF6579EA-C99B-4C33-B885-8C8D4373763C}"/>
    <cellStyle name="Comma 4 2 3 3 3 3" xfId="5438" xr:uid="{00000000-0005-0000-0000-000092080000}"/>
    <cellStyle name="Comma 4 2 3 3 3 3 2" xfId="14764" xr:uid="{C46A089F-9A3A-44FF-AA61-7342AE8A6D8A}"/>
    <cellStyle name="Comma 4 2 3 3 3 3 3" xfId="23211" xr:uid="{D46F75EB-6630-4FA8-8707-D971D98B47D0}"/>
    <cellStyle name="Comma 4 2 3 3 3 3 4" xfId="31658" xr:uid="{1112BACB-1A34-4A79-8559-720AC0FB333C}"/>
    <cellStyle name="Comma 4 2 3 3 3 4" xfId="10547" xr:uid="{E7B54AE7-9711-4C86-A53C-C5DE36186782}"/>
    <cellStyle name="Comma 4 2 3 3 3 5" xfId="18994" xr:uid="{B0724D8A-B2E9-4CA8-B3E6-BA16AF9F0D75}"/>
    <cellStyle name="Comma 4 2 3 3 3 6" xfId="27441" xr:uid="{8297F3A8-8159-4E10-8319-3B72C5B019BD}"/>
    <cellStyle name="Comma 4 2 3 3 4" xfId="1544" xr:uid="{00000000-0005-0000-0000-000093080000}"/>
    <cellStyle name="Comma 4 2 3 3 4 2" xfId="3774" xr:uid="{00000000-0005-0000-0000-000094080000}"/>
    <cellStyle name="Comma 4 2 3 3 4 2 2" xfId="7996" xr:uid="{00000000-0005-0000-0000-000095080000}"/>
    <cellStyle name="Comma 4 2 3 3 4 2 2 2" xfId="17322" xr:uid="{310FA705-4389-44C0-A731-3709790D7CC4}"/>
    <cellStyle name="Comma 4 2 3 3 4 2 2 3" xfId="25769" xr:uid="{6DAD2679-0DD6-4A73-986B-241FDA1137AE}"/>
    <cellStyle name="Comma 4 2 3 3 4 2 2 4" xfId="34216" xr:uid="{AC731EC9-8DAD-4EA3-9785-2DF63723E608}"/>
    <cellStyle name="Comma 4 2 3 3 4 2 3" xfId="13105" xr:uid="{4E64C6A4-3C49-4399-8428-6E82307D3226}"/>
    <cellStyle name="Comma 4 2 3 3 4 2 4" xfId="21552" xr:uid="{B5D2DB21-5A68-437A-A346-A5DA495AE2CA}"/>
    <cellStyle name="Comma 4 2 3 3 4 2 5" xfId="29999" xr:uid="{04921E96-4BAD-430B-A586-DDEF133AAC4E}"/>
    <cellStyle name="Comma 4 2 3 3 4 3" xfId="5851" xr:uid="{00000000-0005-0000-0000-000096080000}"/>
    <cellStyle name="Comma 4 2 3 3 4 3 2" xfId="15177" xr:uid="{CA403F00-A643-4245-AD39-7256E244C0FE}"/>
    <cellStyle name="Comma 4 2 3 3 4 3 3" xfId="23624" xr:uid="{5ED1812B-B7FC-4659-9815-3E30A5CF9BBC}"/>
    <cellStyle name="Comma 4 2 3 3 4 3 4" xfId="32071" xr:uid="{3B69C692-9DF9-4D6B-BCAC-E1C01A53613E}"/>
    <cellStyle name="Comma 4 2 3 3 4 4" xfId="10960" xr:uid="{1FD84C84-12BC-48A4-838C-FC3A53507913}"/>
    <cellStyle name="Comma 4 2 3 3 4 5" xfId="19407" xr:uid="{9FA92F14-DC71-477A-9A1F-74D90F59F71B}"/>
    <cellStyle name="Comma 4 2 3 3 4 6" xfId="27854" xr:uid="{DA9275E0-8B07-4980-9BB4-14844013445E}"/>
    <cellStyle name="Comma 4 2 3 3 5" xfId="1958" xr:uid="{00000000-0005-0000-0000-000097080000}"/>
    <cellStyle name="Comma 4 2 3 3 5 2" xfId="4187" xr:uid="{00000000-0005-0000-0000-000098080000}"/>
    <cellStyle name="Comma 4 2 3 3 5 2 2" xfId="8409" xr:uid="{00000000-0005-0000-0000-000099080000}"/>
    <cellStyle name="Comma 4 2 3 3 5 2 2 2" xfId="17735" xr:uid="{A6C73AF8-7325-4F15-89A4-23B286FC5612}"/>
    <cellStyle name="Comma 4 2 3 3 5 2 2 3" xfId="26182" xr:uid="{76974E64-CAA7-448D-A126-AC4136336BDF}"/>
    <cellStyle name="Comma 4 2 3 3 5 2 2 4" xfId="34629" xr:uid="{AB78D81D-7D39-4502-8586-C97F3AD54394}"/>
    <cellStyle name="Comma 4 2 3 3 5 2 3" xfId="13518" xr:uid="{F4FFBCE1-C0AD-4D84-8F07-E2BD236845B8}"/>
    <cellStyle name="Comma 4 2 3 3 5 2 4" xfId="21965" xr:uid="{3DCBE2CA-0C01-4C9F-94A0-613CF94F5054}"/>
    <cellStyle name="Comma 4 2 3 3 5 2 5" xfId="30412" xr:uid="{E0C3F5C5-94DB-44B8-8F08-337CD7C1FB65}"/>
    <cellStyle name="Comma 4 2 3 3 5 3" xfId="6264" xr:uid="{00000000-0005-0000-0000-00009A080000}"/>
    <cellStyle name="Comma 4 2 3 3 5 3 2" xfId="15590" xr:uid="{30BFBAA4-1C84-4216-9A45-77970F5FA34C}"/>
    <cellStyle name="Comma 4 2 3 3 5 3 3" xfId="24037" xr:uid="{1E5D183A-7C53-4D0C-9AEF-A18A592CD7C0}"/>
    <cellStyle name="Comma 4 2 3 3 5 3 4" xfId="32484" xr:uid="{8F6B3A3C-8A1F-4514-8ADB-751B60DE7C20}"/>
    <cellStyle name="Comma 4 2 3 3 5 4" xfId="11373" xr:uid="{9C63C00E-0D3E-41B7-9E04-614D0CE14719}"/>
    <cellStyle name="Comma 4 2 3 3 5 5" xfId="19820" xr:uid="{CFE6B514-06E0-4054-A47B-61F65FBCA945}"/>
    <cellStyle name="Comma 4 2 3 3 5 6" xfId="28267" xr:uid="{C04874B8-2455-481F-AB9E-F956C37B5739}"/>
    <cellStyle name="Comma 4 2 3 3 6" xfId="2393" xr:uid="{00000000-0005-0000-0000-00009B080000}"/>
    <cellStyle name="Comma 4 2 3 3 6 2" xfId="6677" xr:uid="{00000000-0005-0000-0000-00009C080000}"/>
    <cellStyle name="Comma 4 2 3 3 6 2 2" xfId="16003" xr:uid="{EFBD4922-E365-4699-A39D-232F2B42A166}"/>
    <cellStyle name="Comma 4 2 3 3 6 2 3" xfId="24450" xr:uid="{34A8D1CB-EE20-4748-B0FB-08B5C49E49A5}"/>
    <cellStyle name="Comma 4 2 3 3 6 2 4" xfId="32897" xr:uid="{9437FFE7-0EC5-4EB5-859C-0342DA5C61AC}"/>
    <cellStyle name="Comma 4 2 3 3 6 3" xfId="11786" xr:uid="{D74655F4-0921-4EE2-B690-8425E9B9A192}"/>
    <cellStyle name="Comma 4 2 3 3 6 4" xfId="20233" xr:uid="{8FC690B3-B6EA-4777-98B5-20C05C60137C}"/>
    <cellStyle name="Comma 4 2 3 3 6 5" xfId="28680" xr:uid="{3D0F7503-C978-407F-8E1C-AD98EE08917A}"/>
    <cellStyle name="Comma 4 2 3 3 7" xfId="2370" xr:uid="{00000000-0005-0000-0000-00009D080000}"/>
    <cellStyle name="Comma 4 2 3 3 8" xfId="2771" xr:uid="{00000000-0005-0000-0000-00009E080000}"/>
    <cellStyle name="Comma 4 2 3 3 8 2" xfId="6994" xr:uid="{00000000-0005-0000-0000-00009F080000}"/>
    <cellStyle name="Comma 4 2 3 3 8 2 2" xfId="16320" xr:uid="{F7ED383D-3AA5-482E-BA87-D1BDCBB22DFE}"/>
    <cellStyle name="Comma 4 2 3 3 8 2 3" xfId="24767" xr:uid="{EB049679-9612-48E6-A85B-56CCF3D0A558}"/>
    <cellStyle name="Comma 4 2 3 3 8 2 4" xfId="33214" xr:uid="{5EC492C0-E38E-4C56-8F5D-0D7CA3DADF6E}"/>
    <cellStyle name="Comma 4 2 3 3 8 3" xfId="12103" xr:uid="{9027A630-4BFE-4EF8-9A61-C72C71580642}"/>
    <cellStyle name="Comma 4 2 3 3 8 4" xfId="20550" xr:uid="{E9CAE342-4203-41E3-82C4-AEE8C87D2274}"/>
    <cellStyle name="Comma 4 2 3 3 8 5" xfId="28997" xr:uid="{12215D0E-4B81-43DE-A373-B3C663563890}"/>
    <cellStyle name="Comma 4 2 3 3 9" xfId="4611" xr:uid="{00000000-0005-0000-0000-0000A0080000}"/>
    <cellStyle name="Comma 4 2 3 3 9 2" xfId="13937" xr:uid="{67F529A6-9729-455D-BE34-CCCE47BC2608}"/>
    <cellStyle name="Comma 4 2 3 3 9 3" xfId="22384" xr:uid="{ACEDB6F8-03E0-488F-832D-50F82774B019}"/>
    <cellStyle name="Comma 4 2 3 3 9 4" xfId="30831" xr:uid="{AB8D36AA-CDDC-45B9-B6BB-4BD13029CF3C}"/>
    <cellStyle name="Comma 4 2 3 4" xfId="674" xr:uid="{00000000-0005-0000-0000-0000A1080000}"/>
    <cellStyle name="Comma 4 2 3 4 2" xfId="2945" xr:uid="{00000000-0005-0000-0000-0000A2080000}"/>
    <cellStyle name="Comma 4 2 3 4 2 2" xfId="7167" xr:uid="{00000000-0005-0000-0000-0000A3080000}"/>
    <cellStyle name="Comma 4 2 3 4 2 2 2" xfId="16493" xr:uid="{1F4D19A0-9C22-488D-A560-2BED750D367B}"/>
    <cellStyle name="Comma 4 2 3 4 2 2 3" xfId="24940" xr:uid="{33EBC857-14B5-496C-ACE3-DD47D1ED0A42}"/>
    <cellStyle name="Comma 4 2 3 4 2 2 4" xfId="33387" xr:uid="{9FE5B9C5-3614-4A1F-AE55-4F9E154FEC4A}"/>
    <cellStyle name="Comma 4 2 3 4 2 3" xfId="12276" xr:uid="{A761FB0F-4167-4B5F-BFC1-DAD5B6B412AA}"/>
    <cellStyle name="Comma 4 2 3 4 2 4" xfId="20723" xr:uid="{87F61273-06B2-4168-ACA6-50A6EEF4924A}"/>
    <cellStyle name="Comma 4 2 3 4 2 5" xfId="29170" xr:uid="{8580CF71-8809-4B4E-9374-5570E662677F}"/>
    <cellStyle name="Comma 4 2 3 4 3" xfId="5022" xr:uid="{00000000-0005-0000-0000-0000A4080000}"/>
    <cellStyle name="Comma 4 2 3 4 3 2" xfId="14348" xr:uid="{CCB7DAB4-2F07-46D1-AA7A-C709FBA422EB}"/>
    <cellStyle name="Comma 4 2 3 4 3 3" xfId="22795" xr:uid="{D72564FC-7732-411B-B676-EA9FD73CA56A}"/>
    <cellStyle name="Comma 4 2 3 4 3 4" xfId="31242" xr:uid="{B8F1DA54-3C32-4CEE-B497-1773DF938CD2}"/>
    <cellStyle name="Comma 4 2 3 4 4" xfId="9230" xr:uid="{24B6B749-023F-4009-8785-C6CFE1098E24}"/>
    <cellStyle name="Comma 4 2 3 4 5" xfId="10131" xr:uid="{53EFA2F2-B20D-42DA-BF09-2D515DA0ECC0}"/>
    <cellStyle name="Comma 4 2 3 4 6" xfId="18578" xr:uid="{DD509F9B-0072-4043-A457-6D2A9AF6C705}"/>
    <cellStyle name="Comma 4 2 3 4 7" xfId="27025" xr:uid="{A55EF096-BB05-47FE-9BA4-5E3C10B2782F}"/>
    <cellStyle name="Comma 4 2 3 5" xfId="1127" xr:uid="{00000000-0005-0000-0000-0000A5080000}"/>
    <cellStyle name="Comma 4 2 3 5 2" xfId="3358" xr:uid="{00000000-0005-0000-0000-0000A6080000}"/>
    <cellStyle name="Comma 4 2 3 5 2 2" xfId="7580" xr:uid="{00000000-0005-0000-0000-0000A7080000}"/>
    <cellStyle name="Comma 4 2 3 5 2 2 2" xfId="16906" xr:uid="{1C1D0717-D875-4FCD-BD7E-AE6E346542B8}"/>
    <cellStyle name="Comma 4 2 3 5 2 2 3" xfId="25353" xr:uid="{77A0659A-ADB3-4723-9EFF-EB37F3975713}"/>
    <cellStyle name="Comma 4 2 3 5 2 2 4" xfId="33800" xr:uid="{2E12269F-7EC4-4CB9-9694-175B70759C84}"/>
    <cellStyle name="Comma 4 2 3 5 2 3" xfId="12689" xr:uid="{207BD98B-24B6-4FE9-89E2-D20CA9154ABC}"/>
    <cellStyle name="Comma 4 2 3 5 2 4" xfId="21136" xr:uid="{DCABDC42-D017-4142-BA11-A78E3710A55B}"/>
    <cellStyle name="Comma 4 2 3 5 2 5" xfId="29583" xr:uid="{98E66717-301E-47A8-9F36-643944AD9D93}"/>
    <cellStyle name="Comma 4 2 3 5 3" xfId="5435" xr:uid="{00000000-0005-0000-0000-0000A8080000}"/>
    <cellStyle name="Comma 4 2 3 5 3 2" xfId="14761" xr:uid="{524C5796-0E47-446C-B8B7-614B065CD513}"/>
    <cellStyle name="Comma 4 2 3 5 3 3" xfId="23208" xr:uid="{14963EB1-70AF-4FB5-86C7-E4B3977959FE}"/>
    <cellStyle name="Comma 4 2 3 5 3 4" xfId="31655" xr:uid="{BB6CD831-23DB-4693-B5D9-213FF22190DA}"/>
    <cellStyle name="Comma 4 2 3 5 4" xfId="10544" xr:uid="{91BD121E-9F00-4C98-92A2-C9EA1859E40B}"/>
    <cellStyle name="Comma 4 2 3 5 5" xfId="18991" xr:uid="{117A350D-2BA0-486B-A739-84E2C7A6272A}"/>
    <cellStyle name="Comma 4 2 3 5 6" xfId="27438" xr:uid="{C319379A-1756-40A2-A00C-23033352ED9D}"/>
    <cellStyle name="Comma 4 2 3 6" xfId="1541" xr:uid="{00000000-0005-0000-0000-0000A9080000}"/>
    <cellStyle name="Comma 4 2 3 6 2" xfId="3771" xr:uid="{00000000-0005-0000-0000-0000AA080000}"/>
    <cellStyle name="Comma 4 2 3 6 2 2" xfId="7993" xr:uid="{00000000-0005-0000-0000-0000AB080000}"/>
    <cellStyle name="Comma 4 2 3 6 2 2 2" xfId="17319" xr:uid="{23589637-2C21-4574-A12D-967AC530CEEE}"/>
    <cellStyle name="Comma 4 2 3 6 2 2 3" xfId="25766" xr:uid="{EAABC261-F6C6-4540-BC77-23DDC4061E57}"/>
    <cellStyle name="Comma 4 2 3 6 2 2 4" xfId="34213" xr:uid="{5B20B7EF-49A3-4D4D-A3A6-6609BBAEF45B}"/>
    <cellStyle name="Comma 4 2 3 6 2 3" xfId="13102" xr:uid="{1A59A019-7A00-4C82-B73D-817E51AA99F0}"/>
    <cellStyle name="Comma 4 2 3 6 2 4" xfId="21549" xr:uid="{614DB645-9A40-488C-A7F3-8B2CF58244E6}"/>
    <cellStyle name="Comma 4 2 3 6 2 5" xfId="29996" xr:uid="{2509099D-1EE2-4208-A444-0FD9D61D5F7F}"/>
    <cellStyle name="Comma 4 2 3 6 3" xfId="5848" xr:uid="{00000000-0005-0000-0000-0000AC080000}"/>
    <cellStyle name="Comma 4 2 3 6 3 2" xfId="15174" xr:uid="{C372C1E1-05CA-4348-A004-DF2ABF1186FF}"/>
    <cellStyle name="Comma 4 2 3 6 3 3" xfId="23621" xr:uid="{A30E944A-B800-4694-9E0A-EADE41858BCB}"/>
    <cellStyle name="Comma 4 2 3 6 3 4" xfId="32068" xr:uid="{51297D30-837A-46AC-960D-BE1C58B8EF98}"/>
    <cellStyle name="Comma 4 2 3 6 4" xfId="10957" xr:uid="{1A868066-1103-4BB7-89AC-9A717B6BF82D}"/>
    <cellStyle name="Comma 4 2 3 6 5" xfId="19404" xr:uid="{76255E02-A89C-405D-A7B5-A2689AB1B4EE}"/>
    <cellStyle name="Comma 4 2 3 6 6" xfId="27851" xr:uid="{A2FC6188-F708-4762-BF3E-9924ABAD122E}"/>
    <cellStyle name="Comma 4 2 3 7" xfId="1955" xr:uid="{00000000-0005-0000-0000-0000AD080000}"/>
    <cellStyle name="Comma 4 2 3 7 2" xfId="4184" xr:uid="{00000000-0005-0000-0000-0000AE080000}"/>
    <cellStyle name="Comma 4 2 3 7 2 2" xfId="8406" xr:uid="{00000000-0005-0000-0000-0000AF080000}"/>
    <cellStyle name="Comma 4 2 3 7 2 2 2" xfId="17732" xr:uid="{961938A0-FE83-4936-8D23-3A5B160E830E}"/>
    <cellStyle name="Comma 4 2 3 7 2 2 3" xfId="26179" xr:uid="{D7E3059B-BED6-48E4-B47F-286056A55059}"/>
    <cellStyle name="Comma 4 2 3 7 2 2 4" xfId="34626" xr:uid="{353484D7-F8A2-4DF1-8AF0-EE2E39CEC7CE}"/>
    <cellStyle name="Comma 4 2 3 7 2 3" xfId="13515" xr:uid="{EBC7BF76-A5FA-4B6E-8700-A1B5CF63E1C9}"/>
    <cellStyle name="Comma 4 2 3 7 2 4" xfId="21962" xr:uid="{54DA15F6-3767-44F3-A3B3-1635662EC4B9}"/>
    <cellStyle name="Comma 4 2 3 7 2 5" xfId="30409" xr:uid="{B615C199-E012-4E2A-AFC8-4B78291F7EDA}"/>
    <cellStyle name="Comma 4 2 3 7 3" xfId="6261" xr:uid="{00000000-0005-0000-0000-0000B0080000}"/>
    <cellStyle name="Comma 4 2 3 7 3 2" xfId="15587" xr:uid="{68D90B14-AAA2-4C2C-AEBC-34892C7D81A6}"/>
    <cellStyle name="Comma 4 2 3 7 3 3" xfId="24034" xr:uid="{CC71F8AA-B8E6-4BCF-B44E-1D57526DA978}"/>
    <cellStyle name="Comma 4 2 3 7 3 4" xfId="32481" xr:uid="{C77E1741-1782-49E4-A505-DF64104DE0B8}"/>
    <cellStyle name="Comma 4 2 3 7 4" xfId="11370" xr:uid="{09CC1790-6F80-4965-AFE4-089B7D1B3CFF}"/>
    <cellStyle name="Comma 4 2 3 7 5" xfId="19817" xr:uid="{D922CA42-48BD-45FB-B55C-DD768054CE58}"/>
    <cellStyle name="Comma 4 2 3 7 6" xfId="28264" xr:uid="{32D68F81-6657-436D-AA2B-99CDE4A28796}"/>
    <cellStyle name="Comma 4 2 3 8" xfId="2390" xr:uid="{00000000-0005-0000-0000-0000B1080000}"/>
    <cellStyle name="Comma 4 2 3 8 2" xfId="6674" xr:uid="{00000000-0005-0000-0000-0000B2080000}"/>
    <cellStyle name="Comma 4 2 3 8 2 2" xfId="16000" xr:uid="{B380587F-6C7E-4845-815C-47206F8D5284}"/>
    <cellStyle name="Comma 4 2 3 8 2 3" xfId="24447" xr:uid="{D818776E-344E-45D6-A681-FB055DC2CAB0}"/>
    <cellStyle name="Comma 4 2 3 8 2 4" xfId="32894" xr:uid="{4E3FEBAA-2C5A-42DB-98BA-F09998E38F24}"/>
    <cellStyle name="Comma 4 2 3 8 3" xfId="11783" xr:uid="{38618E33-76BA-4102-914E-0243EB05EDFA}"/>
    <cellStyle name="Comma 4 2 3 8 4" xfId="20230" xr:uid="{73EC2379-0D94-4CD9-A194-AF18F014A6AC}"/>
    <cellStyle name="Comma 4 2 3 8 5" xfId="28677" xr:uid="{5C6924E5-0D4D-4C37-8B13-B2B3F8B18211}"/>
    <cellStyle name="Comma 4 2 3 9" xfId="2373" xr:uid="{00000000-0005-0000-0000-0000B3080000}"/>
    <cellStyle name="Comma 4 2 4" xfId="140" xr:uid="{00000000-0005-0000-0000-0000B4080000}"/>
    <cellStyle name="Comma 4 2 4 10" xfId="4612" xr:uid="{00000000-0005-0000-0000-0000B5080000}"/>
    <cellStyle name="Comma 4 2 4 10 2" xfId="13938" xr:uid="{153736F9-C750-4A3C-A93D-CB233C82F7A9}"/>
    <cellStyle name="Comma 4 2 4 10 3" xfId="22385" xr:uid="{1125D5C7-93CF-4E8D-A0D2-4B492AEE82F8}"/>
    <cellStyle name="Comma 4 2 4 10 4" xfId="30832" xr:uid="{62A5BC72-5862-48F6-83F0-31E42BAC724B}"/>
    <cellStyle name="Comma 4 2 4 11" xfId="8858" xr:uid="{B6A00C95-D04C-44B2-B8AF-67540882256C}"/>
    <cellStyle name="Comma 4 2 4 12" xfId="9721" xr:uid="{7732D4B8-9225-4B81-A144-760C71A5636F}"/>
    <cellStyle name="Comma 4 2 4 13" xfId="18168" xr:uid="{C7C2FE76-82EF-4A4A-89F5-42EC4C60826B}"/>
    <cellStyle name="Comma 4 2 4 14" xfId="26615" xr:uid="{13B847B0-2A2F-4C11-806C-7740C04E6117}"/>
    <cellStyle name="Comma 4 2 4 2" xfId="141" xr:uid="{00000000-0005-0000-0000-0000B6080000}"/>
    <cellStyle name="Comma 4 2 4 2 10" xfId="9065" xr:uid="{961AA06A-D943-447E-AADB-49B440E7E7CE}"/>
    <cellStyle name="Comma 4 2 4 2 11" xfId="9722" xr:uid="{A3273432-1A41-4983-ADAC-A6B867D7CA63}"/>
    <cellStyle name="Comma 4 2 4 2 12" xfId="18169" xr:uid="{016239BD-E2BF-4DC0-B074-1B552B368D93}"/>
    <cellStyle name="Comma 4 2 4 2 13" xfId="26616" xr:uid="{DCCA2298-C55C-4E80-A5A6-5A73DFE4DD2D}"/>
    <cellStyle name="Comma 4 2 4 2 2" xfId="679" xr:uid="{00000000-0005-0000-0000-0000B7080000}"/>
    <cellStyle name="Comma 4 2 4 2 2 2" xfId="2950" xr:uid="{00000000-0005-0000-0000-0000B8080000}"/>
    <cellStyle name="Comma 4 2 4 2 2 2 2" xfId="7172" xr:uid="{00000000-0005-0000-0000-0000B9080000}"/>
    <cellStyle name="Comma 4 2 4 2 2 2 2 2" xfId="16498" xr:uid="{6A0F3312-11AD-4C8D-BC89-A77203084FFD}"/>
    <cellStyle name="Comma 4 2 4 2 2 2 2 3" xfId="24945" xr:uid="{F085491B-2C9A-4FFF-B1FC-FF296E7267E9}"/>
    <cellStyle name="Comma 4 2 4 2 2 2 2 4" xfId="33392" xr:uid="{489FACA1-D80B-4556-9B3E-8263AC99B1A6}"/>
    <cellStyle name="Comma 4 2 4 2 2 2 3" xfId="12281" xr:uid="{6CE7A0C1-2AC9-404A-9074-CA0778AF37D7}"/>
    <cellStyle name="Comma 4 2 4 2 2 2 4" xfId="20728" xr:uid="{9E6C3FE7-1480-4F89-AFEF-726498721C48}"/>
    <cellStyle name="Comma 4 2 4 2 2 2 5" xfId="29175" xr:uid="{07E6587D-D03F-4974-AC98-7937E361D9A9}"/>
    <cellStyle name="Comma 4 2 4 2 2 3" xfId="5027" xr:uid="{00000000-0005-0000-0000-0000BA080000}"/>
    <cellStyle name="Comma 4 2 4 2 2 3 2" xfId="14353" xr:uid="{46B6E6BE-A03D-47EA-AE9A-9F3E0091456E}"/>
    <cellStyle name="Comma 4 2 4 2 2 3 3" xfId="22800" xr:uid="{F14D33E6-2156-472E-8FFB-E1CACB17B6AB}"/>
    <cellStyle name="Comma 4 2 4 2 2 3 4" xfId="31247" xr:uid="{40265D13-CD48-40BB-B261-33F69E294CA4}"/>
    <cellStyle name="Comma 4 2 4 2 2 4" xfId="9490" xr:uid="{2FAEB1E6-7B41-437B-B2A9-4352AB4F4B98}"/>
    <cellStyle name="Comma 4 2 4 2 2 5" xfId="10136" xr:uid="{D42DD51F-AF3C-408A-8979-A041BCC805F0}"/>
    <cellStyle name="Comma 4 2 4 2 2 6" xfId="18583" xr:uid="{CFE94844-0FF9-4DF2-8F14-D54A1F4FC548}"/>
    <cellStyle name="Comma 4 2 4 2 2 7" xfId="27030" xr:uid="{128A963E-715B-4C6E-8524-5E1019E73DF8}"/>
    <cellStyle name="Comma 4 2 4 2 3" xfId="1132" xr:uid="{00000000-0005-0000-0000-0000BB080000}"/>
    <cellStyle name="Comma 4 2 4 2 3 2" xfId="3363" xr:uid="{00000000-0005-0000-0000-0000BC080000}"/>
    <cellStyle name="Comma 4 2 4 2 3 2 2" xfId="7585" xr:uid="{00000000-0005-0000-0000-0000BD080000}"/>
    <cellStyle name="Comma 4 2 4 2 3 2 2 2" xfId="16911" xr:uid="{56E970C4-BDD2-4332-9D19-AEB0AFB1C38E}"/>
    <cellStyle name="Comma 4 2 4 2 3 2 2 3" xfId="25358" xr:uid="{C9CBC0C3-67F6-44F2-804D-8CCEBC2B4090}"/>
    <cellStyle name="Comma 4 2 4 2 3 2 2 4" xfId="33805" xr:uid="{DCDAF877-FDFA-4F31-8689-A7687B10CEF1}"/>
    <cellStyle name="Comma 4 2 4 2 3 2 3" xfId="12694" xr:uid="{E7015890-D0BD-4037-9B7D-C50189B36074}"/>
    <cellStyle name="Comma 4 2 4 2 3 2 4" xfId="21141" xr:uid="{1EDAEB53-A421-479C-A161-4935380492F4}"/>
    <cellStyle name="Comma 4 2 4 2 3 2 5" xfId="29588" xr:uid="{B9745ACC-0C8E-49CA-8161-2CC663D4C595}"/>
    <cellStyle name="Comma 4 2 4 2 3 3" xfId="5440" xr:uid="{00000000-0005-0000-0000-0000BE080000}"/>
    <cellStyle name="Comma 4 2 4 2 3 3 2" xfId="14766" xr:uid="{74DCD133-1926-4BD8-868F-B84D10A570D1}"/>
    <cellStyle name="Comma 4 2 4 2 3 3 3" xfId="23213" xr:uid="{0B8D1E4B-6669-446E-9DA6-3B0F3E729684}"/>
    <cellStyle name="Comma 4 2 4 2 3 3 4" xfId="31660" xr:uid="{5B3086A4-EECB-43C6-897A-21D1AD3BF4F1}"/>
    <cellStyle name="Comma 4 2 4 2 3 4" xfId="10549" xr:uid="{0FEABBA0-8343-405A-9124-17CC334966BC}"/>
    <cellStyle name="Comma 4 2 4 2 3 5" xfId="18996" xr:uid="{167966A6-CBFD-45F5-82FD-9DD6C42FC4F1}"/>
    <cellStyle name="Comma 4 2 4 2 3 6" xfId="27443" xr:uid="{2764CE9D-0A41-4F36-A290-F3EE120269EF}"/>
    <cellStyle name="Comma 4 2 4 2 4" xfId="1546" xr:uid="{00000000-0005-0000-0000-0000BF080000}"/>
    <cellStyle name="Comma 4 2 4 2 4 2" xfId="3776" xr:uid="{00000000-0005-0000-0000-0000C0080000}"/>
    <cellStyle name="Comma 4 2 4 2 4 2 2" xfId="7998" xr:uid="{00000000-0005-0000-0000-0000C1080000}"/>
    <cellStyle name="Comma 4 2 4 2 4 2 2 2" xfId="17324" xr:uid="{93CC61FD-180D-43A2-A37F-BF4FDA4C91D5}"/>
    <cellStyle name="Comma 4 2 4 2 4 2 2 3" xfId="25771" xr:uid="{008F27E7-172F-44CA-BF61-DD7E4956EBB9}"/>
    <cellStyle name="Comma 4 2 4 2 4 2 2 4" xfId="34218" xr:uid="{E95F53AD-075B-4BDE-9BD5-DC77046247E4}"/>
    <cellStyle name="Comma 4 2 4 2 4 2 3" xfId="13107" xr:uid="{ED027CB4-5790-4E63-BFFD-9141F7E79A6F}"/>
    <cellStyle name="Comma 4 2 4 2 4 2 4" xfId="21554" xr:uid="{C95DF3C7-84E1-498F-AE58-6EB80DBB0D83}"/>
    <cellStyle name="Comma 4 2 4 2 4 2 5" xfId="30001" xr:uid="{BEC83107-ADBC-4130-9153-40DBB61265AA}"/>
    <cellStyle name="Comma 4 2 4 2 4 3" xfId="5853" xr:uid="{00000000-0005-0000-0000-0000C2080000}"/>
    <cellStyle name="Comma 4 2 4 2 4 3 2" xfId="15179" xr:uid="{68129D31-9155-4072-8D38-27197982DE1F}"/>
    <cellStyle name="Comma 4 2 4 2 4 3 3" xfId="23626" xr:uid="{16D6FBC9-F517-4FD2-BC8A-43180654CEA4}"/>
    <cellStyle name="Comma 4 2 4 2 4 3 4" xfId="32073" xr:uid="{A775675B-92F0-486E-8128-EB196164E049}"/>
    <cellStyle name="Comma 4 2 4 2 4 4" xfId="10962" xr:uid="{3404EE94-9BE2-40CA-B625-9FA96DDD3C60}"/>
    <cellStyle name="Comma 4 2 4 2 4 5" xfId="19409" xr:uid="{2A383BB6-6943-4DCD-8AB1-A785673E48F1}"/>
    <cellStyle name="Comma 4 2 4 2 4 6" xfId="27856" xr:uid="{19790550-770C-40C0-ADF2-2E222B7AF1F3}"/>
    <cellStyle name="Comma 4 2 4 2 5" xfId="1960" xr:uid="{00000000-0005-0000-0000-0000C3080000}"/>
    <cellStyle name="Comma 4 2 4 2 5 2" xfId="4189" xr:uid="{00000000-0005-0000-0000-0000C4080000}"/>
    <cellStyle name="Comma 4 2 4 2 5 2 2" xfId="8411" xr:uid="{00000000-0005-0000-0000-0000C5080000}"/>
    <cellStyle name="Comma 4 2 4 2 5 2 2 2" xfId="17737" xr:uid="{0ED247F9-1A47-4CEC-8332-F7CFE4E3176A}"/>
    <cellStyle name="Comma 4 2 4 2 5 2 2 3" xfId="26184" xr:uid="{CFE00E88-F1CD-41B2-91D4-FEEEA4424D48}"/>
    <cellStyle name="Comma 4 2 4 2 5 2 2 4" xfId="34631" xr:uid="{F510691D-31CB-4A64-8E72-9C99976DCF10}"/>
    <cellStyle name="Comma 4 2 4 2 5 2 3" xfId="13520" xr:uid="{527DBF22-52F4-4D6C-A9EA-6D6F2644221D}"/>
    <cellStyle name="Comma 4 2 4 2 5 2 4" xfId="21967" xr:uid="{4DBB35E4-1254-44E3-BCAE-B2987E4D54A2}"/>
    <cellStyle name="Comma 4 2 4 2 5 2 5" xfId="30414" xr:uid="{29AEC0F2-DF34-4538-A8D3-9B601530750F}"/>
    <cellStyle name="Comma 4 2 4 2 5 3" xfId="6266" xr:uid="{00000000-0005-0000-0000-0000C6080000}"/>
    <cellStyle name="Comma 4 2 4 2 5 3 2" xfId="15592" xr:uid="{FAD428A2-84B6-4536-9BFB-E906B87508BC}"/>
    <cellStyle name="Comma 4 2 4 2 5 3 3" xfId="24039" xr:uid="{6A9C0FBB-36CA-4ADC-BAC1-88860F2923A9}"/>
    <cellStyle name="Comma 4 2 4 2 5 3 4" xfId="32486" xr:uid="{E1651053-901D-495C-8181-2FEBBDE24251}"/>
    <cellStyle name="Comma 4 2 4 2 5 4" xfId="11375" xr:uid="{AA5C24A4-EFDA-41B2-975E-319F95DB706A}"/>
    <cellStyle name="Comma 4 2 4 2 5 5" xfId="19822" xr:uid="{C532152F-2474-4D2F-97EE-C08D7363AE13}"/>
    <cellStyle name="Comma 4 2 4 2 5 6" xfId="28269" xr:uid="{D3CB2932-6680-4057-B928-8F93A05E01B6}"/>
    <cellStyle name="Comma 4 2 4 2 6" xfId="2395" xr:uid="{00000000-0005-0000-0000-0000C7080000}"/>
    <cellStyle name="Comma 4 2 4 2 6 2" xfId="6679" xr:uid="{00000000-0005-0000-0000-0000C8080000}"/>
    <cellStyle name="Comma 4 2 4 2 6 2 2" xfId="16005" xr:uid="{82FB5648-130E-42E3-8F6F-CED49EA79C50}"/>
    <cellStyle name="Comma 4 2 4 2 6 2 3" xfId="24452" xr:uid="{DD37C642-BB44-4597-9CB3-E60A89299E4E}"/>
    <cellStyle name="Comma 4 2 4 2 6 2 4" xfId="32899" xr:uid="{5546B60C-6CF4-4C95-8F0D-2912481B8482}"/>
    <cellStyle name="Comma 4 2 4 2 6 3" xfId="11788" xr:uid="{525B5655-9B1C-4404-B683-43B1F494404C}"/>
    <cellStyle name="Comma 4 2 4 2 6 4" xfId="20235" xr:uid="{6DA35B79-B741-4ADE-BF56-FAE3FD1B4BAA}"/>
    <cellStyle name="Comma 4 2 4 2 6 5" xfId="28682" xr:uid="{6FD30D87-4007-4AC1-8867-18739B67B884}"/>
    <cellStyle name="Comma 4 2 4 2 7" xfId="2368" xr:uid="{00000000-0005-0000-0000-0000C9080000}"/>
    <cellStyle name="Comma 4 2 4 2 8" xfId="2773" xr:uid="{00000000-0005-0000-0000-0000CA080000}"/>
    <cellStyle name="Comma 4 2 4 2 8 2" xfId="6996" xr:uid="{00000000-0005-0000-0000-0000CB080000}"/>
    <cellStyle name="Comma 4 2 4 2 8 2 2" xfId="16322" xr:uid="{C0733FC1-CA36-4A31-A73A-7D4EC4921F3E}"/>
    <cellStyle name="Comma 4 2 4 2 8 2 3" xfId="24769" xr:uid="{F350CF60-B254-4C53-98EF-019B6275E95E}"/>
    <cellStyle name="Comma 4 2 4 2 8 2 4" xfId="33216" xr:uid="{8274A9A6-3108-4F75-AADB-4DCBBC123335}"/>
    <cellStyle name="Comma 4 2 4 2 8 3" xfId="12105" xr:uid="{798B2713-7D19-4D97-8F53-B8F3D21A14A3}"/>
    <cellStyle name="Comma 4 2 4 2 8 4" xfId="20552" xr:uid="{4E3F855B-3B54-4F5A-8965-A08211BF422C}"/>
    <cellStyle name="Comma 4 2 4 2 8 5" xfId="28999" xr:uid="{74E4BE7B-E764-4605-9BDF-470FA30D3C09}"/>
    <cellStyle name="Comma 4 2 4 2 9" xfId="4613" xr:uid="{00000000-0005-0000-0000-0000CC080000}"/>
    <cellStyle name="Comma 4 2 4 2 9 2" xfId="13939" xr:uid="{CFBA9908-E11E-42C2-85E3-B6A80251DF61}"/>
    <cellStyle name="Comma 4 2 4 2 9 3" xfId="22386" xr:uid="{2A70AC8D-5C5D-4891-87E4-B4E33B296AB2}"/>
    <cellStyle name="Comma 4 2 4 2 9 4" xfId="30833" xr:uid="{E3F71758-95FE-4605-99F1-E94C7D9F7528}"/>
    <cellStyle name="Comma 4 2 4 3" xfId="678" xr:uid="{00000000-0005-0000-0000-0000CD080000}"/>
    <cellStyle name="Comma 4 2 4 3 2" xfId="2949" xr:uid="{00000000-0005-0000-0000-0000CE080000}"/>
    <cellStyle name="Comma 4 2 4 3 2 2" xfId="7171" xr:uid="{00000000-0005-0000-0000-0000CF080000}"/>
    <cellStyle name="Comma 4 2 4 3 2 2 2" xfId="16497" xr:uid="{01B9BF5D-31DC-470A-BB82-0E96AD5359FD}"/>
    <cellStyle name="Comma 4 2 4 3 2 2 3" xfId="24944" xr:uid="{531C71B7-3A63-486D-972B-E8EE501632CB}"/>
    <cellStyle name="Comma 4 2 4 3 2 2 4" xfId="33391" xr:uid="{3DC275AA-3741-460C-99CA-9E1F5CDDF206}"/>
    <cellStyle name="Comma 4 2 4 3 2 3" xfId="12280" xr:uid="{D775D76B-D351-4063-8FF4-F31500F86C8D}"/>
    <cellStyle name="Comma 4 2 4 3 2 4" xfId="20727" xr:uid="{6AA515F5-D74D-4C04-94B2-C1ADF9DE42EA}"/>
    <cellStyle name="Comma 4 2 4 3 2 5" xfId="29174" xr:uid="{15242771-7ECA-43A6-B771-DE8BEF5F83A0}"/>
    <cellStyle name="Comma 4 2 4 3 3" xfId="5026" xr:uid="{00000000-0005-0000-0000-0000D0080000}"/>
    <cellStyle name="Comma 4 2 4 3 3 2" xfId="14352" xr:uid="{F9E62F07-4320-4AA7-BB5D-E1B969A181BA}"/>
    <cellStyle name="Comma 4 2 4 3 3 3" xfId="22799" xr:uid="{BF1DEACB-71BF-4631-9C69-AAC9A5A986E3}"/>
    <cellStyle name="Comma 4 2 4 3 3 4" xfId="31246" xr:uid="{73B4EB73-2811-4AAC-936C-46D777EED110}"/>
    <cellStyle name="Comma 4 2 4 3 4" xfId="9283" xr:uid="{7E46ED3C-A8F4-4512-93D9-5F41F1AC397C}"/>
    <cellStyle name="Comma 4 2 4 3 5" xfId="10135" xr:uid="{943BA220-9F1D-44C3-B8D1-8F958DC3EFD5}"/>
    <cellStyle name="Comma 4 2 4 3 6" xfId="18582" xr:uid="{F92BEF91-E69D-413E-A50D-D812ABD54073}"/>
    <cellStyle name="Comma 4 2 4 3 7" xfId="27029" xr:uid="{220728FA-3AFF-455B-B541-40A2E81B2033}"/>
    <cellStyle name="Comma 4 2 4 4" xfId="1131" xr:uid="{00000000-0005-0000-0000-0000D1080000}"/>
    <cellStyle name="Comma 4 2 4 4 2" xfId="3362" xr:uid="{00000000-0005-0000-0000-0000D2080000}"/>
    <cellStyle name="Comma 4 2 4 4 2 2" xfId="7584" xr:uid="{00000000-0005-0000-0000-0000D3080000}"/>
    <cellStyle name="Comma 4 2 4 4 2 2 2" xfId="16910" xr:uid="{8FD2B24D-E610-43D7-A310-6D3D0FA61198}"/>
    <cellStyle name="Comma 4 2 4 4 2 2 3" xfId="25357" xr:uid="{5D3CA7E4-B631-4DB1-B17A-C3B9E9F4C13B}"/>
    <cellStyle name="Comma 4 2 4 4 2 2 4" xfId="33804" xr:uid="{88207CEC-E4FE-4DED-8CFF-432E55D28CBD}"/>
    <cellStyle name="Comma 4 2 4 4 2 3" xfId="12693" xr:uid="{4C7A8BF5-51F7-4D64-87B7-77995EF6D630}"/>
    <cellStyle name="Comma 4 2 4 4 2 4" xfId="21140" xr:uid="{89666966-41F9-44C0-8B29-BF9428E85E5B}"/>
    <cellStyle name="Comma 4 2 4 4 2 5" xfId="29587" xr:uid="{DC4DF2FA-9CA9-4597-82FD-3335680619D1}"/>
    <cellStyle name="Comma 4 2 4 4 3" xfId="5439" xr:uid="{00000000-0005-0000-0000-0000D4080000}"/>
    <cellStyle name="Comma 4 2 4 4 3 2" xfId="14765" xr:uid="{9523BB31-B5A7-47CF-88B1-0147275E7FAF}"/>
    <cellStyle name="Comma 4 2 4 4 3 3" xfId="23212" xr:uid="{C6EF3918-48E4-4CB8-AD0F-65548666CFCC}"/>
    <cellStyle name="Comma 4 2 4 4 3 4" xfId="31659" xr:uid="{5649034A-FB3B-42AA-9C73-3CB81A8128F2}"/>
    <cellStyle name="Comma 4 2 4 4 4" xfId="10548" xr:uid="{4AA4948C-18AA-4AA2-9E70-35ADF1BA681D}"/>
    <cellStyle name="Comma 4 2 4 4 5" xfId="18995" xr:uid="{B4E300D5-C72C-4CBE-A814-A344881AF59A}"/>
    <cellStyle name="Comma 4 2 4 4 6" xfId="27442" xr:uid="{18BE91F9-48F0-46E2-A8EB-A2FC4276029E}"/>
    <cellStyle name="Comma 4 2 4 5" xfId="1545" xr:uid="{00000000-0005-0000-0000-0000D5080000}"/>
    <cellStyle name="Comma 4 2 4 5 2" xfId="3775" xr:uid="{00000000-0005-0000-0000-0000D6080000}"/>
    <cellStyle name="Comma 4 2 4 5 2 2" xfId="7997" xr:uid="{00000000-0005-0000-0000-0000D7080000}"/>
    <cellStyle name="Comma 4 2 4 5 2 2 2" xfId="17323" xr:uid="{A2935A82-72C8-4131-9DE6-6821BDEE597E}"/>
    <cellStyle name="Comma 4 2 4 5 2 2 3" xfId="25770" xr:uid="{BE81A77E-E247-4B72-8E1B-FB1FF9E68EFE}"/>
    <cellStyle name="Comma 4 2 4 5 2 2 4" xfId="34217" xr:uid="{96F256A8-91ED-4003-9F46-0A8C0171A7AF}"/>
    <cellStyle name="Comma 4 2 4 5 2 3" xfId="13106" xr:uid="{662CDE65-9D5A-476F-9439-7DB9447157AC}"/>
    <cellStyle name="Comma 4 2 4 5 2 4" xfId="21553" xr:uid="{EFD6128F-E5C4-4C68-B68A-0DD272FAEC1B}"/>
    <cellStyle name="Comma 4 2 4 5 2 5" xfId="30000" xr:uid="{C5E87ACC-69BE-4845-8EE6-12263D986404}"/>
    <cellStyle name="Comma 4 2 4 5 3" xfId="5852" xr:uid="{00000000-0005-0000-0000-0000D8080000}"/>
    <cellStyle name="Comma 4 2 4 5 3 2" xfId="15178" xr:uid="{295675CE-5FA7-41DF-8377-2CAEDA5D64BC}"/>
    <cellStyle name="Comma 4 2 4 5 3 3" xfId="23625" xr:uid="{116BFF65-8FE5-4C40-8E1B-6C4CB86D8D1F}"/>
    <cellStyle name="Comma 4 2 4 5 3 4" xfId="32072" xr:uid="{468E5952-6333-4581-8763-394EA9526004}"/>
    <cellStyle name="Comma 4 2 4 5 4" xfId="10961" xr:uid="{0A08EB33-0D36-449F-9099-3587ADE3D376}"/>
    <cellStyle name="Comma 4 2 4 5 5" xfId="19408" xr:uid="{FC8557B2-8F2A-4206-9274-EC6221200775}"/>
    <cellStyle name="Comma 4 2 4 5 6" xfId="27855" xr:uid="{4B2F9DD4-3CCB-478B-B2EB-570D8A5D2025}"/>
    <cellStyle name="Comma 4 2 4 6" xfId="1959" xr:uid="{00000000-0005-0000-0000-0000D9080000}"/>
    <cellStyle name="Comma 4 2 4 6 2" xfId="4188" xr:uid="{00000000-0005-0000-0000-0000DA080000}"/>
    <cellStyle name="Comma 4 2 4 6 2 2" xfId="8410" xr:uid="{00000000-0005-0000-0000-0000DB080000}"/>
    <cellStyle name="Comma 4 2 4 6 2 2 2" xfId="17736" xr:uid="{3AF85236-4769-4A10-AA5D-93129F050DFF}"/>
    <cellStyle name="Comma 4 2 4 6 2 2 3" xfId="26183" xr:uid="{78915670-7A02-4352-A30E-52A6B6AC7951}"/>
    <cellStyle name="Comma 4 2 4 6 2 2 4" xfId="34630" xr:uid="{F3C2AF41-D5AD-457C-A799-28FD68F5570C}"/>
    <cellStyle name="Comma 4 2 4 6 2 3" xfId="13519" xr:uid="{76F16F9B-7D5A-497A-AC52-E04409891F38}"/>
    <cellStyle name="Comma 4 2 4 6 2 4" xfId="21966" xr:uid="{8CD34E04-9C19-434A-B0A0-110C7355D752}"/>
    <cellStyle name="Comma 4 2 4 6 2 5" xfId="30413" xr:uid="{B566E5F9-7C66-4F11-89B9-EB7E807FBA96}"/>
    <cellStyle name="Comma 4 2 4 6 3" xfId="6265" xr:uid="{00000000-0005-0000-0000-0000DC080000}"/>
    <cellStyle name="Comma 4 2 4 6 3 2" xfId="15591" xr:uid="{44CA7926-FF87-4124-98A7-86C54ADC0946}"/>
    <cellStyle name="Comma 4 2 4 6 3 3" xfId="24038" xr:uid="{3FD31A54-5872-4E86-915B-B35560FD3D61}"/>
    <cellStyle name="Comma 4 2 4 6 3 4" xfId="32485" xr:uid="{A91C53E9-AFD6-4742-97B4-E1348D337EA7}"/>
    <cellStyle name="Comma 4 2 4 6 4" xfId="11374" xr:uid="{2D5C32BA-2201-44B2-9932-3C788FD95E68}"/>
    <cellStyle name="Comma 4 2 4 6 5" xfId="19821" xr:uid="{23293EF1-D505-4D35-AE00-4BBEAF399DCD}"/>
    <cellStyle name="Comma 4 2 4 6 6" xfId="28268" xr:uid="{4A8FCB8A-EB31-40E3-9257-BF6F36065729}"/>
    <cellStyle name="Comma 4 2 4 7" xfId="2394" xr:uid="{00000000-0005-0000-0000-0000DD080000}"/>
    <cellStyle name="Comma 4 2 4 7 2" xfId="6678" xr:uid="{00000000-0005-0000-0000-0000DE080000}"/>
    <cellStyle name="Comma 4 2 4 7 2 2" xfId="16004" xr:uid="{1E9AD4DE-3635-48A2-962A-ED06101D7CFD}"/>
    <cellStyle name="Comma 4 2 4 7 2 3" xfId="24451" xr:uid="{43FF4271-AD83-4AEA-A0AE-C7E89E573F1A}"/>
    <cellStyle name="Comma 4 2 4 7 2 4" xfId="32898" xr:uid="{4C5EF598-423D-4509-9A96-C799C8F36E39}"/>
    <cellStyle name="Comma 4 2 4 7 3" xfId="11787" xr:uid="{C52E34B7-6470-4CEC-80F8-117BF45192FA}"/>
    <cellStyle name="Comma 4 2 4 7 4" xfId="20234" xr:uid="{D6479190-A684-490D-B999-F5B45B37CD47}"/>
    <cellStyle name="Comma 4 2 4 7 5" xfId="28681" xr:uid="{7DE11462-9BA2-45A3-92A7-01A680A08B74}"/>
    <cellStyle name="Comma 4 2 4 8" xfId="2369" xr:uid="{00000000-0005-0000-0000-0000DF080000}"/>
    <cellStyle name="Comma 4 2 4 9" xfId="2772" xr:uid="{00000000-0005-0000-0000-0000E0080000}"/>
    <cellStyle name="Comma 4 2 4 9 2" xfId="6995" xr:uid="{00000000-0005-0000-0000-0000E1080000}"/>
    <cellStyle name="Comma 4 2 4 9 2 2" xfId="16321" xr:uid="{B06D5928-067D-4FED-A8E3-491F126689B9}"/>
    <cellStyle name="Comma 4 2 4 9 2 3" xfId="24768" xr:uid="{45351D4A-7E30-4546-B51E-A62FDEAA7640}"/>
    <cellStyle name="Comma 4 2 4 9 2 4" xfId="33215" xr:uid="{00F321AB-C009-4382-A202-82BE48FAFD32}"/>
    <cellStyle name="Comma 4 2 4 9 3" xfId="12104" xr:uid="{7EEFBA14-E5E4-43F4-9EDD-6A4FF38B49C8}"/>
    <cellStyle name="Comma 4 2 4 9 4" xfId="20551" xr:uid="{35FE6254-3290-4A27-9828-9A56C2917E79}"/>
    <cellStyle name="Comma 4 2 4 9 5" xfId="28998" xr:uid="{ABD49F58-194D-44B2-87A3-271F9C17CB47}"/>
    <cellStyle name="Comma 4 2 5" xfId="142" xr:uid="{00000000-0005-0000-0000-0000E2080000}"/>
    <cellStyle name="Comma 4 2 5 10" xfId="8974" xr:uid="{86B0C89A-8A2D-4755-B15D-84E412E1D380}"/>
    <cellStyle name="Comma 4 2 5 11" xfId="9723" xr:uid="{ED74AC2F-5225-48BC-BF7B-67C647F1F871}"/>
    <cellStyle name="Comma 4 2 5 12" xfId="18170" xr:uid="{3A51EE23-A0F9-4530-B527-E8B891B91BE7}"/>
    <cellStyle name="Comma 4 2 5 13" xfId="26617" xr:uid="{51AAE6DA-750D-4C17-A145-C97059680259}"/>
    <cellStyle name="Comma 4 2 5 2" xfId="680" xr:uid="{00000000-0005-0000-0000-0000E3080000}"/>
    <cellStyle name="Comma 4 2 5 2 2" xfId="2951" xr:uid="{00000000-0005-0000-0000-0000E4080000}"/>
    <cellStyle name="Comma 4 2 5 2 2 2" xfId="7173" xr:uid="{00000000-0005-0000-0000-0000E5080000}"/>
    <cellStyle name="Comma 4 2 5 2 2 2 2" xfId="16499" xr:uid="{14A97475-6198-4A46-8475-9D987720CE48}"/>
    <cellStyle name="Comma 4 2 5 2 2 2 3" xfId="24946" xr:uid="{4A28D767-5BB5-4735-AC58-249C664E44D8}"/>
    <cellStyle name="Comma 4 2 5 2 2 2 4" xfId="33393" xr:uid="{BD4CF0A1-7930-4B6E-8FCB-DEDEA40CA4FC}"/>
    <cellStyle name="Comma 4 2 5 2 2 3" xfId="12282" xr:uid="{4AF5362C-2711-4A0C-B9C9-A94CD049047E}"/>
    <cellStyle name="Comma 4 2 5 2 2 4" xfId="20729" xr:uid="{AAC6640C-CC69-4E33-9591-C7FEBB48EB26}"/>
    <cellStyle name="Comma 4 2 5 2 2 5" xfId="29176" xr:uid="{CE687E71-B323-4EDB-97BC-8AF78A68D3C3}"/>
    <cellStyle name="Comma 4 2 5 2 3" xfId="5028" xr:uid="{00000000-0005-0000-0000-0000E6080000}"/>
    <cellStyle name="Comma 4 2 5 2 3 2" xfId="14354" xr:uid="{E58354FF-B83B-4463-A843-C40941B4D633}"/>
    <cellStyle name="Comma 4 2 5 2 3 3" xfId="22801" xr:uid="{022AE40F-7076-4B71-AE2A-544D9AE08BB2}"/>
    <cellStyle name="Comma 4 2 5 2 3 4" xfId="31248" xr:uid="{44BFB7E7-BC4E-4E12-837F-E2B9B69BD2DD}"/>
    <cellStyle name="Comma 4 2 5 2 4" xfId="9399" xr:uid="{1B388BC7-1FC6-4DC3-B345-755F61B57864}"/>
    <cellStyle name="Comma 4 2 5 2 5" xfId="10137" xr:uid="{C3A43CF4-01FD-450F-B6B5-2A9C5EB56F24}"/>
    <cellStyle name="Comma 4 2 5 2 6" xfId="18584" xr:uid="{FFD7DAAD-53F5-4A16-98AD-7A05D5CAE6F8}"/>
    <cellStyle name="Comma 4 2 5 2 7" xfId="27031" xr:uid="{E4CDB873-C2D3-40FC-A82B-7739F7A5EE55}"/>
    <cellStyle name="Comma 4 2 5 3" xfId="1133" xr:uid="{00000000-0005-0000-0000-0000E7080000}"/>
    <cellStyle name="Comma 4 2 5 3 2" xfId="3364" xr:uid="{00000000-0005-0000-0000-0000E8080000}"/>
    <cellStyle name="Comma 4 2 5 3 2 2" xfId="7586" xr:uid="{00000000-0005-0000-0000-0000E9080000}"/>
    <cellStyle name="Comma 4 2 5 3 2 2 2" xfId="16912" xr:uid="{8A94E6C7-BA08-4308-80BD-3C1174E657CC}"/>
    <cellStyle name="Comma 4 2 5 3 2 2 3" xfId="25359" xr:uid="{4A0F1908-5BFF-43AE-8962-B98FC97D09B5}"/>
    <cellStyle name="Comma 4 2 5 3 2 2 4" xfId="33806" xr:uid="{F394EED9-EF7A-4774-8961-2B5B7D214AF4}"/>
    <cellStyle name="Comma 4 2 5 3 2 3" xfId="12695" xr:uid="{CE727A95-F2AC-477D-9E18-03158C70E287}"/>
    <cellStyle name="Comma 4 2 5 3 2 4" xfId="21142" xr:uid="{2D191AD2-E3C4-4E96-870E-A29CD2BF6966}"/>
    <cellStyle name="Comma 4 2 5 3 2 5" xfId="29589" xr:uid="{85B4A71B-2D23-4BF3-9AFB-014D5619D7EB}"/>
    <cellStyle name="Comma 4 2 5 3 3" xfId="5441" xr:uid="{00000000-0005-0000-0000-0000EA080000}"/>
    <cellStyle name="Comma 4 2 5 3 3 2" xfId="14767" xr:uid="{81DB3147-7B79-4A5F-85FD-F90BA1F80966}"/>
    <cellStyle name="Comma 4 2 5 3 3 3" xfId="23214" xr:uid="{65E79712-983D-42E3-A1D8-5D4CF8F1FF05}"/>
    <cellStyle name="Comma 4 2 5 3 3 4" xfId="31661" xr:uid="{C06FB412-3272-482C-A2BA-91B1D2775B8A}"/>
    <cellStyle name="Comma 4 2 5 3 4" xfId="10550" xr:uid="{B248E3FA-8CB7-4147-820C-051600CA36F4}"/>
    <cellStyle name="Comma 4 2 5 3 5" xfId="18997" xr:uid="{394B917C-7227-4BD2-B877-BA62F8642A4D}"/>
    <cellStyle name="Comma 4 2 5 3 6" xfId="27444" xr:uid="{5352F262-DBF1-4214-83C4-609E02A5960A}"/>
    <cellStyle name="Comma 4 2 5 4" xfId="1547" xr:uid="{00000000-0005-0000-0000-0000EB080000}"/>
    <cellStyle name="Comma 4 2 5 4 2" xfId="3777" xr:uid="{00000000-0005-0000-0000-0000EC080000}"/>
    <cellStyle name="Comma 4 2 5 4 2 2" xfId="7999" xr:uid="{00000000-0005-0000-0000-0000ED080000}"/>
    <cellStyle name="Comma 4 2 5 4 2 2 2" xfId="17325" xr:uid="{7B7A004D-CFB2-4C7B-BC6F-22669BC8758C}"/>
    <cellStyle name="Comma 4 2 5 4 2 2 3" xfId="25772" xr:uid="{91D0BC36-0E87-401F-8B21-1933BB7F0863}"/>
    <cellStyle name="Comma 4 2 5 4 2 2 4" xfId="34219" xr:uid="{EC1FCA75-F30B-4CEB-8688-74D1429C2662}"/>
    <cellStyle name="Comma 4 2 5 4 2 3" xfId="13108" xr:uid="{6E454C8A-CEBD-4687-9BB0-A409426B7F53}"/>
    <cellStyle name="Comma 4 2 5 4 2 4" xfId="21555" xr:uid="{A0B8E010-4736-4DBF-934F-2BA91A0169BF}"/>
    <cellStyle name="Comma 4 2 5 4 2 5" xfId="30002" xr:uid="{AEF1011E-D73A-4E8F-BFF1-DA40673DAD67}"/>
    <cellStyle name="Comma 4 2 5 4 3" xfId="5854" xr:uid="{00000000-0005-0000-0000-0000EE080000}"/>
    <cellStyle name="Comma 4 2 5 4 3 2" xfId="15180" xr:uid="{66391408-6F0E-4A54-8574-C0BC4A39FB0A}"/>
    <cellStyle name="Comma 4 2 5 4 3 3" xfId="23627" xr:uid="{C29EC567-5BA9-4357-8001-F8845B0EB60E}"/>
    <cellStyle name="Comma 4 2 5 4 3 4" xfId="32074" xr:uid="{879CFE28-A2B1-49CB-861D-768DAD2591C1}"/>
    <cellStyle name="Comma 4 2 5 4 4" xfId="10963" xr:uid="{0E862F49-2364-493E-9D85-B6E6B28895A2}"/>
    <cellStyle name="Comma 4 2 5 4 5" xfId="19410" xr:uid="{244CD4CC-180E-4D0D-8FE6-430EF3F2FB47}"/>
    <cellStyle name="Comma 4 2 5 4 6" xfId="27857" xr:uid="{0E12F7A0-694A-417A-849A-9A4F51F82198}"/>
    <cellStyle name="Comma 4 2 5 5" xfId="1961" xr:uid="{00000000-0005-0000-0000-0000EF080000}"/>
    <cellStyle name="Comma 4 2 5 5 2" xfId="4190" xr:uid="{00000000-0005-0000-0000-0000F0080000}"/>
    <cellStyle name="Comma 4 2 5 5 2 2" xfId="8412" xr:uid="{00000000-0005-0000-0000-0000F1080000}"/>
    <cellStyle name="Comma 4 2 5 5 2 2 2" xfId="17738" xr:uid="{317C2DE6-C880-4A13-9A0E-E3C57F849AD3}"/>
    <cellStyle name="Comma 4 2 5 5 2 2 3" xfId="26185" xr:uid="{471AAA29-092E-4DBD-A153-BE3C411219E1}"/>
    <cellStyle name="Comma 4 2 5 5 2 2 4" xfId="34632" xr:uid="{EBA1FDB4-21BF-4B95-B267-EADB1CCE0C72}"/>
    <cellStyle name="Comma 4 2 5 5 2 3" xfId="13521" xr:uid="{BAF0039C-5089-4A61-AF10-286103517711}"/>
    <cellStyle name="Comma 4 2 5 5 2 4" xfId="21968" xr:uid="{B038E8EA-66CA-43D9-A468-252681F790BB}"/>
    <cellStyle name="Comma 4 2 5 5 2 5" xfId="30415" xr:uid="{AC884C55-E664-4E8D-8689-86B03751B322}"/>
    <cellStyle name="Comma 4 2 5 5 3" xfId="6267" xr:uid="{00000000-0005-0000-0000-0000F2080000}"/>
    <cellStyle name="Comma 4 2 5 5 3 2" xfId="15593" xr:uid="{FA9F9CDD-EED0-47C2-B6FF-B49A3800F7D1}"/>
    <cellStyle name="Comma 4 2 5 5 3 3" xfId="24040" xr:uid="{E4FEBEF8-2E1C-48BE-9C6D-E4863000DD14}"/>
    <cellStyle name="Comma 4 2 5 5 3 4" xfId="32487" xr:uid="{101811BE-033D-4F56-9681-07777398A79E}"/>
    <cellStyle name="Comma 4 2 5 5 4" xfId="11376" xr:uid="{852A9FCA-9658-4792-B684-BBEEA60815B9}"/>
    <cellStyle name="Comma 4 2 5 5 5" xfId="19823" xr:uid="{FE70B250-0D63-451A-9BE5-4445858E3C78}"/>
    <cellStyle name="Comma 4 2 5 5 6" xfId="28270" xr:uid="{2308FB57-51B4-4D36-8353-B5B5566DB287}"/>
    <cellStyle name="Comma 4 2 5 6" xfId="2396" xr:uid="{00000000-0005-0000-0000-0000F3080000}"/>
    <cellStyle name="Comma 4 2 5 6 2" xfId="6680" xr:uid="{00000000-0005-0000-0000-0000F4080000}"/>
    <cellStyle name="Comma 4 2 5 6 2 2" xfId="16006" xr:uid="{7A14BD23-82A9-4D98-8063-05C856002FE9}"/>
    <cellStyle name="Comma 4 2 5 6 2 3" xfId="24453" xr:uid="{E89CA81E-B7FE-4AD2-B955-11761FF8031E}"/>
    <cellStyle name="Comma 4 2 5 6 2 4" xfId="32900" xr:uid="{4710A8AD-9948-440C-A037-0DF071869509}"/>
    <cellStyle name="Comma 4 2 5 6 3" xfId="11789" xr:uid="{689875DC-7535-4C24-95F7-28D7AC55C1E4}"/>
    <cellStyle name="Comma 4 2 5 6 4" xfId="20236" xr:uid="{A2B4D4EC-79E9-403C-93A6-5852F772B29C}"/>
    <cellStyle name="Comma 4 2 5 6 5" xfId="28683" xr:uid="{D26D3CCA-1378-44EE-90B6-8F07463DD05F}"/>
    <cellStyle name="Comma 4 2 5 7" xfId="2367" xr:uid="{00000000-0005-0000-0000-0000F5080000}"/>
    <cellStyle name="Comma 4 2 5 8" xfId="2774" xr:uid="{00000000-0005-0000-0000-0000F6080000}"/>
    <cellStyle name="Comma 4 2 5 8 2" xfId="6997" xr:uid="{00000000-0005-0000-0000-0000F7080000}"/>
    <cellStyle name="Comma 4 2 5 8 2 2" xfId="16323" xr:uid="{27F5C1F5-6E49-4EDA-8AA0-7C0EAED5BF80}"/>
    <cellStyle name="Comma 4 2 5 8 2 3" xfId="24770" xr:uid="{F2A521D1-BD5D-4DB3-A7C2-7C8367B6E0BE}"/>
    <cellStyle name="Comma 4 2 5 8 2 4" xfId="33217" xr:uid="{1DFA1A45-D731-4B7A-B20C-6D4BD1540853}"/>
    <cellStyle name="Comma 4 2 5 8 3" xfId="12106" xr:uid="{11EE7368-FB93-4BF7-8EF4-D6316AE28B2C}"/>
    <cellStyle name="Comma 4 2 5 8 4" xfId="20553" xr:uid="{DFEB299B-63B1-494A-AFD1-9EC2D3B79B74}"/>
    <cellStyle name="Comma 4 2 5 8 5" xfId="29000" xr:uid="{EE26990E-59F6-48C1-9163-3AF8CBF69E30}"/>
    <cellStyle name="Comma 4 2 5 9" xfId="4614" xr:uid="{00000000-0005-0000-0000-0000F8080000}"/>
    <cellStyle name="Comma 4 2 5 9 2" xfId="13940" xr:uid="{B5B3373B-2CCF-4418-B86E-0FDAB61C1C48}"/>
    <cellStyle name="Comma 4 2 5 9 3" xfId="22387" xr:uid="{9CF3668C-4D2D-4899-B5B8-1753E6EC0B82}"/>
    <cellStyle name="Comma 4 2 5 9 4" xfId="30834" xr:uid="{E1FE0B8D-B715-452D-A8AB-C71F668AD7FC}"/>
    <cellStyle name="Comma 4 2 6" xfId="143" xr:uid="{00000000-0005-0000-0000-0000F9080000}"/>
    <cellStyle name="Comma 4 2 6 10" xfId="9177" xr:uid="{A20A3B72-7630-464F-8E57-DA2B9D6E44FB}"/>
    <cellStyle name="Comma 4 2 6 11" xfId="9724" xr:uid="{4BF77A89-951F-4B5A-BF19-4AE94F935588}"/>
    <cellStyle name="Comma 4 2 6 12" xfId="18171" xr:uid="{A203753A-9B93-44A9-90CA-C75A8F4330F9}"/>
    <cellStyle name="Comma 4 2 6 13" xfId="26618" xr:uid="{1790EA0E-E474-4268-BE27-6C82554C3C86}"/>
    <cellStyle name="Comma 4 2 6 2" xfId="681" xr:uid="{00000000-0005-0000-0000-0000FA080000}"/>
    <cellStyle name="Comma 4 2 6 2 2" xfId="2952" xr:uid="{00000000-0005-0000-0000-0000FB080000}"/>
    <cellStyle name="Comma 4 2 6 2 2 2" xfId="7174" xr:uid="{00000000-0005-0000-0000-0000FC080000}"/>
    <cellStyle name="Comma 4 2 6 2 2 2 2" xfId="16500" xr:uid="{A904BB9D-6B6B-44E1-ADA1-092AF770AE84}"/>
    <cellStyle name="Comma 4 2 6 2 2 2 3" xfId="24947" xr:uid="{82E5D368-1F4C-40C4-82AD-0E3B60346495}"/>
    <cellStyle name="Comma 4 2 6 2 2 2 4" xfId="33394" xr:uid="{BC97BE89-3E93-4B13-94DD-0BFEA02B8DB9}"/>
    <cellStyle name="Comma 4 2 6 2 2 3" xfId="12283" xr:uid="{7C9542E3-8E13-4EB1-8CDA-948377824EFD}"/>
    <cellStyle name="Comma 4 2 6 2 2 4" xfId="20730" xr:uid="{4E621D5F-EB44-4EF0-ABA1-4ED78CF392AB}"/>
    <cellStyle name="Comma 4 2 6 2 2 5" xfId="29177" xr:uid="{56101856-2EB8-4D6B-A05C-105E042FA3A7}"/>
    <cellStyle name="Comma 4 2 6 2 3" xfId="5029" xr:uid="{00000000-0005-0000-0000-0000FD080000}"/>
    <cellStyle name="Comma 4 2 6 2 3 2" xfId="14355" xr:uid="{175D744C-D718-46F5-81D1-FA949A3285EA}"/>
    <cellStyle name="Comma 4 2 6 2 3 3" xfId="22802" xr:uid="{BC20CD82-5DFB-4CFA-80EE-E7130C3F5080}"/>
    <cellStyle name="Comma 4 2 6 2 3 4" xfId="31249" xr:uid="{55B2DE21-7229-4634-951A-8A5BE2BB1A99}"/>
    <cellStyle name="Comma 4 2 6 2 4" xfId="9594" xr:uid="{CCB8D3FE-19FC-4F7F-9966-44FD23A1A32A}"/>
    <cellStyle name="Comma 4 2 6 2 5" xfId="10138" xr:uid="{A93E9221-FAF5-4717-BDDC-FA5DBC2BE93B}"/>
    <cellStyle name="Comma 4 2 6 2 6" xfId="18585" xr:uid="{A145C498-A09A-4BCD-8DC4-9D0088D70B77}"/>
    <cellStyle name="Comma 4 2 6 2 7" xfId="27032" xr:uid="{B38A53F7-B443-4807-B30D-FDA65AB8E886}"/>
    <cellStyle name="Comma 4 2 6 3" xfId="1134" xr:uid="{00000000-0005-0000-0000-0000FE080000}"/>
    <cellStyle name="Comma 4 2 6 3 2" xfId="3365" xr:uid="{00000000-0005-0000-0000-0000FF080000}"/>
    <cellStyle name="Comma 4 2 6 3 2 2" xfId="7587" xr:uid="{00000000-0005-0000-0000-000000090000}"/>
    <cellStyle name="Comma 4 2 6 3 2 2 2" xfId="16913" xr:uid="{FF1CB609-8D46-4204-987E-DEFCA86BC177}"/>
    <cellStyle name="Comma 4 2 6 3 2 2 3" xfId="25360" xr:uid="{20802362-6C94-4C7F-8ED0-DE7843DB4A6A}"/>
    <cellStyle name="Comma 4 2 6 3 2 2 4" xfId="33807" xr:uid="{B4B8FBAE-DFDA-4FBC-9B34-045C5C5E3398}"/>
    <cellStyle name="Comma 4 2 6 3 2 3" xfId="12696" xr:uid="{5E32762B-A286-4922-85BB-8881B22AD667}"/>
    <cellStyle name="Comma 4 2 6 3 2 4" xfId="21143" xr:uid="{EA158F51-5D66-477B-9636-F583F1F562E7}"/>
    <cellStyle name="Comma 4 2 6 3 2 5" xfId="29590" xr:uid="{854099F1-17B9-4ED5-8653-8AA0708CA693}"/>
    <cellStyle name="Comma 4 2 6 3 3" xfId="5442" xr:uid="{00000000-0005-0000-0000-000001090000}"/>
    <cellStyle name="Comma 4 2 6 3 3 2" xfId="14768" xr:uid="{3C5F382C-1AF6-4C17-88F8-687E94F9AF05}"/>
    <cellStyle name="Comma 4 2 6 3 3 3" xfId="23215" xr:uid="{7625BA03-9942-4F8B-B54C-DC44F0494E9A}"/>
    <cellStyle name="Comma 4 2 6 3 3 4" xfId="31662" xr:uid="{D6AC5BCC-A86A-4D4A-9505-E32F94182AAB}"/>
    <cellStyle name="Comma 4 2 6 3 4" xfId="10551" xr:uid="{EF82A77B-BC83-41A4-AE8F-D548B7616396}"/>
    <cellStyle name="Comma 4 2 6 3 5" xfId="18998" xr:uid="{638DCCFE-0BB8-40D6-A923-F491E53BB118}"/>
    <cellStyle name="Comma 4 2 6 3 6" xfId="27445" xr:uid="{F04239DF-1532-438E-9098-637B2DC959F5}"/>
    <cellStyle name="Comma 4 2 6 4" xfId="1548" xr:uid="{00000000-0005-0000-0000-000002090000}"/>
    <cellStyle name="Comma 4 2 6 4 2" xfId="3778" xr:uid="{00000000-0005-0000-0000-000003090000}"/>
    <cellStyle name="Comma 4 2 6 4 2 2" xfId="8000" xr:uid="{00000000-0005-0000-0000-000004090000}"/>
    <cellStyle name="Comma 4 2 6 4 2 2 2" xfId="17326" xr:uid="{2CA4303E-909F-4CAD-9683-12969F9C271A}"/>
    <cellStyle name="Comma 4 2 6 4 2 2 3" xfId="25773" xr:uid="{CE10450F-F7DA-4A79-9306-F04DEA2A36A4}"/>
    <cellStyle name="Comma 4 2 6 4 2 2 4" xfId="34220" xr:uid="{DA41E666-2475-4967-B31E-58E5B6D23229}"/>
    <cellStyle name="Comma 4 2 6 4 2 3" xfId="13109" xr:uid="{A8138D13-47A8-4ED0-97DC-E70F189D639A}"/>
    <cellStyle name="Comma 4 2 6 4 2 4" xfId="21556" xr:uid="{E8F683B9-1CAB-4C12-A44D-285185851D85}"/>
    <cellStyle name="Comma 4 2 6 4 2 5" xfId="30003" xr:uid="{0AC5D1AA-5548-47B4-B6A6-47CA87325792}"/>
    <cellStyle name="Comma 4 2 6 4 3" xfId="5855" xr:uid="{00000000-0005-0000-0000-000005090000}"/>
    <cellStyle name="Comma 4 2 6 4 3 2" xfId="15181" xr:uid="{5B3AE530-3D1B-41DB-9425-1FF7E78C3512}"/>
    <cellStyle name="Comma 4 2 6 4 3 3" xfId="23628" xr:uid="{F86929A6-B583-47A3-AF9B-83E2DBF9E9AC}"/>
    <cellStyle name="Comma 4 2 6 4 3 4" xfId="32075" xr:uid="{39EE0ACF-B357-4F8D-892B-B775609B5314}"/>
    <cellStyle name="Comma 4 2 6 4 4" xfId="10964" xr:uid="{3DB3B3D7-BCA8-49BE-B25E-A4049FDA80F7}"/>
    <cellStyle name="Comma 4 2 6 4 5" xfId="19411" xr:uid="{E6D480F3-BF98-4790-B4C9-378E53D0F995}"/>
    <cellStyle name="Comma 4 2 6 4 6" xfId="27858" xr:uid="{2F393051-F1DD-44F7-A81C-B94FC0D26333}"/>
    <cellStyle name="Comma 4 2 6 5" xfId="1962" xr:uid="{00000000-0005-0000-0000-000006090000}"/>
    <cellStyle name="Comma 4 2 6 5 2" xfId="4191" xr:uid="{00000000-0005-0000-0000-000007090000}"/>
    <cellStyle name="Comma 4 2 6 5 2 2" xfId="8413" xr:uid="{00000000-0005-0000-0000-000008090000}"/>
    <cellStyle name="Comma 4 2 6 5 2 2 2" xfId="17739" xr:uid="{AE8EF785-AAF8-4B06-A155-D4AE035B8C23}"/>
    <cellStyle name="Comma 4 2 6 5 2 2 3" xfId="26186" xr:uid="{6E1F5455-C197-41AA-B8A4-BE099A22C3BF}"/>
    <cellStyle name="Comma 4 2 6 5 2 2 4" xfId="34633" xr:uid="{64AD6C3E-84B8-4E21-93F9-5B5C41218F30}"/>
    <cellStyle name="Comma 4 2 6 5 2 3" xfId="13522" xr:uid="{C7AD3694-36A6-4AE3-A099-7A30A841D880}"/>
    <cellStyle name="Comma 4 2 6 5 2 4" xfId="21969" xr:uid="{7C71B713-AA3D-4AE3-BAAA-1FD2C264F6EE}"/>
    <cellStyle name="Comma 4 2 6 5 2 5" xfId="30416" xr:uid="{5AD57C51-53A0-4B2E-A51E-6AC6AB2B4291}"/>
    <cellStyle name="Comma 4 2 6 5 3" xfId="6268" xr:uid="{00000000-0005-0000-0000-000009090000}"/>
    <cellStyle name="Comma 4 2 6 5 3 2" xfId="15594" xr:uid="{87B7FB0B-9519-43B0-9999-B3501F86AD74}"/>
    <cellStyle name="Comma 4 2 6 5 3 3" xfId="24041" xr:uid="{20113A8E-C5B3-43D9-AE99-06301F297F06}"/>
    <cellStyle name="Comma 4 2 6 5 3 4" xfId="32488" xr:uid="{45C16147-F5D1-4005-A5B0-C2D85ACC92F4}"/>
    <cellStyle name="Comma 4 2 6 5 4" xfId="11377" xr:uid="{BD188EAA-3F5E-41C6-8338-FDAD2296F117}"/>
    <cellStyle name="Comma 4 2 6 5 5" xfId="19824" xr:uid="{8B925EE4-282F-4153-A81F-87DD48AEE352}"/>
    <cellStyle name="Comma 4 2 6 5 6" xfId="28271" xr:uid="{22B44457-07FD-4CBA-B6B6-1178CE678308}"/>
    <cellStyle name="Comma 4 2 6 6" xfId="2397" xr:uid="{00000000-0005-0000-0000-00000A090000}"/>
    <cellStyle name="Comma 4 2 6 6 2" xfId="6681" xr:uid="{00000000-0005-0000-0000-00000B090000}"/>
    <cellStyle name="Comma 4 2 6 6 2 2" xfId="16007" xr:uid="{ABCBCB57-48CB-4DA2-AF8D-F9509B2F14DB}"/>
    <cellStyle name="Comma 4 2 6 6 2 3" xfId="24454" xr:uid="{64ADE68B-E996-4D0C-8F18-4BDD1201423F}"/>
    <cellStyle name="Comma 4 2 6 6 2 4" xfId="32901" xr:uid="{2FA71E15-DC92-40F9-AFEF-CC4D8E9644B8}"/>
    <cellStyle name="Comma 4 2 6 6 3" xfId="11790" xr:uid="{9088910C-AE0A-4CD9-B1A0-ED00D67C05D3}"/>
    <cellStyle name="Comma 4 2 6 6 4" xfId="20237" xr:uid="{6DF186F3-2C32-4ED1-B037-99189311D25F}"/>
    <cellStyle name="Comma 4 2 6 6 5" xfId="28684" xr:uid="{2AB5AFFC-2D36-486A-ADF7-93E441B9CADF}"/>
    <cellStyle name="Comma 4 2 6 7" xfId="2366" xr:uid="{00000000-0005-0000-0000-00000C090000}"/>
    <cellStyle name="Comma 4 2 6 8" xfId="2775" xr:uid="{00000000-0005-0000-0000-00000D090000}"/>
    <cellStyle name="Comma 4 2 6 8 2" xfId="6998" xr:uid="{00000000-0005-0000-0000-00000E090000}"/>
    <cellStyle name="Comma 4 2 6 8 2 2" xfId="16324" xr:uid="{D4F2D82E-99CF-44B8-8984-4BA991E5D7A5}"/>
    <cellStyle name="Comma 4 2 6 8 2 3" xfId="24771" xr:uid="{1A34838C-06FC-4B02-8460-938B32E45153}"/>
    <cellStyle name="Comma 4 2 6 8 2 4" xfId="33218" xr:uid="{D3459E72-77EE-4CAB-A42F-17E1251A519B}"/>
    <cellStyle name="Comma 4 2 6 8 3" xfId="12107" xr:uid="{A94FB549-0900-4E8A-BFCC-41B50527C021}"/>
    <cellStyle name="Comma 4 2 6 8 4" xfId="20554" xr:uid="{D7D1303B-AC96-450F-BBEE-572DAD15DE39}"/>
    <cellStyle name="Comma 4 2 6 8 5" xfId="29001" xr:uid="{9A4FA102-2C7F-4F16-9AA8-C40D8C27AE61}"/>
    <cellStyle name="Comma 4 2 6 9" xfId="4615" xr:uid="{00000000-0005-0000-0000-00000F090000}"/>
    <cellStyle name="Comma 4 2 6 9 2" xfId="13941" xr:uid="{5B6D9149-5B79-4FE8-9889-0E8D34E64F46}"/>
    <cellStyle name="Comma 4 2 6 9 3" xfId="22388" xr:uid="{B84D83B9-454B-4CD6-A50B-38F821ECEF69}"/>
    <cellStyle name="Comma 4 2 6 9 4" xfId="30835" xr:uid="{AA49F332-9CFB-4AC6-BB60-9EA36FCCF7B3}"/>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16325" xr:uid="{A10E2611-E4F3-45E0-9128-80F693C40C07}"/>
    <cellStyle name="Comma 4 3 2 10 2 3" xfId="24772" xr:uid="{4E779302-E972-4AFC-BF0B-6EA245DAFC5A}"/>
    <cellStyle name="Comma 4 3 2 10 2 4" xfId="33219" xr:uid="{9D201A59-44A6-4606-85E9-D829231A63B7}"/>
    <cellStyle name="Comma 4 3 2 10 3" xfId="12108" xr:uid="{2F562284-FD86-41D9-A197-D06B05691ACF}"/>
    <cellStyle name="Comma 4 3 2 10 4" xfId="20555" xr:uid="{130B3171-37F4-4CCD-8D90-A15AD643CE23}"/>
    <cellStyle name="Comma 4 3 2 10 5" xfId="29002" xr:uid="{748F7D03-C9E5-40C0-90CC-2D86298D7171}"/>
    <cellStyle name="Comma 4 3 2 11" xfId="4616" xr:uid="{00000000-0005-0000-0000-000014090000}"/>
    <cellStyle name="Comma 4 3 2 11 2" xfId="13942" xr:uid="{CA87735E-8C18-4ED1-AC58-712788E0AFE8}"/>
    <cellStyle name="Comma 4 3 2 11 3" xfId="22389" xr:uid="{E7EA1785-F016-4E5C-B7A2-7526E27775AA}"/>
    <cellStyle name="Comma 4 3 2 11 4" xfId="30836" xr:uid="{7CF5A32E-BA3E-4D7A-BB41-F9BDC11F3C07}"/>
    <cellStyle name="Comma 4 3 2 12" xfId="8807" xr:uid="{5C5EF314-D0DB-425B-AE7D-D52FEEE90EC1}"/>
    <cellStyle name="Comma 4 3 2 13" xfId="9725" xr:uid="{42B4E0F8-741F-4F44-A077-9FF59E7E9F06}"/>
    <cellStyle name="Comma 4 3 2 14" xfId="18172" xr:uid="{74BC494A-EF7A-49D1-9B47-C9DEF937003F}"/>
    <cellStyle name="Comma 4 3 2 15" xfId="26619" xr:uid="{E3DE5272-5014-4DBB-8C19-4BA90A4CB9C7}"/>
    <cellStyle name="Comma 4 3 2 2" xfId="146" xr:uid="{00000000-0005-0000-0000-000015090000}"/>
    <cellStyle name="Comma 4 3 2 2 10" xfId="4617" xr:uid="{00000000-0005-0000-0000-000016090000}"/>
    <cellStyle name="Comma 4 3 2 2 10 2" xfId="13943" xr:uid="{E7E40C58-2B82-48EA-AF03-AF9E282F3771}"/>
    <cellStyle name="Comma 4 3 2 2 10 3" xfId="22390" xr:uid="{0B00D63A-64CF-4180-BE19-86A82987F489}"/>
    <cellStyle name="Comma 4 3 2 2 10 4" xfId="30837" xr:uid="{47272BC5-68C6-484A-B95C-998AA0238A4E}"/>
    <cellStyle name="Comma 4 3 2 2 11" xfId="8910" xr:uid="{15019DD0-71A0-438D-B796-68DE42B22692}"/>
    <cellStyle name="Comma 4 3 2 2 12" xfId="9726" xr:uid="{59760645-AB0F-43C7-94A5-97FE4CF228DC}"/>
    <cellStyle name="Comma 4 3 2 2 13" xfId="18173" xr:uid="{6E5F3AE0-8673-4F6C-88AF-BC3A8B1B8A00}"/>
    <cellStyle name="Comma 4 3 2 2 14" xfId="26620" xr:uid="{EF75700B-F27C-47DC-A225-AB17441AE96D}"/>
    <cellStyle name="Comma 4 3 2 2 2" xfId="147" xr:uid="{00000000-0005-0000-0000-000017090000}"/>
    <cellStyle name="Comma 4 3 2 2 2 10" xfId="9117" xr:uid="{1409F531-DBF2-41E0-9C74-F9317358BA15}"/>
    <cellStyle name="Comma 4 3 2 2 2 11" xfId="9727" xr:uid="{E38F0040-3623-4B7F-A2EB-0E05C84AD948}"/>
    <cellStyle name="Comma 4 3 2 2 2 12" xfId="18174" xr:uid="{584A820C-1F98-470B-99C0-D613B02A2035}"/>
    <cellStyle name="Comma 4 3 2 2 2 13" xfId="26621" xr:uid="{84A6F38F-0670-4C63-9B42-D6A81802937E}"/>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16503" xr:uid="{878A5413-EBF2-4210-97B2-20FA9DAD45CE}"/>
    <cellStyle name="Comma 4 3 2 2 2 2 2 2 3" xfId="24950" xr:uid="{8EF8B5F6-40DB-4C5D-919F-73F85297952D}"/>
    <cellStyle name="Comma 4 3 2 2 2 2 2 2 4" xfId="33397" xr:uid="{C4AB9FCF-52C9-4ABD-A4B5-D3EF7A3501B6}"/>
    <cellStyle name="Comma 4 3 2 2 2 2 2 3" xfId="12286" xr:uid="{412C72F2-78AB-4641-BB1C-0C6B8F33266F}"/>
    <cellStyle name="Comma 4 3 2 2 2 2 2 4" xfId="20733" xr:uid="{DE7A4A24-F932-4C82-993A-9FB2D45A1BC6}"/>
    <cellStyle name="Comma 4 3 2 2 2 2 2 5" xfId="29180" xr:uid="{E005474A-4A21-40CA-8E62-ED0BF24709A1}"/>
    <cellStyle name="Comma 4 3 2 2 2 2 3" xfId="5032" xr:uid="{00000000-0005-0000-0000-00001B090000}"/>
    <cellStyle name="Comma 4 3 2 2 2 2 3 2" xfId="14358" xr:uid="{0E1E57B3-2DC8-4DA4-9092-75710B7CBAFC}"/>
    <cellStyle name="Comma 4 3 2 2 2 2 3 3" xfId="22805" xr:uid="{EB4CCE84-A6AC-4A49-8CAA-787B89A60D65}"/>
    <cellStyle name="Comma 4 3 2 2 2 2 3 4" xfId="31252" xr:uid="{22EA639A-9194-497D-B6BC-2CF9C1C77391}"/>
    <cellStyle name="Comma 4 3 2 2 2 2 4" xfId="9542" xr:uid="{26CD77CC-F017-4839-8245-BBF245D45E53}"/>
    <cellStyle name="Comma 4 3 2 2 2 2 5" xfId="10141" xr:uid="{C910D7D5-89B3-4538-B905-4E38897DC993}"/>
    <cellStyle name="Comma 4 3 2 2 2 2 6" xfId="18588" xr:uid="{F0F87523-87BC-4BD1-A2A1-905E85FE9B24}"/>
    <cellStyle name="Comma 4 3 2 2 2 2 7" xfId="27035" xr:uid="{FEC08716-83B2-469B-8D70-39391FBA4CC4}"/>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16916" xr:uid="{55590EE8-56BE-4A9D-8DCF-AC54067801BD}"/>
    <cellStyle name="Comma 4 3 2 2 2 3 2 2 3" xfId="25363" xr:uid="{2E14E861-23A4-408B-981F-F0A5F3C72AAE}"/>
    <cellStyle name="Comma 4 3 2 2 2 3 2 2 4" xfId="33810" xr:uid="{C0EF2703-561B-4E78-A960-DF27140E3500}"/>
    <cellStyle name="Comma 4 3 2 2 2 3 2 3" xfId="12699" xr:uid="{A1351C24-B1A7-46B1-927E-AF9FF935100E}"/>
    <cellStyle name="Comma 4 3 2 2 2 3 2 4" xfId="21146" xr:uid="{C66D65F8-309D-4B52-9D02-26C8225192B5}"/>
    <cellStyle name="Comma 4 3 2 2 2 3 2 5" xfId="29593" xr:uid="{7D9E02B4-3858-4F01-BC22-24632466C87F}"/>
    <cellStyle name="Comma 4 3 2 2 2 3 3" xfId="5445" xr:uid="{00000000-0005-0000-0000-00001F090000}"/>
    <cellStyle name="Comma 4 3 2 2 2 3 3 2" xfId="14771" xr:uid="{232FE9CE-3A10-4D53-8488-A71065095C84}"/>
    <cellStyle name="Comma 4 3 2 2 2 3 3 3" xfId="23218" xr:uid="{CD467B00-0B7F-492F-8913-907065EFEC4D}"/>
    <cellStyle name="Comma 4 3 2 2 2 3 3 4" xfId="31665" xr:uid="{A637BC90-5B28-4D80-B203-22EDFCF33972}"/>
    <cellStyle name="Comma 4 3 2 2 2 3 4" xfId="10554" xr:uid="{1454F032-15D7-4234-9B11-0BCB007457A8}"/>
    <cellStyle name="Comma 4 3 2 2 2 3 5" xfId="19001" xr:uid="{BF29AB40-CE2E-4453-A71A-C39BA146889F}"/>
    <cellStyle name="Comma 4 3 2 2 2 3 6" xfId="27448" xr:uid="{E859B5C9-D58D-4829-BBF4-DD86BD9F39AD}"/>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17329" xr:uid="{233D7952-9AC5-4A54-85B0-D6154A463E4E}"/>
    <cellStyle name="Comma 4 3 2 2 2 4 2 2 3" xfId="25776" xr:uid="{691E2C13-AC52-44AF-BA9D-3CC42FEDA2FC}"/>
    <cellStyle name="Comma 4 3 2 2 2 4 2 2 4" xfId="34223" xr:uid="{D56792E1-E90C-4CB1-8EC9-F1D26E9E8933}"/>
    <cellStyle name="Comma 4 3 2 2 2 4 2 3" xfId="13112" xr:uid="{E6095F67-A58D-4010-BD24-B6EFF86B502D}"/>
    <cellStyle name="Comma 4 3 2 2 2 4 2 4" xfId="21559" xr:uid="{B2B7A596-A2C7-4B91-A95F-8F1886A9DE5C}"/>
    <cellStyle name="Comma 4 3 2 2 2 4 2 5" xfId="30006" xr:uid="{367DEFB1-99E7-4F17-B753-5D69DDD5ADCB}"/>
    <cellStyle name="Comma 4 3 2 2 2 4 3" xfId="5858" xr:uid="{00000000-0005-0000-0000-000023090000}"/>
    <cellStyle name="Comma 4 3 2 2 2 4 3 2" xfId="15184" xr:uid="{FC40198B-7DC1-453F-A200-9815F7DC506E}"/>
    <cellStyle name="Comma 4 3 2 2 2 4 3 3" xfId="23631" xr:uid="{CB48C652-8793-452C-9A20-25CE3DA24E1A}"/>
    <cellStyle name="Comma 4 3 2 2 2 4 3 4" xfId="32078" xr:uid="{7D852C6E-51EA-4A37-88AC-E21DDA34A30B}"/>
    <cellStyle name="Comma 4 3 2 2 2 4 4" xfId="10967" xr:uid="{22482332-1075-4175-B341-80F49D06EC25}"/>
    <cellStyle name="Comma 4 3 2 2 2 4 5" xfId="19414" xr:uid="{C65A03AA-4FF2-4CA3-8188-C20D3FF76BD0}"/>
    <cellStyle name="Comma 4 3 2 2 2 4 6" xfId="27861" xr:uid="{0AF60DD8-9F46-4013-8B08-D14FCABE178E}"/>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17742" xr:uid="{2B9CE48A-6A1F-41C9-8E54-AA3E22180550}"/>
    <cellStyle name="Comma 4 3 2 2 2 5 2 2 3" xfId="26189" xr:uid="{80D301C0-073D-454A-B6E0-30CD8FC96BF1}"/>
    <cellStyle name="Comma 4 3 2 2 2 5 2 2 4" xfId="34636" xr:uid="{B849A982-AE37-4823-ACB9-8BD232142B7E}"/>
    <cellStyle name="Comma 4 3 2 2 2 5 2 3" xfId="13525" xr:uid="{6CE7C348-2622-4261-B911-88882BF22C5B}"/>
    <cellStyle name="Comma 4 3 2 2 2 5 2 4" xfId="21972" xr:uid="{D8180FDF-8B63-4CAC-B21F-A962265D9613}"/>
    <cellStyle name="Comma 4 3 2 2 2 5 2 5" xfId="30419" xr:uid="{B6E40426-DC13-4831-AA06-F72FAA832B2F}"/>
    <cellStyle name="Comma 4 3 2 2 2 5 3" xfId="6271" xr:uid="{00000000-0005-0000-0000-000027090000}"/>
    <cellStyle name="Comma 4 3 2 2 2 5 3 2" xfId="15597" xr:uid="{E9B108F5-DA03-4D8A-ADB3-34DAAD906DEB}"/>
    <cellStyle name="Comma 4 3 2 2 2 5 3 3" xfId="24044" xr:uid="{E1D717C9-720F-44A9-93BC-3DE22807C4FE}"/>
    <cellStyle name="Comma 4 3 2 2 2 5 3 4" xfId="32491" xr:uid="{4524CBF0-D99C-4F39-8D0E-36A90119B00D}"/>
    <cellStyle name="Comma 4 3 2 2 2 5 4" xfId="11380" xr:uid="{3F037ACF-7537-4D54-AA57-EF30BB0FB3A3}"/>
    <cellStyle name="Comma 4 3 2 2 2 5 5" xfId="19827" xr:uid="{920483E7-67EB-4CF6-B1FE-5144F6997FD7}"/>
    <cellStyle name="Comma 4 3 2 2 2 5 6" xfId="28274" xr:uid="{E0F89FE8-03E6-435D-8C64-AB5A97466F99}"/>
    <cellStyle name="Comma 4 3 2 2 2 6" xfId="2400" xr:uid="{00000000-0005-0000-0000-000028090000}"/>
    <cellStyle name="Comma 4 3 2 2 2 6 2" xfId="6684" xr:uid="{00000000-0005-0000-0000-000029090000}"/>
    <cellStyle name="Comma 4 3 2 2 2 6 2 2" xfId="16010" xr:uid="{A42B7220-34DB-47A5-8BDD-7F7A2A4BF194}"/>
    <cellStyle name="Comma 4 3 2 2 2 6 2 3" xfId="24457" xr:uid="{856CCBD6-24F8-491B-8ACA-EE0054776C3E}"/>
    <cellStyle name="Comma 4 3 2 2 2 6 2 4" xfId="32904" xr:uid="{8996A4CF-2A39-41F4-B35E-BFCD0619F1BF}"/>
    <cellStyle name="Comma 4 3 2 2 2 6 3" xfId="11793" xr:uid="{F2827764-3891-462C-892D-45DD1283D4B2}"/>
    <cellStyle name="Comma 4 3 2 2 2 6 4" xfId="20240" xr:uid="{1F8C3576-016C-4994-82C9-E684940A1B16}"/>
    <cellStyle name="Comma 4 3 2 2 2 6 5" xfId="28687" xr:uid="{1C99CC3E-2FEA-4E10-8F36-87506F0C5DC8}"/>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16327" xr:uid="{1BC2637A-B647-4F5E-ABBB-AE1FEDB23F72}"/>
    <cellStyle name="Comma 4 3 2 2 2 8 2 3" xfId="24774" xr:uid="{32D9A962-E7EE-43E4-B9B5-5901D15F1D3B}"/>
    <cellStyle name="Comma 4 3 2 2 2 8 2 4" xfId="33221" xr:uid="{37C7AE8B-3B36-4974-A8E0-2264D164CA68}"/>
    <cellStyle name="Comma 4 3 2 2 2 8 3" xfId="12110" xr:uid="{960F0EC2-8FA5-4F47-BCF3-15B7F8A6EA64}"/>
    <cellStyle name="Comma 4 3 2 2 2 8 4" xfId="20557" xr:uid="{7C808A80-8850-4832-834A-742146A5F332}"/>
    <cellStyle name="Comma 4 3 2 2 2 8 5" xfId="29004" xr:uid="{B7418194-6477-46D2-A91A-118E3CEB5AAA}"/>
    <cellStyle name="Comma 4 3 2 2 2 9" xfId="4618" xr:uid="{00000000-0005-0000-0000-00002D090000}"/>
    <cellStyle name="Comma 4 3 2 2 2 9 2" xfId="13944" xr:uid="{EE98B21D-360A-4111-9F3C-232034130302}"/>
    <cellStyle name="Comma 4 3 2 2 2 9 3" xfId="22391" xr:uid="{6BC9C7ED-14CE-4285-B412-86ADBC775AC2}"/>
    <cellStyle name="Comma 4 3 2 2 2 9 4" xfId="30838" xr:uid="{A63D5D55-E3B6-44C5-951D-FC37FD8ED840}"/>
    <cellStyle name="Comma 4 3 2 2 3" xfId="683" xr:uid="{00000000-0005-0000-0000-00002E090000}"/>
    <cellStyle name="Comma 4 3 2 2 3 2" xfId="2954" xr:uid="{00000000-0005-0000-0000-00002F090000}"/>
    <cellStyle name="Comma 4 3 2 2 3 2 2" xfId="7176" xr:uid="{00000000-0005-0000-0000-000030090000}"/>
    <cellStyle name="Comma 4 3 2 2 3 2 2 2" xfId="16502" xr:uid="{0D275320-DE1F-4B7E-BFBB-DA3D9384111A}"/>
    <cellStyle name="Comma 4 3 2 2 3 2 2 3" xfId="24949" xr:uid="{D838C927-3646-4343-B956-C13191F93FB2}"/>
    <cellStyle name="Comma 4 3 2 2 3 2 2 4" xfId="33396" xr:uid="{412B2954-C8A0-4EEA-85B0-60524186D868}"/>
    <cellStyle name="Comma 4 3 2 2 3 2 3" xfId="12285" xr:uid="{ABD1C224-F0EB-44C1-87A4-370C61CF052D}"/>
    <cellStyle name="Comma 4 3 2 2 3 2 4" xfId="20732" xr:uid="{77C7C4FB-4AF5-4DEE-82C9-28D6144AA239}"/>
    <cellStyle name="Comma 4 3 2 2 3 2 5" xfId="29179" xr:uid="{E26D6772-C81B-404B-8657-A8B4CAFE99F4}"/>
    <cellStyle name="Comma 4 3 2 2 3 3" xfId="5031" xr:uid="{00000000-0005-0000-0000-000031090000}"/>
    <cellStyle name="Comma 4 3 2 2 3 3 2" xfId="14357" xr:uid="{5E78B103-E7A2-4C19-9B6A-335CF2661466}"/>
    <cellStyle name="Comma 4 3 2 2 3 3 3" xfId="22804" xr:uid="{D08BA0E9-DDDE-4D7E-9A88-9237434D18E1}"/>
    <cellStyle name="Comma 4 3 2 2 3 3 4" xfId="31251" xr:uid="{635476E8-5E45-4E81-8BCA-68A237927AFA}"/>
    <cellStyle name="Comma 4 3 2 2 3 4" xfId="9335" xr:uid="{BACD532B-C811-4076-B107-03E74D1B7113}"/>
    <cellStyle name="Comma 4 3 2 2 3 5" xfId="10140" xr:uid="{DD6CD9FA-BD1B-433E-8143-ABCBFF17B550}"/>
    <cellStyle name="Comma 4 3 2 2 3 6" xfId="18587" xr:uid="{B2E2233B-6085-4755-9E46-48B93B415FE4}"/>
    <cellStyle name="Comma 4 3 2 2 3 7" xfId="27034" xr:uid="{0E8889D5-2436-4B2D-A615-04D4B24F7DBD}"/>
    <cellStyle name="Comma 4 3 2 2 4" xfId="1136" xr:uid="{00000000-0005-0000-0000-000032090000}"/>
    <cellStyle name="Comma 4 3 2 2 4 2" xfId="3367" xr:uid="{00000000-0005-0000-0000-000033090000}"/>
    <cellStyle name="Comma 4 3 2 2 4 2 2" xfId="7589" xr:uid="{00000000-0005-0000-0000-000034090000}"/>
    <cellStyle name="Comma 4 3 2 2 4 2 2 2" xfId="16915" xr:uid="{5E46104E-EEC7-4480-90DD-60104D92525D}"/>
    <cellStyle name="Comma 4 3 2 2 4 2 2 3" xfId="25362" xr:uid="{4274990D-5471-4AFE-A920-2FBBD305217D}"/>
    <cellStyle name="Comma 4 3 2 2 4 2 2 4" xfId="33809" xr:uid="{69EA5FEA-8438-4A28-B608-147578553545}"/>
    <cellStyle name="Comma 4 3 2 2 4 2 3" xfId="12698" xr:uid="{52A9CC8B-947F-4DAB-AED9-77EF196191C2}"/>
    <cellStyle name="Comma 4 3 2 2 4 2 4" xfId="21145" xr:uid="{47EB6DC3-511E-4CD1-B4BD-9A6E7A3FF839}"/>
    <cellStyle name="Comma 4 3 2 2 4 2 5" xfId="29592" xr:uid="{7C6C298E-20CE-4CAB-AF19-A59DFFE4FC6D}"/>
    <cellStyle name="Comma 4 3 2 2 4 3" xfId="5444" xr:uid="{00000000-0005-0000-0000-000035090000}"/>
    <cellStyle name="Comma 4 3 2 2 4 3 2" xfId="14770" xr:uid="{B029079D-692B-4702-93A1-D67EACC35B7F}"/>
    <cellStyle name="Comma 4 3 2 2 4 3 3" xfId="23217" xr:uid="{18CBBD92-8414-4E33-93A8-BBD2E1FF77F6}"/>
    <cellStyle name="Comma 4 3 2 2 4 3 4" xfId="31664" xr:uid="{F3856B4D-1164-4D45-A2AC-E9C6F90BDDC1}"/>
    <cellStyle name="Comma 4 3 2 2 4 4" xfId="10553" xr:uid="{5927AB50-D805-4A36-932E-E068A8FE834A}"/>
    <cellStyle name="Comma 4 3 2 2 4 5" xfId="19000" xr:uid="{90BFF0F4-3214-4E6C-BEF4-6A0611EC5DC6}"/>
    <cellStyle name="Comma 4 3 2 2 4 6" xfId="27447" xr:uid="{1C70AD5D-7786-4E1F-96E3-3824723E7CD4}"/>
    <cellStyle name="Comma 4 3 2 2 5" xfId="1550" xr:uid="{00000000-0005-0000-0000-000036090000}"/>
    <cellStyle name="Comma 4 3 2 2 5 2" xfId="3780" xr:uid="{00000000-0005-0000-0000-000037090000}"/>
    <cellStyle name="Comma 4 3 2 2 5 2 2" xfId="8002" xr:uid="{00000000-0005-0000-0000-000038090000}"/>
    <cellStyle name="Comma 4 3 2 2 5 2 2 2" xfId="17328" xr:uid="{788A4DDF-6E20-4BFB-831B-7E5B945C75A9}"/>
    <cellStyle name="Comma 4 3 2 2 5 2 2 3" xfId="25775" xr:uid="{13C58379-5538-4905-B858-3BAA5E3EBF47}"/>
    <cellStyle name="Comma 4 3 2 2 5 2 2 4" xfId="34222" xr:uid="{82EBBAAB-460D-468C-A5E7-1F5DA2C4C87A}"/>
    <cellStyle name="Comma 4 3 2 2 5 2 3" xfId="13111" xr:uid="{0FB7C29B-1864-431A-89AC-12B8A5266F68}"/>
    <cellStyle name="Comma 4 3 2 2 5 2 4" xfId="21558" xr:uid="{9F10EFA6-4068-44BF-9AA4-BF16218D1840}"/>
    <cellStyle name="Comma 4 3 2 2 5 2 5" xfId="30005" xr:uid="{E98768A9-AC5D-4CAF-B9CB-5E056B3A0851}"/>
    <cellStyle name="Comma 4 3 2 2 5 3" xfId="5857" xr:uid="{00000000-0005-0000-0000-000039090000}"/>
    <cellStyle name="Comma 4 3 2 2 5 3 2" xfId="15183" xr:uid="{ADFFE860-6F12-487D-8C21-873D03BCEBC5}"/>
    <cellStyle name="Comma 4 3 2 2 5 3 3" xfId="23630" xr:uid="{D6320277-0142-44D9-A8A6-B93E7294E47F}"/>
    <cellStyle name="Comma 4 3 2 2 5 3 4" xfId="32077" xr:uid="{92196F65-6F9F-4996-AD64-2E8E2F0431E1}"/>
    <cellStyle name="Comma 4 3 2 2 5 4" xfId="10966" xr:uid="{09F7646F-918A-4AE7-A441-BA2BB1FA4F66}"/>
    <cellStyle name="Comma 4 3 2 2 5 5" xfId="19413" xr:uid="{907D11B8-5876-48A6-A308-AB7A26156DC4}"/>
    <cellStyle name="Comma 4 3 2 2 5 6" xfId="27860" xr:uid="{3A176DF8-B9B3-47A5-8259-95575186A12A}"/>
    <cellStyle name="Comma 4 3 2 2 6" xfId="1964" xr:uid="{00000000-0005-0000-0000-00003A090000}"/>
    <cellStyle name="Comma 4 3 2 2 6 2" xfId="4193" xr:uid="{00000000-0005-0000-0000-00003B090000}"/>
    <cellStyle name="Comma 4 3 2 2 6 2 2" xfId="8415" xr:uid="{00000000-0005-0000-0000-00003C090000}"/>
    <cellStyle name="Comma 4 3 2 2 6 2 2 2" xfId="17741" xr:uid="{443D5727-0692-4BFD-96E0-9EE2A9FC8F35}"/>
    <cellStyle name="Comma 4 3 2 2 6 2 2 3" xfId="26188" xr:uid="{D8A49F76-C6ED-4F1D-98B0-74E22D922783}"/>
    <cellStyle name="Comma 4 3 2 2 6 2 2 4" xfId="34635" xr:uid="{53CA5BB3-EF69-452E-BD56-7C0A80264D61}"/>
    <cellStyle name="Comma 4 3 2 2 6 2 3" xfId="13524" xr:uid="{77451CA2-3E36-42F8-9D52-C17229A80C6E}"/>
    <cellStyle name="Comma 4 3 2 2 6 2 4" xfId="21971" xr:uid="{D7C07719-929D-4A86-BD5B-A2FF24B65664}"/>
    <cellStyle name="Comma 4 3 2 2 6 2 5" xfId="30418" xr:uid="{CDF84083-E4DB-4622-B0DD-A1192F22F98C}"/>
    <cellStyle name="Comma 4 3 2 2 6 3" xfId="6270" xr:uid="{00000000-0005-0000-0000-00003D090000}"/>
    <cellStyle name="Comma 4 3 2 2 6 3 2" xfId="15596" xr:uid="{D1C18618-A940-4E37-A11C-E0662FCDFF98}"/>
    <cellStyle name="Comma 4 3 2 2 6 3 3" xfId="24043" xr:uid="{337F0200-B80F-4D2E-AB02-66E21AF8F05C}"/>
    <cellStyle name="Comma 4 3 2 2 6 3 4" xfId="32490" xr:uid="{488BE531-64A2-4025-8ECF-D69E1A7417EA}"/>
    <cellStyle name="Comma 4 3 2 2 6 4" xfId="11379" xr:uid="{D96FA701-27B7-4A1D-87AB-EAAE14D8FE53}"/>
    <cellStyle name="Comma 4 3 2 2 6 5" xfId="19826" xr:uid="{E3A4806C-202A-4045-B4A3-439E968B1B58}"/>
    <cellStyle name="Comma 4 3 2 2 6 6" xfId="28273" xr:uid="{B54D8A56-E4A8-4C04-9973-BECE0CF9E50B}"/>
    <cellStyle name="Comma 4 3 2 2 7" xfId="2399" xr:uid="{00000000-0005-0000-0000-00003E090000}"/>
    <cellStyle name="Comma 4 3 2 2 7 2" xfId="6683" xr:uid="{00000000-0005-0000-0000-00003F090000}"/>
    <cellStyle name="Comma 4 3 2 2 7 2 2" xfId="16009" xr:uid="{966C19C8-0DE3-4CBF-80EE-26E0D90BDC4C}"/>
    <cellStyle name="Comma 4 3 2 2 7 2 3" xfId="24456" xr:uid="{C4CB2F86-AF74-4A2D-9963-CB4938EC31A3}"/>
    <cellStyle name="Comma 4 3 2 2 7 2 4" xfId="32903" xr:uid="{EAA6F023-A374-41D7-9F46-1C447C5BB15F}"/>
    <cellStyle name="Comma 4 3 2 2 7 3" xfId="11792" xr:uid="{5D036340-2998-480D-A893-D442E6AD3085}"/>
    <cellStyle name="Comma 4 3 2 2 7 4" xfId="20239" xr:uid="{DC0A2095-BDF0-467F-8456-729688981208}"/>
    <cellStyle name="Comma 4 3 2 2 7 5" xfId="28686" xr:uid="{BBE94D2E-125C-4D21-AD4F-8D9578713A83}"/>
    <cellStyle name="Comma 4 3 2 2 8" xfId="2364" xr:uid="{00000000-0005-0000-0000-000040090000}"/>
    <cellStyle name="Comma 4 3 2 2 9" xfId="2777" xr:uid="{00000000-0005-0000-0000-000041090000}"/>
    <cellStyle name="Comma 4 3 2 2 9 2" xfId="7000" xr:uid="{00000000-0005-0000-0000-000042090000}"/>
    <cellStyle name="Comma 4 3 2 2 9 2 2" xfId="16326" xr:uid="{9777AFC3-9700-450A-9EA7-D7C5CB042007}"/>
    <cellStyle name="Comma 4 3 2 2 9 2 3" xfId="24773" xr:uid="{1849299E-CD08-4341-9E39-B64722B70520}"/>
    <cellStyle name="Comma 4 3 2 2 9 2 4" xfId="33220" xr:uid="{031B3713-FB5E-45CE-888C-D6DC38948F04}"/>
    <cellStyle name="Comma 4 3 2 2 9 3" xfId="12109" xr:uid="{D76BA70F-DF37-4277-9A37-C03C063F56C8}"/>
    <cellStyle name="Comma 4 3 2 2 9 4" xfId="20556" xr:uid="{5FFF053F-430B-4334-B8B7-FCA171EFA9C0}"/>
    <cellStyle name="Comma 4 3 2 2 9 5" xfId="29003" xr:uid="{AA2C9ADD-83FC-4F75-8A8A-62509AA0679D}"/>
    <cellStyle name="Comma 4 3 2 3" xfId="148" xr:uid="{00000000-0005-0000-0000-000043090000}"/>
    <cellStyle name="Comma 4 3 2 3 10" xfId="9014" xr:uid="{46568903-2C47-4BC3-8E78-5A47F62B319C}"/>
    <cellStyle name="Comma 4 3 2 3 11" xfId="9728" xr:uid="{39900E38-5C74-4A3B-9998-887635046550}"/>
    <cellStyle name="Comma 4 3 2 3 12" xfId="18175" xr:uid="{2C1F3926-235D-4627-8535-5AE658067BA0}"/>
    <cellStyle name="Comma 4 3 2 3 13" xfId="26622" xr:uid="{5C52BE1C-26D1-433E-8884-65113D8212FA}"/>
    <cellStyle name="Comma 4 3 2 3 2" xfId="685" xr:uid="{00000000-0005-0000-0000-000044090000}"/>
    <cellStyle name="Comma 4 3 2 3 2 2" xfId="2956" xr:uid="{00000000-0005-0000-0000-000045090000}"/>
    <cellStyle name="Comma 4 3 2 3 2 2 2" xfId="7178" xr:uid="{00000000-0005-0000-0000-000046090000}"/>
    <cellStyle name="Comma 4 3 2 3 2 2 2 2" xfId="16504" xr:uid="{4137CAD3-288C-44CD-B90A-558EE9519704}"/>
    <cellStyle name="Comma 4 3 2 3 2 2 2 3" xfId="24951" xr:uid="{60A43050-7788-4547-B442-D7E763E6F0D4}"/>
    <cellStyle name="Comma 4 3 2 3 2 2 2 4" xfId="33398" xr:uid="{09A7B1B2-14D0-487C-9FB2-FAA361052F8C}"/>
    <cellStyle name="Comma 4 3 2 3 2 2 3" xfId="12287" xr:uid="{57BBA3E6-0B74-4033-88B5-15D8CB5ABC4B}"/>
    <cellStyle name="Comma 4 3 2 3 2 2 4" xfId="20734" xr:uid="{8D1ABFF9-AB95-4429-A686-B8B60757D5DE}"/>
    <cellStyle name="Comma 4 3 2 3 2 2 5" xfId="29181" xr:uid="{5FAE19CA-3099-46FB-8427-B1EB35E2BF04}"/>
    <cellStyle name="Comma 4 3 2 3 2 3" xfId="5033" xr:uid="{00000000-0005-0000-0000-000047090000}"/>
    <cellStyle name="Comma 4 3 2 3 2 3 2" xfId="14359" xr:uid="{FC072ACF-A3D5-40F6-847E-5F25749C6399}"/>
    <cellStyle name="Comma 4 3 2 3 2 3 3" xfId="22806" xr:uid="{7E33B9D8-BAEB-4004-BEBF-790483C76B84}"/>
    <cellStyle name="Comma 4 3 2 3 2 3 4" xfId="31253" xr:uid="{28A10A37-E33B-40E5-B136-0C6F4C67F498}"/>
    <cellStyle name="Comma 4 3 2 3 2 4" xfId="9439" xr:uid="{2FD116B5-6902-4630-AFC5-CC8B06C5F457}"/>
    <cellStyle name="Comma 4 3 2 3 2 5" xfId="10142" xr:uid="{ACD4C5FB-5190-4F5E-8ABF-889572B6EB33}"/>
    <cellStyle name="Comma 4 3 2 3 2 6" xfId="18589" xr:uid="{133E0525-EBDB-4D56-A5A2-FE9636D45499}"/>
    <cellStyle name="Comma 4 3 2 3 2 7" xfId="27036" xr:uid="{8AF62BBC-FC48-43F6-8DE6-4EE1D8002C40}"/>
    <cellStyle name="Comma 4 3 2 3 3" xfId="1138" xr:uid="{00000000-0005-0000-0000-000048090000}"/>
    <cellStyle name="Comma 4 3 2 3 3 2" xfId="3369" xr:uid="{00000000-0005-0000-0000-000049090000}"/>
    <cellStyle name="Comma 4 3 2 3 3 2 2" xfId="7591" xr:uid="{00000000-0005-0000-0000-00004A090000}"/>
    <cellStyle name="Comma 4 3 2 3 3 2 2 2" xfId="16917" xr:uid="{EBA88F7D-0C6C-42CA-BEE4-0F974AEB52D0}"/>
    <cellStyle name="Comma 4 3 2 3 3 2 2 3" xfId="25364" xr:uid="{A97158E6-3E7C-4DD1-A0D3-4CE85DFBDF59}"/>
    <cellStyle name="Comma 4 3 2 3 3 2 2 4" xfId="33811" xr:uid="{CC5F0B52-BA81-4546-935C-90B780F54D1A}"/>
    <cellStyle name="Comma 4 3 2 3 3 2 3" xfId="12700" xr:uid="{5A881E25-3C05-443F-B0D1-0BC8500C25CC}"/>
    <cellStyle name="Comma 4 3 2 3 3 2 4" xfId="21147" xr:uid="{FDFF17C4-7752-4EB4-84C7-DC03A0926433}"/>
    <cellStyle name="Comma 4 3 2 3 3 2 5" xfId="29594" xr:uid="{E5A8E3B5-6EF7-4542-8788-E0E1A2DB3B08}"/>
    <cellStyle name="Comma 4 3 2 3 3 3" xfId="5446" xr:uid="{00000000-0005-0000-0000-00004B090000}"/>
    <cellStyle name="Comma 4 3 2 3 3 3 2" xfId="14772" xr:uid="{0263F27D-CA01-4C21-A24F-B53A93A544B5}"/>
    <cellStyle name="Comma 4 3 2 3 3 3 3" xfId="23219" xr:uid="{9B324344-FEA8-47C0-B51B-086863A42ED2}"/>
    <cellStyle name="Comma 4 3 2 3 3 3 4" xfId="31666" xr:uid="{3C412EEA-839A-4BAE-B7F6-42E9CDBD0428}"/>
    <cellStyle name="Comma 4 3 2 3 3 4" xfId="10555" xr:uid="{128214B9-9AE4-49DC-924B-F829B0537C75}"/>
    <cellStyle name="Comma 4 3 2 3 3 5" xfId="19002" xr:uid="{9987620C-B441-42F2-B956-68514D62C06D}"/>
    <cellStyle name="Comma 4 3 2 3 3 6" xfId="27449" xr:uid="{4C43DD17-1EC1-4D26-A8AB-2ACECCE7403E}"/>
    <cellStyle name="Comma 4 3 2 3 4" xfId="1552" xr:uid="{00000000-0005-0000-0000-00004C090000}"/>
    <cellStyle name="Comma 4 3 2 3 4 2" xfId="3782" xr:uid="{00000000-0005-0000-0000-00004D090000}"/>
    <cellStyle name="Comma 4 3 2 3 4 2 2" xfId="8004" xr:uid="{00000000-0005-0000-0000-00004E090000}"/>
    <cellStyle name="Comma 4 3 2 3 4 2 2 2" xfId="17330" xr:uid="{61B03583-47A8-4089-8331-6103591D4D06}"/>
    <cellStyle name="Comma 4 3 2 3 4 2 2 3" xfId="25777" xr:uid="{6FDD8A8C-CC1F-4787-AE14-F7A4F8448D37}"/>
    <cellStyle name="Comma 4 3 2 3 4 2 2 4" xfId="34224" xr:uid="{BA74423C-F060-42B8-ACA2-BF950A941B92}"/>
    <cellStyle name="Comma 4 3 2 3 4 2 3" xfId="13113" xr:uid="{3A44A7D3-BE71-4348-988B-081524F07A15}"/>
    <cellStyle name="Comma 4 3 2 3 4 2 4" xfId="21560" xr:uid="{14BA3068-C86C-4B56-BC81-F4D4ACB9313D}"/>
    <cellStyle name="Comma 4 3 2 3 4 2 5" xfId="30007" xr:uid="{035E0547-C2B5-41B1-A772-16F06AF5F649}"/>
    <cellStyle name="Comma 4 3 2 3 4 3" xfId="5859" xr:uid="{00000000-0005-0000-0000-00004F090000}"/>
    <cellStyle name="Comma 4 3 2 3 4 3 2" xfId="15185" xr:uid="{E661D619-C86D-471D-86B4-2BFA0452F529}"/>
    <cellStyle name="Comma 4 3 2 3 4 3 3" xfId="23632" xr:uid="{E66A5B58-6D6F-4970-B18E-F3395C8EA36E}"/>
    <cellStyle name="Comma 4 3 2 3 4 3 4" xfId="32079" xr:uid="{D0A500C0-065F-4C6D-ADDD-244C63AA12F3}"/>
    <cellStyle name="Comma 4 3 2 3 4 4" xfId="10968" xr:uid="{79BB515C-03A2-49BA-87B6-D6C0B1DB8E04}"/>
    <cellStyle name="Comma 4 3 2 3 4 5" xfId="19415" xr:uid="{AAA79CAC-2362-4A43-86DD-2BEA21B3C269}"/>
    <cellStyle name="Comma 4 3 2 3 4 6" xfId="27862" xr:uid="{D6FB13D1-DA28-4753-B813-A973903A48BA}"/>
    <cellStyle name="Comma 4 3 2 3 5" xfId="1966" xr:uid="{00000000-0005-0000-0000-000050090000}"/>
    <cellStyle name="Comma 4 3 2 3 5 2" xfId="4195" xr:uid="{00000000-0005-0000-0000-000051090000}"/>
    <cellStyle name="Comma 4 3 2 3 5 2 2" xfId="8417" xr:uid="{00000000-0005-0000-0000-000052090000}"/>
    <cellStyle name="Comma 4 3 2 3 5 2 2 2" xfId="17743" xr:uid="{FF2DB071-43AD-4F40-A209-C55714159373}"/>
    <cellStyle name="Comma 4 3 2 3 5 2 2 3" xfId="26190" xr:uid="{4D332732-880F-457E-87EE-8B4A32C5CB42}"/>
    <cellStyle name="Comma 4 3 2 3 5 2 2 4" xfId="34637" xr:uid="{B2D0E3AE-CD8C-47D8-9E6F-20449DDA960F}"/>
    <cellStyle name="Comma 4 3 2 3 5 2 3" xfId="13526" xr:uid="{85D1C6CA-21E6-422B-BBE2-3C04BB242CD2}"/>
    <cellStyle name="Comma 4 3 2 3 5 2 4" xfId="21973" xr:uid="{3042A2D0-D452-499E-AEF0-F15CA03A913E}"/>
    <cellStyle name="Comma 4 3 2 3 5 2 5" xfId="30420" xr:uid="{87F51992-2330-46AC-A0A8-A9DF41EEA4B7}"/>
    <cellStyle name="Comma 4 3 2 3 5 3" xfId="6272" xr:uid="{00000000-0005-0000-0000-000053090000}"/>
    <cellStyle name="Comma 4 3 2 3 5 3 2" xfId="15598" xr:uid="{CCE20A26-31B1-4A4E-B2ED-A4CCC61CF5D8}"/>
    <cellStyle name="Comma 4 3 2 3 5 3 3" xfId="24045" xr:uid="{96CE4795-EB35-4087-968A-9842CC794CAB}"/>
    <cellStyle name="Comma 4 3 2 3 5 3 4" xfId="32492" xr:uid="{7AFB3047-EDA7-49C1-9555-DE107A64D2F2}"/>
    <cellStyle name="Comma 4 3 2 3 5 4" xfId="11381" xr:uid="{03F34389-2823-42D2-AEC2-FD5DAEC9408F}"/>
    <cellStyle name="Comma 4 3 2 3 5 5" xfId="19828" xr:uid="{5C607772-CB3C-4056-90DE-B3E43D844C52}"/>
    <cellStyle name="Comma 4 3 2 3 5 6" xfId="28275" xr:uid="{919F70A7-4C97-4F59-99FF-D36A042522AF}"/>
    <cellStyle name="Comma 4 3 2 3 6" xfId="2401" xr:uid="{00000000-0005-0000-0000-000054090000}"/>
    <cellStyle name="Comma 4 3 2 3 6 2" xfId="6685" xr:uid="{00000000-0005-0000-0000-000055090000}"/>
    <cellStyle name="Comma 4 3 2 3 6 2 2" xfId="16011" xr:uid="{A0129FFA-A6C1-41F0-B77A-945DC57F3BC7}"/>
    <cellStyle name="Comma 4 3 2 3 6 2 3" xfId="24458" xr:uid="{21117708-A4D1-41A3-8F35-7EFADBCF21E2}"/>
    <cellStyle name="Comma 4 3 2 3 6 2 4" xfId="32905" xr:uid="{70DB1934-9B7C-48BD-AB69-6D5019563E51}"/>
    <cellStyle name="Comma 4 3 2 3 6 3" xfId="11794" xr:uid="{AB7B786C-3160-4A00-8F35-4E2FCCC52E52}"/>
    <cellStyle name="Comma 4 3 2 3 6 4" xfId="20241" xr:uid="{589C9E36-7C49-4238-8553-237A151E726B}"/>
    <cellStyle name="Comma 4 3 2 3 6 5" xfId="28688" xr:uid="{DAD0F71F-7607-4356-89B3-0B5671A7E95A}"/>
    <cellStyle name="Comma 4 3 2 3 7" xfId="2362" xr:uid="{00000000-0005-0000-0000-000056090000}"/>
    <cellStyle name="Comma 4 3 2 3 8" xfId="2779" xr:uid="{00000000-0005-0000-0000-000057090000}"/>
    <cellStyle name="Comma 4 3 2 3 8 2" xfId="7002" xr:uid="{00000000-0005-0000-0000-000058090000}"/>
    <cellStyle name="Comma 4 3 2 3 8 2 2" xfId="16328" xr:uid="{B1600567-098F-41E0-B203-D2CF2E28501A}"/>
    <cellStyle name="Comma 4 3 2 3 8 2 3" xfId="24775" xr:uid="{A5C927E2-92F2-4601-B443-9C03F136A85A}"/>
    <cellStyle name="Comma 4 3 2 3 8 2 4" xfId="33222" xr:uid="{0675AB68-4DD7-42D6-8A03-D42293B8CDCF}"/>
    <cellStyle name="Comma 4 3 2 3 8 3" xfId="12111" xr:uid="{27E8CA6D-C916-439E-95A9-E950EB143AEB}"/>
    <cellStyle name="Comma 4 3 2 3 8 4" xfId="20558" xr:uid="{9EAC41D8-95E7-42A9-980C-96EB876D9540}"/>
    <cellStyle name="Comma 4 3 2 3 8 5" xfId="29005" xr:uid="{A01F0679-E49C-4B3B-ACCC-A25379103D6A}"/>
    <cellStyle name="Comma 4 3 2 3 9" xfId="4619" xr:uid="{00000000-0005-0000-0000-000059090000}"/>
    <cellStyle name="Comma 4 3 2 3 9 2" xfId="13945" xr:uid="{8DB0F90F-7D72-43E0-87B1-B48BD2565CE0}"/>
    <cellStyle name="Comma 4 3 2 3 9 3" xfId="22392" xr:uid="{046B11CD-AB36-46DD-94F6-ACA69FD6F551}"/>
    <cellStyle name="Comma 4 3 2 3 9 4" xfId="30839" xr:uid="{C80B2326-5EA5-45B7-ACDB-4B3368508CDE}"/>
    <cellStyle name="Comma 4 3 2 4" xfId="682" xr:uid="{00000000-0005-0000-0000-00005A090000}"/>
    <cellStyle name="Comma 4 3 2 4 2" xfId="2953" xr:uid="{00000000-0005-0000-0000-00005B090000}"/>
    <cellStyle name="Comma 4 3 2 4 2 2" xfId="7175" xr:uid="{00000000-0005-0000-0000-00005C090000}"/>
    <cellStyle name="Comma 4 3 2 4 2 2 2" xfId="16501" xr:uid="{AC38DFF1-1A34-42F0-BA4A-3AB21EC54A20}"/>
    <cellStyle name="Comma 4 3 2 4 2 2 3" xfId="24948" xr:uid="{944FF7E8-67D6-4187-B0A5-87A55AF70827}"/>
    <cellStyle name="Comma 4 3 2 4 2 2 4" xfId="33395" xr:uid="{22017DB2-FB98-434A-ABAA-BBE8CD103118}"/>
    <cellStyle name="Comma 4 3 2 4 2 3" xfId="12284" xr:uid="{6078F255-CB93-4D5D-A74E-151BFA71126E}"/>
    <cellStyle name="Comma 4 3 2 4 2 4" xfId="20731" xr:uid="{1120FC2C-6C1F-4B77-9CF3-A60419F0B2F6}"/>
    <cellStyle name="Comma 4 3 2 4 2 5" xfId="29178" xr:uid="{E654FACE-209C-4886-9104-28514F53016B}"/>
    <cellStyle name="Comma 4 3 2 4 3" xfId="5030" xr:uid="{00000000-0005-0000-0000-00005D090000}"/>
    <cellStyle name="Comma 4 3 2 4 3 2" xfId="14356" xr:uid="{FDEA8CA7-5626-4835-B253-FF061E558247}"/>
    <cellStyle name="Comma 4 3 2 4 3 3" xfId="22803" xr:uid="{7131F8F5-1F4C-4118-B4C1-CA35F137F0D6}"/>
    <cellStyle name="Comma 4 3 2 4 3 4" xfId="31250" xr:uid="{ECADF269-0DF7-4381-91DD-6E7565CECBA9}"/>
    <cellStyle name="Comma 4 3 2 4 4" xfId="9232" xr:uid="{8193451B-D8F0-40BD-91ED-34E7041117F6}"/>
    <cellStyle name="Comma 4 3 2 4 5" xfId="10139" xr:uid="{E446CDD3-073E-41BE-B231-FE1A3C75728B}"/>
    <cellStyle name="Comma 4 3 2 4 6" xfId="18586" xr:uid="{2ADEF3A9-88D1-412D-85B4-5737592A5A5C}"/>
    <cellStyle name="Comma 4 3 2 4 7" xfId="27033" xr:uid="{98ABB2D0-11FE-4858-9864-1282B1D0CD97}"/>
    <cellStyle name="Comma 4 3 2 5" xfId="1135" xr:uid="{00000000-0005-0000-0000-00005E090000}"/>
    <cellStyle name="Comma 4 3 2 5 2" xfId="3366" xr:uid="{00000000-0005-0000-0000-00005F090000}"/>
    <cellStyle name="Comma 4 3 2 5 2 2" xfId="7588" xr:uid="{00000000-0005-0000-0000-000060090000}"/>
    <cellStyle name="Comma 4 3 2 5 2 2 2" xfId="16914" xr:uid="{B9A4A3A9-52A7-4243-9A87-7AA197752C18}"/>
    <cellStyle name="Comma 4 3 2 5 2 2 3" xfId="25361" xr:uid="{78567188-7FEA-4B3D-BC54-5913E0B8AC17}"/>
    <cellStyle name="Comma 4 3 2 5 2 2 4" xfId="33808" xr:uid="{622EC003-63DA-47A6-A6E8-A2F63237D355}"/>
    <cellStyle name="Comma 4 3 2 5 2 3" xfId="12697" xr:uid="{22231BFA-6FAB-4060-9A3C-75163544D655}"/>
    <cellStyle name="Comma 4 3 2 5 2 4" xfId="21144" xr:uid="{184B7D84-1567-40CD-B4EE-90F11F3FD238}"/>
    <cellStyle name="Comma 4 3 2 5 2 5" xfId="29591" xr:uid="{93CF542D-5F95-4F4E-9949-91BB2E7AAEEB}"/>
    <cellStyle name="Comma 4 3 2 5 3" xfId="5443" xr:uid="{00000000-0005-0000-0000-000061090000}"/>
    <cellStyle name="Comma 4 3 2 5 3 2" xfId="14769" xr:uid="{A9AAB367-4453-43B5-8C36-E0CB66E0D98F}"/>
    <cellStyle name="Comma 4 3 2 5 3 3" xfId="23216" xr:uid="{FDDCD8B0-2B8F-4DEA-952D-1ECBD1055B42}"/>
    <cellStyle name="Comma 4 3 2 5 3 4" xfId="31663" xr:uid="{AC22A22C-C99F-45B7-AB48-79DBBDFE404B}"/>
    <cellStyle name="Comma 4 3 2 5 4" xfId="10552" xr:uid="{19292ED7-DD02-4DF2-B436-06FFCC8B0773}"/>
    <cellStyle name="Comma 4 3 2 5 5" xfId="18999" xr:uid="{663959C7-F4E5-4F10-B06F-0E157A50C642}"/>
    <cellStyle name="Comma 4 3 2 5 6" xfId="27446" xr:uid="{95133855-7C18-43CA-BCF2-5A65475A3BEF}"/>
    <cellStyle name="Comma 4 3 2 6" xfId="1549" xr:uid="{00000000-0005-0000-0000-000062090000}"/>
    <cellStyle name="Comma 4 3 2 6 2" xfId="3779" xr:uid="{00000000-0005-0000-0000-000063090000}"/>
    <cellStyle name="Comma 4 3 2 6 2 2" xfId="8001" xr:uid="{00000000-0005-0000-0000-000064090000}"/>
    <cellStyle name="Comma 4 3 2 6 2 2 2" xfId="17327" xr:uid="{93B876B3-6E2D-4B8E-94D3-C91A04A92185}"/>
    <cellStyle name="Comma 4 3 2 6 2 2 3" xfId="25774" xr:uid="{A5600B0B-0D64-406C-A681-9D66E6C6DD42}"/>
    <cellStyle name="Comma 4 3 2 6 2 2 4" xfId="34221" xr:uid="{21D492FE-8612-4033-9913-983C05B2A487}"/>
    <cellStyle name="Comma 4 3 2 6 2 3" xfId="13110" xr:uid="{C6B16FC2-B39C-47E1-A006-5C586AFF4B29}"/>
    <cellStyle name="Comma 4 3 2 6 2 4" xfId="21557" xr:uid="{95E8558C-98DF-4DD9-9476-7E72C5C51C83}"/>
    <cellStyle name="Comma 4 3 2 6 2 5" xfId="30004" xr:uid="{AE01FBF4-50C1-4B93-B899-8863D29FF1D3}"/>
    <cellStyle name="Comma 4 3 2 6 3" xfId="5856" xr:uid="{00000000-0005-0000-0000-000065090000}"/>
    <cellStyle name="Comma 4 3 2 6 3 2" xfId="15182" xr:uid="{11D1FE7A-B439-49F1-8FBA-03496C530AC7}"/>
    <cellStyle name="Comma 4 3 2 6 3 3" xfId="23629" xr:uid="{ECA95F15-D907-4984-8497-0A388B8F1BC6}"/>
    <cellStyle name="Comma 4 3 2 6 3 4" xfId="32076" xr:uid="{E9BF46BF-D305-452D-A649-228EE5036BD7}"/>
    <cellStyle name="Comma 4 3 2 6 4" xfId="10965" xr:uid="{CCE12787-13A9-40BD-8DE0-2C20B00481B0}"/>
    <cellStyle name="Comma 4 3 2 6 5" xfId="19412" xr:uid="{5A8764ED-E4A5-40AF-BE74-E78370497076}"/>
    <cellStyle name="Comma 4 3 2 6 6" xfId="27859" xr:uid="{064BBCDC-977A-4798-ABA7-E698A6D3BAE1}"/>
    <cellStyle name="Comma 4 3 2 7" xfId="1963" xr:uid="{00000000-0005-0000-0000-000066090000}"/>
    <cellStyle name="Comma 4 3 2 7 2" xfId="4192" xr:uid="{00000000-0005-0000-0000-000067090000}"/>
    <cellStyle name="Comma 4 3 2 7 2 2" xfId="8414" xr:uid="{00000000-0005-0000-0000-000068090000}"/>
    <cellStyle name="Comma 4 3 2 7 2 2 2" xfId="17740" xr:uid="{B0D508EA-37E7-4769-BDFE-78ACDE598213}"/>
    <cellStyle name="Comma 4 3 2 7 2 2 3" xfId="26187" xr:uid="{1E6CB3C6-0648-40E4-B101-B6BC88E5D3ED}"/>
    <cellStyle name="Comma 4 3 2 7 2 2 4" xfId="34634" xr:uid="{38D3F62B-062B-4D30-8AB9-21697BC76530}"/>
    <cellStyle name="Comma 4 3 2 7 2 3" xfId="13523" xr:uid="{CBFE7B14-6414-4CAE-BC42-E6CA9A4E51C7}"/>
    <cellStyle name="Comma 4 3 2 7 2 4" xfId="21970" xr:uid="{9C734597-0FFD-41DC-AA76-0039F3E335CC}"/>
    <cellStyle name="Comma 4 3 2 7 2 5" xfId="30417" xr:uid="{48CAACAA-362C-4EB2-9CD6-7E0C417BC03E}"/>
    <cellStyle name="Comma 4 3 2 7 3" xfId="6269" xr:uid="{00000000-0005-0000-0000-000069090000}"/>
    <cellStyle name="Comma 4 3 2 7 3 2" xfId="15595" xr:uid="{66678212-0721-44C4-AE3C-93539D4FC869}"/>
    <cellStyle name="Comma 4 3 2 7 3 3" xfId="24042" xr:uid="{C56548EB-D07C-44AB-BD77-85AFE369E4A2}"/>
    <cellStyle name="Comma 4 3 2 7 3 4" xfId="32489" xr:uid="{27066CD3-9EAF-44D8-B4A5-43FD4D652865}"/>
    <cellStyle name="Comma 4 3 2 7 4" xfId="11378" xr:uid="{6097203A-8246-47F8-AE97-9AA5BBE3D749}"/>
    <cellStyle name="Comma 4 3 2 7 5" xfId="19825" xr:uid="{4ADFF52A-F6EF-4039-B192-3ABA6938BBB5}"/>
    <cellStyle name="Comma 4 3 2 7 6" xfId="28272" xr:uid="{A5D25637-31E1-4ABF-AB25-E348C6E8A28E}"/>
    <cellStyle name="Comma 4 3 2 8" xfId="2398" xr:uid="{00000000-0005-0000-0000-00006A090000}"/>
    <cellStyle name="Comma 4 3 2 8 2" xfId="6682" xr:uid="{00000000-0005-0000-0000-00006B090000}"/>
    <cellStyle name="Comma 4 3 2 8 2 2" xfId="16008" xr:uid="{5634BCDF-6C43-4D5D-ADE3-3FCDA5A12133}"/>
    <cellStyle name="Comma 4 3 2 8 2 3" xfId="24455" xr:uid="{4C360E18-2255-4A3B-BF55-E40530A615E5}"/>
    <cellStyle name="Comma 4 3 2 8 2 4" xfId="32902" xr:uid="{786060C7-7683-4DC7-9908-AFFFC72F8182}"/>
    <cellStyle name="Comma 4 3 2 8 3" xfId="11791" xr:uid="{5B827D20-A39A-4EDA-BAA2-E06E87F893DF}"/>
    <cellStyle name="Comma 4 3 2 8 4" xfId="20238" xr:uid="{ACD73A2F-57C0-4D09-B072-C8D3D6F3A250}"/>
    <cellStyle name="Comma 4 3 2 8 5" xfId="28685" xr:uid="{59A94714-C6C7-4FC6-AA33-C6CCA5813EE1}"/>
    <cellStyle name="Comma 4 3 2 9" xfId="2365" xr:uid="{00000000-0005-0000-0000-00006C090000}"/>
    <cellStyle name="Comma 4 3 3" xfId="149" xr:uid="{00000000-0005-0000-0000-00006D090000}"/>
    <cellStyle name="Comma 4 3 3 10" xfId="4620" xr:uid="{00000000-0005-0000-0000-00006E090000}"/>
    <cellStyle name="Comma 4 3 3 10 2" xfId="13946" xr:uid="{C6C35625-8798-4E5B-B9B6-0B7DEBAEF75E}"/>
    <cellStyle name="Comma 4 3 3 10 3" xfId="22393" xr:uid="{53C56519-3611-4B8C-99BE-E58825F14635}"/>
    <cellStyle name="Comma 4 3 3 10 4" xfId="30840" xr:uid="{A3C36C1C-EF8C-4C0E-93BA-9BC0A062372E}"/>
    <cellStyle name="Comma 4 3 3 11" xfId="8881" xr:uid="{ACA3BC7C-CED7-49C2-9DC3-E2A3989962E9}"/>
    <cellStyle name="Comma 4 3 3 12" xfId="9729" xr:uid="{0D131885-7C9F-4A3E-BB72-38B1335D9E2E}"/>
    <cellStyle name="Comma 4 3 3 13" xfId="18176" xr:uid="{C52635B3-7FCF-496D-B705-73BAAE0B9AAA}"/>
    <cellStyle name="Comma 4 3 3 14" xfId="26623" xr:uid="{F889873C-0F74-432B-ACD5-F21074511D0E}"/>
    <cellStyle name="Comma 4 3 3 2" xfId="150" xr:uid="{00000000-0005-0000-0000-00006F090000}"/>
    <cellStyle name="Comma 4 3 3 2 10" xfId="9088" xr:uid="{D40CFC42-DEA3-4A4C-8532-2B6CFC29229D}"/>
    <cellStyle name="Comma 4 3 3 2 11" xfId="9730" xr:uid="{663EB801-685C-4ED4-958C-98DE51E15553}"/>
    <cellStyle name="Comma 4 3 3 2 12" xfId="18177" xr:uid="{F876BB74-81D8-43EB-8819-55B8EE77A7E9}"/>
    <cellStyle name="Comma 4 3 3 2 13" xfId="26624" xr:uid="{0A9E0D90-E825-4113-88C0-E113D326F91B}"/>
    <cellStyle name="Comma 4 3 3 2 2" xfId="687" xr:uid="{00000000-0005-0000-0000-000070090000}"/>
    <cellStyle name="Comma 4 3 3 2 2 2" xfId="2958" xr:uid="{00000000-0005-0000-0000-000071090000}"/>
    <cellStyle name="Comma 4 3 3 2 2 2 2" xfId="7180" xr:uid="{00000000-0005-0000-0000-000072090000}"/>
    <cellStyle name="Comma 4 3 3 2 2 2 2 2" xfId="16506" xr:uid="{72054FDA-F766-415C-83EF-0957C593F00A}"/>
    <cellStyle name="Comma 4 3 3 2 2 2 2 3" xfId="24953" xr:uid="{817A944B-3CB9-46F7-A38F-B5A73460A785}"/>
    <cellStyle name="Comma 4 3 3 2 2 2 2 4" xfId="33400" xr:uid="{1DC393CD-05ED-4527-9DCE-14C8C126EFBF}"/>
    <cellStyle name="Comma 4 3 3 2 2 2 3" xfId="12289" xr:uid="{15DCB8D0-08C3-4956-B4FD-1B8E0CE1D302}"/>
    <cellStyle name="Comma 4 3 3 2 2 2 4" xfId="20736" xr:uid="{DCA6D928-2E41-4122-BFD0-1111B199A7C7}"/>
    <cellStyle name="Comma 4 3 3 2 2 2 5" xfId="29183" xr:uid="{92DE24DF-47BF-45A5-90F9-63866422CD22}"/>
    <cellStyle name="Comma 4 3 3 2 2 3" xfId="5035" xr:uid="{00000000-0005-0000-0000-000073090000}"/>
    <cellStyle name="Comma 4 3 3 2 2 3 2" xfId="14361" xr:uid="{CD4B655D-0596-42DC-B6E8-5042D6A6A07E}"/>
    <cellStyle name="Comma 4 3 3 2 2 3 3" xfId="22808" xr:uid="{7D0484FC-C0FE-4EF7-99DF-6C14236FBB2E}"/>
    <cellStyle name="Comma 4 3 3 2 2 3 4" xfId="31255" xr:uid="{96E806AE-5CE9-45B1-B19A-6B51961B8447}"/>
    <cellStyle name="Comma 4 3 3 2 2 4" xfId="9513" xr:uid="{986E0DAD-8ABC-4DAC-9C56-EF87B6B3B829}"/>
    <cellStyle name="Comma 4 3 3 2 2 5" xfId="10144" xr:uid="{55FDA229-094F-4E79-AFB4-B522FBB946CF}"/>
    <cellStyle name="Comma 4 3 3 2 2 6" xfId="18591" xr:uid="{5C7DAF57-A840-4B38-BC60-D5B13EA5D7D1}"/>
    <cellStyle name="Comma 4 3 3 2 2 7" xfId="27038" xr:uid="{DFF0E7F7-6D9E-455D-8004-0289865C8251}"/>
    <cellStyle name="Comma 4 3 3 2 3" xfId="1140" xr:uid="{00000000-0005-0000-0000-000074090000}"/>
    <cellStyle name="Comma 4 3 3 2 3 2" xfId="3371" xr:uid="{00000000-0005-0000-0000-000075090000}"/>
    <cellStyle name="Comma 4 3 3 2 3 2 2" xfId="7593" xr:uid="{00000000-0005-0000-0000-000076090000}"/>
    <cellStyle name="Comma 4 3 3 2 3 2 2 2" xfId="16919" xr:uid="{17F07942-207B-4E9B-BE42-994594A274FE}"/>
    <cellStyle name="Comma 4 3 3 2 3 2 2 3" xfId="25366" xr:uid="{4FAED616-534A-416C-8158-3FCCBC50D01D}"/>
    <cellStyle name="Comma 4 3 3 2 3 2 2 4" xfId="33813" xr:uid="{FAD52C1B-7A49-4625-8ABC-72D26E5E412F}"/>
    <cellStyle name="Comma 4 3 3 2 3 2 3" xfId="12702" xr:uid="{8FDF8D6A-9EF8-42EA-9876-7D56D5313C7C}"/>
    <cellStyle name="Comma 4 3 3 2 3 2 4" xfId="21149" xr:uid="{6FC6EA5C-E4B4-40EC-ACF6-7170A4C73BDA}"/>
    <cellStyle name="Comma 4 3 3 2 3 2 5" xfId="29596" xr:uid="{D0D8106B-3DB8-4164-B14B-C3B3F0E8E887}"/>
    <cellStyle name="Comma 4 3 3 2 3 3" xfId="5448" xr:uid="{00000000-0005-0000-0000-000077090000}"/>
    <cellStyle name="Comma 4 3 3 2 3 3 2" xfId="14774" xr:uid="{C2769A8E-8C0B-43B4-B692-A134479EA329}"/>
    <cellStyle name="Comma 4 3 3 2 3 3 3" xfId="23221" xr:uid="{34CD3695-4801-44EE-AB33-C9085A7BAB93}"/>
    <cellStyle name="Comma 4 3 3 2 3 3 4" xfId="31668" xr:uid="{B4CB0129-0D88-4EB4-A8C5-31BF2570F3A3}"/>
    <cellStyle name="Comma 4 3 3 2 3 4" xfId="10557" xr:uid="{A8048A86-0972-459D-81FF-582F4B655D1C}"/>
    <cellStyle name="Comma 4 3 3 2 3 5" xfId="19004" xr:uid="{2A750BC0-88D1-454C-9FE1-511E22A2AC31}"/>
    <cellStyle name="Comma 4 3 3 2 3 6" xfId="27451" xr:uid="{09E18ECB-D3A0-4409-B586-C21588069F3E}"/>
    <cellStyle name="Comma 4 3 3 2 4" xfId="1554" xr:uid="{00000000-0005-0000-0000-000078090000}"/>
    <cellStyle name="Comma 4 3 3 2 4 2" xfId="3784" xr:uid="{00000000-0005-0000-0000-000079090000}"/>
    <cellStyle name="Comma 4 3 3 2 4 2 2" xfId="8006" xr:uid="{00000000-0005-0000-0000-00007A090000}"/>
    <cellStyle name="Comma 4 3 3 2 4 2 2 2" xfId="17332" xr:uid="{6BA19223-7A42-4154-AA48-CD2A828C6AA8}"/>
    <cellStyle name="Comma 4 3 3 2 4 2 2 3" xfId="25779" xr:uid="{C1B5D524-7998-42BB-8B46-63280C3D0BDB}"/>
    <cellStyle name="Comma 4 3 3 2 4 2 2 4" xfId="34226" xr:uid="{1CAF142B-B0AE-4ED4-A47C-87605E528274}"/>
    <cellStyle name="Comma 4 3 3 2 4 2 3" xfId="13115" xr:uid="{5B947088-93F5-4A60-85A5-F0F392A6612C}"/>
    <cellStyle name="Comma 4 3 3 2 4 2 4" xfId="21562" xr:uid="{785708A6-8C42-413C-95A5-ABA76E98ED81}"/>
    <cellStyle name="Comma 4 3 3 2 4 2 5" xfId="30009" xr:uid="{D8F8C7A2-EC92-4BCD-9B95-B8F14ED94EAA}"/>
    <cellStyle name="Comma 4 3 3 2 4 3" xfId="5861" xr:uid="{00000000-0005-0000-0000-00007B090000}"/>
    <cellStyle name="Comma 4 3 3 2 4 3 2" xfId="15187" xr:uid="{5F3A2338-9D97-4B1F-B4A8-87ABC6FC42EB}"/>
    <cellStyle name="Comma 4 3 3 2 4 3 3" xfId="23634" xr:uid="{6C3536C3-F3CF-49DC-8E70-A1F28E338339}"/>
    <cellStyle name="Comma 4 3 3 2 4 3 4" xfId="32081" xr:uid="{4EC2A1E4-4990-4926-866C-AFDA8820C42D}"/>
    <cellStyle name="Comma 4 3 3 2 4 4" xfId="10970" xr:uid="{9E09CACC-196F-4AAB-8CA0-96E7C27100A5}"/>
    <cellStyle name="Comma 4 3 3 2 4 5" xfId="19417" xr:uid="{A69954DE-DE3C-4B43-9F9D-4BD35A39DBB0}"/>
    <cellStyle name="Comma 4 3 3 2 4 6" xfId="27864" xr:uid="{573256B7-3907-466D-911E-2096173630E7}"/>
    <cellStyle name="Comma 4 3 3 2 5" xfId="1968" xr:uid="{00000000-0005-0000-0000-00007C090000}"/>
    <cellStyle name="Comma 4 3 3 2 5 2" xfId="4197" xr:uid="{00000000-0005-0000-0000-00007D090000}"/>
    <cellStyle name="Comma 4 3 3 2 5 2 2" xfId="8419" xr:uid="{00000000-0005-0000-0000-00007E090000}"/>
    <cellStyle name="Comma 4 3 3 2 5 2 2 2" xfId="17745" xr:uid="{EBEB7000-1028-4A06-98B7-EA69E5129879}"/>
    <cellStyle name="Comma 4 3 3 2 5 2 2 3" xfId="26192" xr:uid="{A29BA780-27C4-4545-A65A-E261CA360290}"/>
    <cellStyle name="Comma 4 3 3 2 5 2 2 4" xfId="34639" xr:uid="{34EAEDC2-F617-4468-B51A-01A370F15F0B}"/>
    <cellStyle name="Comma 4 3 3 2 5 2 3" xfId="13528" xr:uid="{3CE5C2BD-EFE8-4363-8448-D5757BD26125}"/>
    <cellStyle name="Comma 4 3 3 2 5 2 4" xfId="21975" xr:uid="{1B36D5B5-297C-43BF-89F1-C04C759F777C}"/>
    <cellStyle name="Comma 4 3 3 2 5 2 5" xfId="30422" xr:uid="{13E4AFAA-5BEB-4E8D-AC81-951CF659F70E}"/>
    <cellStyle name="Comma 4 3 3 2 5 3" xfId="6274" xr:uid="{00000000-0005-0000-0000-00007F090000}"/>
    <cellStyle name="Comma 4 3 3 2 5 3 2" xfId="15600" xr:uid="{E09EC80A-046D-4CA5-8FFD-E7A6AC85327A}"/>
    <cellStyle name="Comma 4 3 3 2 5 3 3" xfId="24047" xr:uid="{9F6054EC-4B97-495D-9DD0-69828A619F4E}"/>
    <cellStyle name="Comma 4 3 3 2 5 3 4" xfId="32494" xr:uid="{5F28B73F-12FA-4FA5-8F19-2607B1116C34}"/>
    <cellStyle name="Comma 4 3 3 2 5 4" xfId="11383" xr:uid="{BED40B97-B153-4CF1-99F8-FEE3A64061D5}"/>
    <cellStyle name="Comma 4 3 3 2 5 5" xfId="19830" xr:uid="{99677DB3-BDD1-4C69-AD83-61B32C7AF781}"/>
    <cellStyle name="Comma 4 3 3 2 5 6" xfId="28277" xr:uid="{EC5D9BA5-9A67-493F-9F0D-735FA7D51F3E}"/>
    <cellStyle name="Comma 4 3 3 2 6" xfId="2403" xr:uid="{00000000-0005-0000-0000-000080090000}"/>
    <cellStyle name="Comma 4 3 3 2 6 2" xfId="6687" xr:uid="{00000000-0005-0000-0000-000081090000}"/>
    <cellStyle name="Comma 4 3 3 2 6 2 2" xfId="16013" xr:uid="{DE5EC3DD-8F28-4177-A88E-7CC4D80106C1}"/>
    <cellStyle name="Comma 4 3 3 2 6 2 3" xfId="24460" xr:uid="{55F1AC1A-5D92-4403-AD1C-A9B913DE3170}"/>
    <cellStyle name="Comma 4 3 3 2 6 2 4" xfId="32907" xr:uid="{DCECF21C-1085-4DA1-B664-EF69D48BA7A6}"/>
    <cellStyle name="Comma 4 3 3 2 6 3" xfId="11796" xr:uid="{6A9B854A-C547-475F-B884-073DE25D2C96}"/>
    <cellStyle name="Comma 4 3 3 2 6 4" xfId="20243" xr:uid="{7516E734-9390-4905-8427-5D006222DC2E}"/>
    <cellStyle name="Comma 4 3 3 2 6 5" xfId="28690" xr:uid="{900C8FA0-1241-4141-9102-930E7D84447E}"/>
    <cellStyle name="Comma 4 3 3 2 7" xfId="2360" xr:uid="{00000000-0005-0000-0000-000082090000}"/>
    <cellStyle name="Comma 4 3 3 2 8" xfId="2781" xr:uid="{00000000-0005-0000-0000-000083090000}"/>
    <cellStyle name="Comma 4 3 3 2 8 2" xfId="7004" xr:uid="{00000000-0005-0000-0000-000084090000}"/>
    <cellStyle name="Comma 4 3 3 2 8 2 2" xfId="16330" xr:uid="{434038D2-E1F0-40B2-AF7E-DBD8227ECA39}"/>
    <cellStyle name="Comma 4 3 3 2 8 2 3" xfId="24777" xr:uid="{CA2CCDA4-F9DB-4895-B2A1-AAE2ECEAAC7D}"/>
    <cellStyle name="Comma 4 3 3 2 8 2 4" xfId="33224" xr:uid="{F4CB8F89-EFAC-4949-ADB0-DE43158AECEC}"/>
    <cellStyle name="Comma 4 3 3 2 8 3" xfId="12113" xr:uid="{1F45EE5B-830C-43F4-BA48-8E1CB6FE00B8}"/>
    <cellStyle name="Comma 4 3 3 2 8 4" xfId="20560" xr:uid="{05D3FA61-6A6B-46A1-818D-56F0DC4E3DA1}"/>
    <cellStyle name="Comma 4 3 3 2 8 5" xfId="29007" xr:uid="{AC7C6DB4-BFED-46EA-9B98-1A062FE0BB30}"/>
    <cellStyle name="Comma 4 3 3 2 9" xfId="4621" xr:uid="{00000000-0005-0000-0000-000085090000}"/>
    <cellStyle name="Comma 4 3 3 2 9 2" xfId="13947" xr:uid="{F0B917E5-F1F0-4D54-9940-4E06FED3EA6A}"/>
    <cellStyle name="Comma 4 3 3 2 9 3" xfId="22394" xr:uid="{50A6A945-C916-4D93-B2B1-21AF4FB89E1C}"/>
    <cellStyle name="Comma 4 3 3 2 9 4" xfId="30841" xr:uid="{4EE3A7CB-F83B-4C69-A493-21EB1E97C1DA}"/>
    <cellStyle name="Comma 4 3 3 3" xfId="686" xr:uid="{00000000-0005-0000-0000-000086090000}"/>
    <cellStyle name="Comma 4 3 3 3 2" xfId="2957" xr:uid="{00000000-0005-0000-0000-000087090000}"/>
    <cellStyle name="Comma 4 3 3 3 2 2" xfId="7179" xr:uid="{00000000-0005-0000-0000-000088090000}"/>
    <cellStyle name="Comma 4 3 3 3 2 2 2" xfId="16505" xr:uid="{6C50D791-6D9D-4E36-9CC1-7C1B19895C37}"/>
    <cellStyle name="Comma 4 3 3 3 2 2 3" xfId="24952" xr:uid="{A33A2A3D-44F2-44F5-8CD7-6A902202BEE3}"/>
    <cellStyle name="Comma 4 3 3 3 2 2 4" xfId="33399" xr:uid="{9F529FEB-18C4-4BDB-A34D-E3450FED6CA8}"/>
    <cellStyle name="Comma 4 3 3 3 2 3" xfId="12288" xr:uid="{E8604776-5CD9-480B-939A-48114C2BC30A}"/>
    <cellStyle name="Comma 4 3 3 3 2 4" xfId="20735" xr:uid="{40134315-1398-4727-A92F-6F34DB00EC70}"/>
    <cellStyle name="Comma 4 3 3 3 2 5" xfId="29182" xr:uid="{BA1D1D23-CDD5-4494-AD22-CD1BBD27ADB6}"/>
    <cellStyle name="Comma 4 3 3 3 3" xfId="5034" xr:uid="{00000000-0005-0000-0000-000089090000}"/>
    <cellStyle name="Comma 4 3 3 3 3 2" xfId="14360" xr:uid="{FEF9ABBF-3934-4C4A-B30D-374841501B99}"/>
    <cellStyle name="Comma 4 3 3 3 3 3" xfId="22807" xr:uid="{941FAD0F-313C-424F-8FCE-F90382F2B981}"/>
    <cellStyle name="Comma 4 3 3 3 3 4" xfId="31254" xr:uid="{E7D6C5BA-E626-43F0-ABD2-13B2077074B8}"/>
    <cellStyle name="Comma 4 3 3 3 4" xfId="9306" xr:uid="{6AC2749B-EC1D-4760-AD4B-F36381A669B6}"/>
    <cellStyle name="Comma 4 3 3 3 5" xfId="10143" xr:uid="{2AB48F9A-013E-49FA-8043-13EB285B1AF9}"/>
    <cellStyle name="Comma 4 3 3 3 6" xfId="18590" xr:uid="{6359D91B-5031-4BC1-820F-F742F82CC0C1}"/>
    <cellStyle name="Comma 4 3 3 3 7" xfId="27037" xr:uid="{3ABF122A-F4A1-4B8E-A195-A4FAE24FF89C}"/>
    <cellStyle name="Comma 4 3 3 4" xfId="1139" xr:uid="{00000000-0005-0000-0000-00008A090000}"/>
    <cellStyle name="Comma 4 3 3 4 2" xfId="3370" xr:uid="{00000000-0005-0000-0000-00008B090000}"/>
    <cellStyle name="Comma 4 3 3 4 2 2" xfId="7592" xr:uid="{00000000-0005-0000-0000-00008C090000}"/>
    <cellStyle name="Comma 4 3 3 4 2 2 2" xfId="16918" xr:uid="{3029D281-B63E-4EB6-BAD9-F8A4D8134826}"/>
    <cellStyle name="Comma 4 3 3 4 2 2 3" xfId="25365" xr:uid="{4FEFF035-149E-4C63-B0F7-11CE8DB967EC}"/>
    <cellStyle name="Comma 4 3 3 4 2 2 4" xfId="33812" xr:uid="{D07F6BFB-5AEB-459C-9AF1-26FB6E6C7CBB}"/>
    <cellStyle name="Comma 4 3 3 4 2 3" xfId="12701" xr:uid="{E7B1E5B1-5483-4E06-AA01-E0663441AE52}"/>
    <cellStyle name="Comma 4 3 3 4 2 4" xfId="21148" xr:uid="{1480875C-474E-435F-A5D6-0F6A7ADA170C}"/>
    <cellStyle name="Comma 4 3 3 4 2 5" xfId="29595" xr:uid="{FD86CD79-F672-4433-BFE5-7627316A9856}"/>
    <cellStyle name="Comma 4 3 3 4 3" xfId="5447" xr:uid="{00000000-0005-0000-0000-00008D090000}"/>
    <cellStyle name="Comma 4 3 3 4 3 2" xfId="14773" xr:uid="{7A592F51-C4C9-42A8-A39C-D1EC0F610A59}"/>
    <cellStyle name="Comma 4 3 3 4 3 3" xfId="23220" xr:uid="{4F27B7FC-E7A0-4984-9DB6-BF880BC4CFB8}"/>
    <cellStyle name="Comma 4 3 3 4 3 4" xfId="31667" xr:uid="{A0959B6F-C703-4EA8-B15E-6462F2524389}"/>
    <cellStyle name="Comma 4 3 3 4 4" xfId="10556" xr:uid="{731A2F32-5D0D-40AF-A16D-ADB0AF06B655}"/>
    <cellStyle name="Comma 4 3 3 4 5" xfId="19003" xr:uid="{1BC2DC11-BECE-4E77-9611-EDA8B083492D}"/>
    <cellStyle name="Comma 4 3 3 4 6" xfId="27450" xr:uid="{D06612E1-37D4-45CA-B8D7-DEE6A40A02EE}"/>
    <cellStyle name="Comma 4 3 3 5" xfId="1553" xr:uid="{00000000-0005-0000-0000-00008E090000}"/>
    <cellStyle name="Comma 4 3 3 5 2" xfId="3783" xr:uid="{00000000-0005-0000-0000-00008F090000}"/>
    <cellStyle name="Comma 4 3 3 5 2 2" xfId="8005" xr:uid="{00000000-0005-0000-0000-000090090000}"/>
    <cellStyle name="Comma 4 3 3 5 2 2 2" xfId="17331" xr:uid="{B4403642-35AF-4CF5-B600-CEF429305B49}"/>
    <cellStyle name="Comma 4 3 3 5 2 2 3" xfId="25778" xr:uid="{1F56641E-46F2-4455-AB06-3441130BB861}"/>
    <cellStyle name="Comma 4 3 3 5 2 2 4" xfId="34225" xr:uid="{A9904708-F77A-48DB-A2CF-E0B109F0918D}"/>
    <cellStyle name="Comma 4 3 3 5 2 3" xfId="13114" xr:uid="{9433299C-914F-499D-8CE4-8D38F60BFD81}"/>
    <cellStyle name="Comma 4 3 3 5 2 4" xfId="21561" xr:uid="{1971ECE8-310A-451D-8658-D7492DDE53E7}"/>
    <cellStyle name="Comma 4 3 3 5 2 5" xfId="30008" xr:uid="{C39AE61F-2D86-4A21-95D4-27D2E3F3C550}"/>
    <cellStyle name="Comma 4 3 3 5 3" xfId="5860" xr:uid="{00000000-0005-0000-0000-000091090000}"/>
    <cellStyle name="Comma 4 3 3 5 3 2" xfId="15186" xr:uid="{D92F20ED-57FD-4466-8A5B-F8FD1B520969}"/>
    <cellStyle name="Comma 4 3 3 5 3 3" xfId="23633" xr:uid="{A7ACD579-A4EE-442F-B9DD-8218D70D579B}"/>
    <cellStyle name="Comma 4 3 3 5 3 4" xfId="32080" xr:uid="{F791E2B0-9A8B-4B8E-B9D1-2FADA9EF2F4F}"/>
    <cellStyle name="Comma 4 3 3 5 4" xfId="10969" xr:uid="{59D5B686-9584-46A9-8C05-E684A137EBF7}"/>
    <cellStyle name="Comma 4 3 3 5 5" xfId="19416" xr:uid="{FAF0F2E0-B167-4880-AF99-AEA37E4011BA}"/>
    <cellStyle name="Comma 4 3 3 5 6" xfId="27863" xr:uid="{0A5049D5-274E-47D9-A3A7-3A3A77FFE6FE}"/>
    <cellStyle name="Comma 4 3 3 6" xfId="1967" xr:uid="{00000000-0005-0000-0000-000092090000}"/>
    <cellStyle name="Comma 4 3 3 6 2" xfId="4196" xr:uid="{00000000-0005-0000-0000-000093090000}"/>
    <cellStyle name="Comma 4 3 3 6 2 2" xfId="8418" xr:uid="{00000000-0005-0000-0000-000094090000}"/>
    <cellStyle name="Comma 4 3 3 6 2 2 2" xfId="17744" xr:uid="{00D9C2E8-31A5-4EB1-A415-E5FDFCF2264A}"/>
    <cellStyle name="Comma 4 3 3 6 2 2 3" xfId="26191" xr:uid="{19F65543-1C4E-479D-A5BE-64504D91BD63}"/>
    <cellStyle name="Comma 4 3 3 6 2 2 4" xfId="34638" xr:uid="{75B24DFB-6193-42CF-ADFE-A135E671D47E}"/>
    <cellStyle name="Comma 4 3 3 6 2 3" xfId="13527" xr:uid="{F06C38FE-C0B6-490E-8DDD-FBF4038E0DA1}"/>
    <cellStyle name="Comma 4 3 3 6 2 4" xfId="21974" xr:uid="{8188377D-533A-4959-ABA6-EF90A9858B39}"/>
    <cellStyle name="Comma 4 3 3 6 2 5" xfId="30421" xr:uid="{4DC9FA17-F5B1-4CFF-8328-D6879854DF54}"/>
    <cellStyle name="Comma 4 3 3 6 3" xfId="6273" xr:uid="{00000000-0005-0000-0000-000095090000}"/>
    <cellStyle name="Comma 4 3 3 6 3 2" xfId="15599" xr:uid="{71DE6744-5D13-496A-9C3A-346A63D35DA9}"/>
    <cellStyle name="Comma 4 3 3 6 3 3" xfId="24046" xr:uid="{88E35CBB-AF1B-48B5-86BD-33BB20BABE82}"/>
    <cellStyle name="Comma 4 3 3 6 3 4" xfId="32493" xr:uid="{28BC341C-3E80-4AE6-81D5-C0313F1D1E4E}"/>
    <cellStyle name="Comma 4 3 3 6 4" xfId="11382" xr:uid="{6021C04E-91A3-4C9A-9522-3136F3065678}"/>
    <cellStyle name="Comma 4 3 3 6 5" xfId="19829" xr:uid="{068885BF-DA09-4101-B245-19FBD19CABB9}"/>
    <cellStyle name="Comma 4 3 3 6 6" xfId="28276" xr:uid="{95908A12-B10B-4184-B448-2FA9ADC382C0}"/>
    <cellStyle name="Comma 4 3 3 7" xfId="2402" xr:uid="{00000000-0005-0000-0000-000096090000}"/>
    <cellStyle name="Comma 4 3 3 7 2" xfId="6686" xr:uid="{00000000-0005-0000-0000-000097090000}"/>
    <cellStyle name="Comma 4 3 3 7 2 2" xfId="16012" xr:uid="{173A4BD1-839A-4BBF-B1D4-74FB332E8E7B}"/>
    <cellStyle name="Comma 4 3 3 7 2 3" xfId="24459" xr:uid="{1EBCC1B1-C4F7-420D-8326-61C9506773C4}"/>
    <cellStyle name="Comma 4 3 3 7 2 4" xfId="32906" xr:uid="{D384E34F-5FCE-426D-8DB1-11A421498AA8}"/>
    <cellStyle name="Comma 4 3 3 7 3" xfId="11795" xr:uid="{496F8064-7B5B-4C3C-9BCB-7753C58F5375}"/>
    <cellStyle name="Comma 4 3 3 7 4" xfId="20242" xr:uid="{93938DDA-5945-4F60-B589-815DC33A4A2F}"/>
    <cellStyle name="Comma 4 3 3 7 5" xfId="28689" xr:uid="{C6C8D72C-4F0D-46F7-A79A-27D477386809}"/>
    <cellStyle name="Comma 4 3 3 8" xfId="2361" xr:uid="{00000000-0005-0000-0000-000098090000}"/>
    <cellStyle name="Comma 4 3 3 9" xfId="2780" xr:uid="{00000000-0005-0000-0000-000099090000}"/>
    <cellStyle name="Comma 4 3 3 9 2" xfId="7003" xr:uid="{00000000-0005-0000-0000-00009A090000}"/>
    <cellStyle name="Comma 4 3 3 9 2 2" xfId="16329" xr:uid="{56F177DA-92EB-41C3-893B-F043606D37D9}"/>
    <cellStyle name="Comma 4 3 3 9 2 3" xfId="24776" xr:uid="{4E255A65-50E7-4E9D-8081-E1704E1BD02F}"/>
    <cellStyle name="Comma 4 3 3 9 2 4" xfId="33223" xr:uid="{CDFC25D4-2C12-47BE-8A7C-DF14128052C5}"/>
    <cellStyle name="Comma 4 3 3 9 3" xfId="12112" xr:uid="{13D8719D-A2CF-4E99-8775-B98707B8283A}"/>
    <cellStyle name="Comma 4 3 3 9 4" xfId="20559" xr:uid="{BF477835-719B-4B9B-AC29-9273EB1DFB10}"/>
    <cellStyle name="Comma 4 3 3 9 5" xfId="29006" xr:uid="{C80AF5CF-BC69-4B09-AF7D-3F9A0DD6804B}"/>
    <cellStyle name="Comma 4 3 4" xfId="151" xr:uid="{00000000-0005-0000-0000-00009B090000}"/>
    <cellStyle name="Comma 4 3 4 10" xfId="8985" xr:uid="{E965CEC1-A932-4F91-9E18-794CBF7DC7FC}"/>
    <cellStyle name="Comma 4 3 4 11" xfId="9731" xr:uid="{327F8806-AEDC-4C4D-AADC-751DD59A92F1}"/>
    <cellStyle name="Comma 4 3 4 12" xfId="18178" xr:uid="{9C126A3F-25D4-40F7-95B0-D91A970E971B}"/>
    <cellStyle name="Comma 4 3 4 13" xfId="26625" xr:uid="{4E26008A-97D7-49FF-AB64-D61DD8517E2E}"/>
    <cellStyle name="Comma 4 3 4 2" xfId="688" xr:uid="{00000000-0005-0000-0000-00009C090000}"/>
    <cellStyle name="Comma 4 3 4 2 2" xfId="2959" xr:uid="{00000000-0005-0000-0000-00009D090000}"/>
    <cellStyle name="Comma 4 3 4 2 2 2" xfId="7181" xr:uid="{00000000-0005-0000-0000-00009E090000}"/>
    <cellStyle name="Comma 4 3 4 2 2 2 2" xfId="16507" xr:uid="{454DB2DE-881B-44A6-9A2B-0F6775A2B645}"/>
    <cellStyle name="Comma 4 3 4 2 2 2 3" xfId="24954" xr:uid="{A0064AAD-2E24-4C59-8AAC-81CB4A1EA08A}"/>
    <cellStyle name="Comma 4 3 4 2 2 2 4" xfId="33401" xr:uid="{D70F44E5-0740-4528-94CB-6CD4DDDF21AF}"/>
    <cellStyle name="Comma 4 3 4 2 2 3" xfId="12290" xr:uid="{ABB687FD-20DE-46E5-82EF-3CB94398E430}"/>
    <cellStyle name="Comma 4 3 4 2 2 4" xfId="20737" xr:uid="{DAF01625-7B38-4CA3-9A55-88F725192E97}"/>
    <cellStyle name="Comma 4 3 4 2 2 5" xfId="29184" xr:uid="{CA385190-909F-48E4-B401-10AD3483CCDA}"/>
    <cellStyle name="Comma 4 3 4 2 3" xfId="5036" xr:uid="{00000000-0005-0000-0000-00009F090000}"/>
    <cellStyle name="Comma 4 3 4 2 3 2" xfId="14362" xr:uid="{3D688DC1-3943-4B60-BBC4-59A7FFE08FC0}"/>
    <cellStyle name="Comma 4 3 4 2 3 3" xfId="22809" xr:uid="{CAE7AD00-4061-4B6B-BE47-17D13E05D80F}"/>
    <cellStyle name="Comma 4 3 4 2 3 4" xfId="31256" xr:uid="{581B6CFF-DFBA-452A-B485-24B4D11910AA}"/>
    <cellStyle name="Comma 4 3 4 2 4" xfId="9410" xr:uid="{54DEC146-6204-4AAF-A15F-BAC0A12B5984}"/>
    <cellStyle name="Comma 4 3 4 2 5" xfId="10145" xr:uid="{07276263-6A5B-4BD5-84CB-A266E7096D1F}"/>
    <cellStyle name="Comma 4 3 4 2 6" xfId="18592" xr:uid="{65B3CD81-2529-428D-AA0E-75760BA68E84}"/>
    <cellStyle name="Comma 4 3 4 2 7" xfId="27039" xr:uid="{09DCFA8C-2032-4034-804F-79F56D933DD4}"/>
    <cellStyle name="Comma 4 3 4 3" xfId="1141" xr:uid="{00000000-0005-0000-0000-0000A0090000}"/>
    <cellStyle name="Comma 4 3 4 3 2" xfId="3372" xr:uid="{00000000-0005-0000-0000-0000A1090000}"/>
    <cellStyle name="Comma 4 3 4 3 2 2" xfId="7594" xr:uid="{00000000-0005-0000-0000-0000A2090000}"/>
    <cellStyle name="Comma 4 3 4 3 2 2 2" xfId="16920" xr:uid="{F275FB18-0964-4A38-83DF-3FE749F1A2D9}"/>
    <cellStyle name="Comma 4 3 4 3 2 2 3" xfId="25367" xr:uid="{F012496F-B60E-48D9-AD6C-7047BB22F7B5}"/>
    <cellStyle name="Comma 4 3 4 3 2 2 4" xfId="33814" xr:uid="{4FC9E462-C928-477A-8D8E-A22B08E34C52}"/>
    <cellStyle name="Comma 4 3 4 3 2 3" xfId="12703" xr:uid="{E00ADBB9-E7FC-4535-99EA-12C7F5FD32D8}"/>
    <cellStyle name="Comma 4 3 4 3 2 4" xfId="21150" xr:uid="{D7B9065C-1D97-4795-9E85-8A2CE18B1608}"/>
    <cellStyle name="Comma 4 3 4 3 2 5" xfId="29597" xr:uid="{B27752A7-909D-4E33-BF5B-163C87515740}"/>
    <cellStyle name="Comma 4 3 4 3 3" xfId="5449" xr:uid="{00000000-0005-0000-0000-0000A3090000}"/>
    <cellStyle name="Comma 4 3 4 3 3 2" xfId="14775" xr:uid="{3F372711-4807-44E6-B4A8-5F05D340E5A8}"/>
    <cellStyle name="Comma 4 3 4 3 3 3" xfId="23222" xr:uid="{FFEB906C-E4C9-4352-834A-0AABB37D1646}"/>
    <cellStyle name="Comma 4 3 4 3 3 4" xfId="31669" xr:uid="{0C4385F9-34A4-434B-A9F9-E5FB06BC3949}"/>
    <cellStyle name="Comma 4 3 4 3 4" xfId="10558" xr:uid="{794DB1B1-8717-48FC-8B84-A0088794F486}"/>
    <cellStyle name="Comma 4 3 4 3 5" xfId="19005" xr:uid="{287B8953-C72F-496B-BC75-17A748585BFB}"/>
    <cellStyle name="Comma 4 3 4 3 6" xfId="27452" xr:uid="{9FB31326-C252-4177-8871-FCBD46723903}"/>
    <cellStyle name="Comma 4 3 4 4" xfId="1555" xr:uid="{00000000-0005-0000-0000-0000A4090000}"/>
    <cellStyle name="Comma 4 3 4 4 2" xfId="3785" xr:uid="{00000000-0005-0000-0000-0000A5090000}"/>
    <cellStyle name="Comma 4 3 4 4 2 2" xfId="8007" xr:uid="{00000000-0005-0000-0000-0000A6090000}"/>
    <cellStyle name="Comma 4 3 4 4 2 2 2" xfId="17333" xr:uid="{2F756916-6723-486E-A15C-1A84467CF4E5}"/>
    <cellStyle name="Comma 4 3 4 4 2 2 3" xfId="25780" xr:uid="{CA98D7C9-C949-47BB-80A5-434620B04B7C}"/>
    <cellStyle name="Comma 4 3 4 4 2 2 4" xfId="34227" xr:uid="{B935FACD-5698-48DB-8374-7B9247CB7E0B}"/>
    <cellStyle name="Comma 4 3 4 4 2 3" xfId="13116" xr:uid="{9E5AF7A5-213D-41A9-9308-5ECEE427016A}"/>
    <cellStyle name="Comma 4 3 4 4 2 4" xfId="21563" xr:uid="{1F01ABF3-23AA-461D-9645-7E277308C37D}"/>
    <cellStyle name="Comma 4 3 4 4 2 5" xfId="30010" xr:uid="{9B9C8BB5-4197-4973-A687-40DABBD82CA2}"/>
    <cellStyle name="Comma 4 3 4 4 3" xfId="5862" xr:uid="{00000000-0005-0000-0000-0000A7090000}"/>
    <cellStyle name="Comma 4 3 4 4 3 2" xfId="15188" xr:uid="{524DD705-2BC1-41D9-A8CE-B0B37712D760}"/>
    <cellStyle name="Comma 4 3 4 4 3 3" xfId="23635" xr:uid="{CAF4C52C-155A-458B-9242-B6DC45EE966A}"/>
    <cellStyle name="Comma 4 3 4 4 3 4" xfId="32082" xr:uid="{40CE87DA-9094-4E7B-ACE5-FD519EACFC84}"/>
    <cellStyle name="Comma 4 3 4 4 4" xfId="10971" xr:uid="{1C48244C-9F5A-4F7F-86F1-39EF5B9DF1AC}"/>
    <cellStyle name="Comma 4 3 4 4 5" xfId="19418" xr:uid="{96CCB591-F111-465A-847E-72ABB3AA4B01}"/>
    <cellStyle name="Comma 4 3 4 4 6" xfId="27865" xr:uid="{43627B72-CEA3-4060-A034-2C057F68B222}"/>
    <cellStyle name="Comma 4 3 4 5" xfId="1969" xr:uid="{00000000-0005-0000-0000-0000A8090000}"/>
    <cellStyle name="Comma 4 3 4 5 2" xfId="4198" xr:uid="{00000000-0005-0000-0000-0000A9090000}"/>
    <cellStyle name="Comma 4 3 4 5 2 2" xfId="8420" xr:uid="{00000000-0005-0000-0000-0000AA090000}"/>
    <cellStyle name="Comma 4 3 4 5 2 2 2" xfId="17746" xr:uid="{9E3F739B-6C4B-4AD7-A478-6BBF5E7362EC}"/>
    <cellStyle name="Comma 4 3 4 5 2 2 3" xfId="26193" xr:uid="{A335353C-819B-40FF-A44C-D669B82D8D1E}"/>
    <cellStyle name="Comma 4 3 4 5 2 2 4" xfId="34640" xr:uid="{989C4948-CF8D-4B98-94A0-CD52B01A2EB9}"/>
    <cellStyle name="Comma 4 3 4 5 2 3" xfId="13529" xr:uid="{05E5CD9A-2092-4AA6-BD74-67CB7A7D242F}"/>
    <cellStyle name="Comma 4 3 4 5 2 4" xfId="21976" xr:uid="{687D7C4D-D2CC-4C40-8363-33D857A092B0}"/>
    <cellStyle name="Comma 4 3 4 5 2 5" xfId="30423" xr:uid="{978FB522-F5A6-4651-A53D-919CC5165D1C}"/>
    <cellStyle name="Comma 4 3 4 5 3" xfId="6275" xr:uid="{00000000-0005-0000-0000-0000AB090000}"/>
    <cellStyle name="Comma 4 3 4 5 3 2" xfId="15601" xr:uid="{76C38819-C6CD-41B8-928A-C2893A9D6B37}"/>
    <cellStyle name="Comma 4 3 4 5 3 3" xfId="24048" xr:uid="{14A899BF-E583-4EA3-B5AC-7DD60ADEE8AC}"/>
    <cellStyle name="Comma 4 3 4 5 3 4" xfId="32495" xr:uid="{6BDD3E0E-6D89-427B-9923-0C54EE6EF50B}"/>
    <cellStyle name="Comma 4 3 4 5 4" xfId="11384" xr:uid="{EBB67813-75D9-489C-9195-E21A99CABFC7}"/>
    <cellStyle name="Comma 4 3 4 5 5" xfId="19831" xr:uid="{C7807DEF-5EA4-4AF2-A0E0-A188811085AA}"/>
    <cellStyle name="Comma 4 3 4 5 6" xfId="28278" xr:uid="{7622E0B6-AC78-4DF3-B71C-1852A2EE7803}"/>
    <cellStyle name="Comma 4 3 4 6" xfId="2404" xr:uid="{00000000-0005-0000-0000-0000AC090000}"/>
    <cellStyle name="Comma 4 3 4 6 2" xfId="6688" xr:uid="{00000000-0005-0000-0000-0000AD090000}"/>
    <cellStyle name="Comma 4 3 4 6 2 2" xfId="16014" xr:uid="{84C9D7A7-FE0A-4C41-87E9-1FA70F54FC3A}"/>
    <cellStyle name="Comma 4 3 4 6 2 3" xfId="24461" xr:uid="{ABA05B63-0403-423D-A5AA-674DF6FBDC59}"/>
    <cellStyle name="Comma 4 3 4 6 2 4" xfId="32908" xr:uid="{68FEC418-0E2D-4077-80F8-53B74082CB59}"/>
    <cellStyle name="Comma 4 3 4 6 3" xfId="11797" xr:uid="{D0B317DF-6651-4D32-81F8-3D90A5DFCBCD}"/>
    <cellStyle name="Comma 4 3 4 6 4" xfId="20244" xr:uid="{AEDB783B-956F-42A5-AB8A-2DA1BFD1A699}"/>
    <cellStyle name="Comma 4 3 4 6 5" xfId="28691" xr:uid="{322AEE66-DB12-4BA3-B9F5-DB4712055F6A}"/>
    <cellStyle name="Comma 4 3 4 7" xfId="2700" xr:uid="{00000000-0005-0000-0000-0000AE090000}"/>
    <cellStyle name="Comma 4 3 4 8" xfId="2782" xr:uid="{00000000-0005-0000-0000-0000AF090000}"/>
    <cellStyle name="Comma 4 3 4 8 2" xfId="7005" xr:uid="{00000000-0005-0000-0000-0000B0090000}"/>
    <cellStyle name="Comma 4 3 4 8 2 2" xfId="16331" xr:uid="{010A93E4-FFEB-4B8A-BF33-CB52A7D5D507}"/>
    <cellStyle name="Comma 4 3 4 8 2 3" xfId="24778" xr:uid="{5B233FB8-C064-46E0-9584-3B4C9C1E6B2C}"/>
    <cellStyle name="Comma 4 3 4 8 2 4" xfId="33225" xr:uid="{1B6F1E56-E77E-49A0-838A-D00B525B1CE0}"/>
    <cellStyle name="Comma 4 3 4 8 3" xfId="12114" xr:uid="{2A678D38-3AE0-4ECC-A2B7-54384774D4CA}"/>
    <cellStyle name="Comma 4 3 4 8 4" xfId="20561" xr:uid="{0D102EF0-4F76-4319-A8CB-6A01D2898A0D}"/>
    <cellStyle name="Comma 4 3 4 8 5" xfId="29008" xr:uid="{E6A9EC00-6749-4841-AB9B-70B46D63E203}"/>
    <cellStyle name="Comma 4 3 4 9" xfId="4622" xr:uid="{00000000-0005-0000-0000-0000B1090000}"/>
    <cellStyle name="Comma 4 3 4 9 2" xfId="13948" xr:uid="{44CD69F9-F832-45AE-A7C4-FA0848821A12}"/>
    <cellStyle name="Comma 4 3 4 9 3" xfId="22395" xr:uid="{D8937807-A9DF-4287-BDF8-042A867B7410}"/>
    <cellStyle name="Comma 4 3 4 9 4" xfId="30842" xr:uid="{4A4808E5-0BD6-46C4-91B9-F0964F03D3E7}"/>
    <cellStyle name="Comma 4 3 5" xfId="152" xr:uid="{00000000-0005-0000-0000-0000B2090000}"/>
    <cellStyle name="Comma 4 3 5 10" xfId="9202" xr:uid="{BF5456DA-E11C-47BD-8210-21F45D9E5F79}"/>
    <cellStyle name="Comma 4 3 5 11" xfId="9732" xr:uid="{7A104FE5-D71E-45D3-A984-A52C35DD037B}"/>
    <cellStyle name="Comma 4 3 5 12" xfId="18179" xr:uid="{6B86BC1C-AAAA-4DE5-B066-CFE6EB970A40}"/>
    <cellStyle name="Comma 4 3 5 13" xfId="26626" xr:uid="{088BEAF5-0A10-4022-A8E4-98495B153837}"/>
    <cellStyle name="Comma 4 3 5 2" xfId="689" xr:uid="{00000000-0005-0000-0000-0000B3090000}"/>
    <cellStyle name="Comma 4 3 5 2 2" xfId="2960" xr:uid="{00000000-0005-0000-0000-0000B4090000}"/>
    <cellStyle name="Comma 4 3 5 2 2 2" xfId="7182" xr:uid="{00000000-0005-0000-0000-0000B5090000}"/>
    <cellStyle name="Comma 4 3 5 2 2 2 2" xfId="16508" xr:uid="{9B812C90-4FE0-494B-BC70-E834A60C9B8E}"/>
    <cellStyle name="Comma 4 3 5 2 2 2 3" xfId="24955" xr:uid="{8505A4C4-A061-40A3-BE4D-B2F490921663}"/>
    <cellStyle name="Comma 4 3 5 2 2 2 4" xfId="33402" xr:uid="{19F327ED-D615-4F6B-8820-2089A8448F6B}"/>
    <cellStyle name="Comma 4 3 5 2 2 3" xfId="12291" xr:uid="{A694D0EC-0DFD-4710-B436-B19CCFDEC579}"/>
    <cellStyle name="Comma 4 3 5 2 2 4" xfId="20738" xr:uid="{5769CFEC-4148-4C11-B8C1-FC92151DD1AE}"/>
    <cellStyle name="Comma 4 3 5 2 2 5" xfId="29185" xr:uid="{12C92450-41D4-45DB-86B2-3CC854B60318}"/>
    <cellStyle name="Comma 4 3 5 2 3" xfId="5037" xr:uid="{00000000-0005-0000-0000-0000B6090000}"/>
    <cellStyle name="Comma 4 3 5 2 3 2" xfId="14363" xr:uid="{9E4B4300-DD52-433E-877B-AA3E657BA206}"/>
    <cellStyle name="Comma 4 3 5 2 3 3" xfId="22810" xr:uid="{2EADC083-AEF5-4920-9B9F-3CD18CB1ED31}"/>
    <cellStyle name="Comma 4 3 5 2 3 4" xfId="31257" xr:uid="{4E5E494D-B550-4AA8-9852-38D7A2F8E347}"/>
    <cellStyle name="Comma 4 3 5 2 4" xfId="9595" xr:uid="{3E6BF710-D2EA-4AFB-83F1-C6BF1C2192FF}"/>
    <cellStyle name="Comma 4 3 5 2 5" xfId="10146" xr:uid="{A78ED733-5870-42F0-9339-C2B772FB97DC}"/>
    <cellStyle name="Comma 4 3 5 2 6" xfId="18593" xr:uid="{67DFE7A9-51F3-4E14-8FDA-99D3C8C4C877}"/>
    <cellStyle name="Comma 4 3 5 2 7" xfId="27040" xr:uid="{70F27379-3376-4273-ABF7-90C21CFF3E67}"/>
    <cellStyle name="Comma 4 3 5 3" xfId="1142" xr:uid="{00000000-0005-0000-0000-0000B7090000}"/>
    <cellStyle name="Comma 4 3 5 3 2" xfId="3373" xr:uid="{00000000-0005-0000-0000-0000B8090000}"/>
    <cellStyle name="Comma 4 3 5 3 2 2" xfId="7595" xr:uid="{00000000-0005-0000-0000-0000B9090000}"/>
    <cellStyle name="Comma 4 3 5 3 2 2 2" xfId="16921" xr:uid="{0FB9CC9E-59AF-4521-AA03-010D6B6CB1DF}"/>
    <cellStyle name="Comma 4 3 5 3 2 2 3" xfId="25368" xr:uid="{599D0B4E-0CB6-43F3-BC5E-A0848A5E7E6B}"/>
    <cellStyle name="Comma 4 3 5 3 2 2 4" xfId="33815" xr:uid="{A993F2E6-0709-4511-B056-161DBB7B2020}"/>
    <cellStyle name="Comma 4 3 5 3 2 3" xfId="12704" xr:uid="{4D166095-DE5A-447D-B1FA-00BED9E1CF51}"/>
    <cellStyle name="Comma 4 3 5 3 2 4" xfId="21151" xr:uid="{1064C5A1-199C-4E22-90FF-8848B9619CFF}"/>
    <cellStyle name="Comma 4 3 5 3 2 5" xfId="29598" xr:uid="{1CA3A170-FF0E-4FE4-9F3C-37C0CE2390BB}"/>
    <cellStyle name="Comma 4 3 5 3 3" xfId="5450" xr:uid="{00000000-0005-0000-0000-0000BA090000}"/>
    <cellStyle name="Comma 4 3 5 3 3 2" xfId="14776" xr:uid="{B3B4725D-46E8-4484-936A-329E4F7CBA0D}"/>
    <cellStyle name="Comma 4 3 5 3 3 3" xfId="23223" xr:uid="{596FA85D-549D-466B-9B08-8CF38CDB06E5}"/>
    <cellStyle name="Comma 4 3 5 3 3 4" xfId="31670" xr:uid="{C5730F17-7374-41B8-ACCA-1BFDADC43334}"/>
    <cellStyle name="Comma 4 3 5 3 4" xfId="10559" xr:uid="{AFAE6048-D80C-49F3-9DD0-5D63455348F0}"/>
    <cellStyle name="Comma 4 3 5 3 5" xfId="19006" xr:uid="{875D7110-612B-4AB5-9A69-C2BC1380314E}"/>
    <cellStyle name="Comma 4 3 5 3 6" xfId="27453" xr:uid="{261D9DB3-1A07-46AB-ABE2-9E219A03DDB0}"/>
    <cellStyle name="Comma 4 3 5 4" xfId="1556" xr:uid="{00000000-0005-0000-0000-0000BB090000}"/>
    <cellStyle name="Comma 4 3 5 4 2" xfId="3786" xr:uid="{00000000-0005-0000-0000-0000BC090000}"/>
    <cellStyle name="Comma 4 3 5 4 2 2" xfId="8008" xr:uid="{00000000-0005-0000-0000-0000BD090000}"/>
    <cellStyle name="Comma 4 3 5 4 2 2 2" xfId="17334" xr:uid="{55B0E96F-6F70-43FE-A7B8-5FB7379B6483}"/>
    <cellStyle name="Comma 4 3 5 4 2 2 3" xfId="25781" xr:uid="{C903ABAA-F60B-48CC-96D4-701C13EFF2FC}"/>
    <cellStyle name="Comma 4 3 5 4 2 2 4" xfId="34228" xr:uid="{09A0FFB7-024E-465F-89A5-585A051DA92D}"/>
    <cellStyle name="Comma 4 3 5 4 2 3" xfId="13117" xr:uid="{C9186135-4E07-4BC1-88D8-06159F26C358}"/>
    <cellStyle name="Comma 4 3 5 4 2 4" xfId="21564" xr:uid="{406E1257-1AF8-46CC-89AB-19CAAE35C9FC}"/>
    <cellStyle name="Comma 4 3 5 4 2 5" xfId="30011" xr:uid="{2E7BC3F6-4C0D-4122-A695-59E7C2EB3EBE}"/>
    <cellStyle name="Comma 4 3 5 4 3" xfId="5863" xr:uid="{00000000-0005-0000-0000-0000BE090000}"/>
    <cellStyle name="Comma 4 3 5 4 3 2" xfId="15189" xr:uid="{40144F57-DA35-4218-A08E-38C02F0945F2}"/>
    <cellStyle name="Comma 4 3 5 4 3 3" xfId="23636" xr:uid="{79DD5DC6-F216-4C36-8027-613778D9E7A9}"/>
    <cellStyle name="Comma 4 3 5 4 3 4" xfId="32083" xr:uid="{E8A1921E-B1C5-4E0C-926C-ECD9926D6A2A}"/>
    <cellStyle name="Comma 4 3 5 4 4" xfId="10972" xr:uid="{9C69A84E-56D2-43B4-ACD0-00352A045E84}"/>
    <cellStyle name="Comma 4 3 5 4 5" xfId="19419" xr:uid="{1CFCF519-B7C5-4DB8-8C77-2F63F37A5391}"/>
    <cellStyle name="Comma 4 3 5 4 6" xfId="27866" xr:uid="{194778D0-7E03-49DF-8433-2EE74148980F}"/>
    <cellStyle name="Comma 4 3 5 5" xfId="1970" xr:uid="{00000000-0005-0000-0000-0000BF090000}"/>
    <cellStyle name="Comma 4 3 5 5 2" xfId="4199" xr:uid="{00000000-0005-0000-0000-0000C0090000}"/>
    <cellStyle name="Comma 4 3 5 5 2 2" xfId="8421" xr:uid="{00000000-0005-0000-0000-0000C1090000}"/>
    <cellStyle name="Comma 4 3 5 5 2 2 2" xfId="17747" xr:uid="{4E7EFA41-35A6-43DF-8AA2-97D486FD8D09}"/>
    <cellStyle name="Comma 4 3 5 5 2 2 3" xfId="26194" xr:uid="{1B152161-E77F-400E-ADE0-9738B876F9B2}"/>
    <cellStyle name="Comma 4 3 5 5 2 2 4" xfId="34641" xr:uid="{2A4AEE2F-2C19-400A-AA7B-E732503CE340}"/>
    <cellStyle name="Comma 4 3 5 5 2 3" xfId="13530" xr:uid="{DC92312E-818C-4AF8-BB84-4FE0740595AF}"/>
    <cellStyle name="Comma 4 3 5 5 2 4" xfId="21977" xr:uid="{463006CD-9735-4362-8C42-34C1FB6739DF}"/>
    <cellStyle name="Comma 4 3 5 5 2 5" xfId="30424" xr:uid="{55D67D81-A4F7-4F9C-A95F-9C32CBDDCC9A}"/>
    <cellStyle name="Comma 4 3 5 5 3" xfId="6276" xr:uid="{00000000-0005-0000-0000-0000C2090000}"/>
    <cellStyle name="Comma 4 3 5 5 3 2" xfId="15602" xr:uid="{6CA8D16F-6070-4396-A81D-D6AAB3DF527A}"/>
    <cellStyle name="Comma 4 3 5 5 3 3" xfId="24049" xr:uid="{345F9925-EA98-4C89-9EF5-8D605C5F7CAD}"/>
    <cellStyle name="Comma 4 3 5 5 3 4" xfId="32496" xr:uid="{0508752C-47DA-4A51-A0ED-96C4CE7245D1}"/>
    <cellStyle name="Comma 4 3 5 5 4" xfId="11385" xr:uid="{8D943C94-2697-49A8-BF3F-382658199769}"/>
    <cellStyle name="Comma 4 3 5 5 5" xfId="19832" xr:uid="{39EBC9C2-088E-4469-8ED7-30DB076368E2}"/>
    <cellStyle name="Comma 4 3 5 5 6" xfId="28279" xr:uid="{3D5B289A-D7D6-4D81-9C6A-BBA7DF9CD5B0}"/>
    <cellStyle name="Comma 4 3 5 6" xfId="2405" xr:uid="{00000000-0005-0000-0000-0000C3090000}"/>
    <cellStyle name="Comma 4 3 5 6 2" xfId="6689" xr:uid="{00000000-0005-0000-0000-0000C4090000}"/>
    <cellStyle name="Comma 4 3 5 6 2 2" xfId="16015" xr:uid="{8728902F-BD41-47DF-8DFA-27A66EFB9E0F}"/>
    <cellStyle name="Comma 4 3 5 6 2 3" xfId="24462" xr:uid="{C7BDD1A9-C6DB-406F-86F7-C6C3089D691A}"/>
    <cellStyle name="Comma 4 3 5 6 2 4" xfId="32909" xr:uid="{9F44EB9B-B777-44CC-A675-F1110F0F13FD}"/>
    <cellStyle name="Comma 4 3 5 6 3" xfId="11798" xr:uid="{D5FAA9B0-DE34-4104-9116-333B2A779A0A}"/>
    <cellStyle name="Comma 4 3 5 6 4" xfId="20245" xr:uid="{DA53B68D-2634-40F9-82C3-6CCA4CB3E794}"/>
    <cellStyle name="Comma 4 3 5 6 5" xfId="28692" xr:uid="{257A0F29-2283-4FA6-BC13-2F0B767F5728}"/>
    <cellStyle name="Comma 4 3 5 7" xfId="2701" xr:uid="{00000000-0005-0000-0000-0000C5090000}"/>
    <cellStyle name="Comma 4 3 5 8" xfId="2783" xr:uid="{00000000-0005-0000-0000-0000C6090000}"/>
    <cellStyle name="Comma 4 3 5 8 2" xfId="7006" xr:uid="{00000000-0005-0000-0000-0000C7090000}"/>
    <cellStyle name="Comma 4 3 5 8 2 2" xfId="16332" xr:uid="{5FE7184A-3886-4182-809F-C8F336B22020}"/>
    <cellStyle name="Comma 4 3 5 8 2 3" xfId="24779" xr:uid="{2DAA5640-B970-4358-BCF6-18AEB79A5F79}"/>
    <cellStyle name="Comma 4 3 5 8 2 4" xfId="33226" xr:uid="{23390CA0-8087-4E31-B416-1D09BCAFD1AD}"/>
    <cellStyle name="Comma 4 3 5 8 3" xfId="12115" xr:uid="{27932A77-ED9A-425D-9493-A2AE040ADCFA}"/>
    <cellStyle name="Comma 4 3 5 8 4" xfId="20562" xr:uid="{F39985CC-5ED4-4A4A-9FF0-8865C94961D9}"/>
    <cellStyle name="Comma 4 3 5 8 5" xfId="29009" xr:uid="{4C0C13BE-CF3D-40A8-ABAE-883184C6B47F}"/>
    <cellStyle name="Comma 4 3 5 9" xfId="4623" xr:uid="{00000000-0005-0000-0000-0000C8090000}"/>
    <cellStyle name="Comma 4 3 5 9 2" xfId="13949" xr:uid="{AD68A8ED-E653-4667-A97A-DCA1D9F2D7DA}"/>
    <cellStyle name="Comma 4 3 5 9 3" xfId="22396" xr:uid="{70345335-C06B-4FDA-975D-B5305FBCC924}"/>
    <cellStyle name="Comma 4 3 5 9 4" xfId="30843" xr:uid="{D33F271F-963F-4426-841D-CC9DF27123C9}"/>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0 2 2" xfId="16333" xr:uid="{F318450C-29C4-45E2-9C2C-F13EBAB3E05F}"/>
    <cellStyle name="Comma 4 4 10 2 3" xfId="24780" xr:uid="{62091C6C-FE90-4A74-9B08-32B433DC0B4C}"/>
    <cellStyle name="Comma 4 4 10 2 4" xfId="33227" xr:uid="{1BA62B04-BF1C-4FF5-B9C4-C5C1089CCF22}"/>
    <cellStyle name="Comma 4 4 10 3" xfId="12116" xr:uid="{54786FE6-01E2-4EED-B145-0877D3089E78}"/>
    <cellStyle name="Comma 4 4 10 4" xfId="20563" xr:uid="{0A1CF85E-1F72-405D-86E8-6A04F033FF57}"/>
    <cellStyle name="Comma 4 4 10 5" xfId="29010" xr:uid="{1AB03F27-4C62-44A6-A871-4B04ADBDEBE0}"/>
    <cellStyle name="Comma 4 4 11" xfId="4624" xr:uid="{00000000-0005-0000-0000-0000CC090000}"/>
    <cellStyle name="Comma 4 4 11 2" xfId="13950" xr:uid="{491E5CD8-2C7E-4ACD-94EB-FC14D0CDBFE0}"/>
    <cellStyle name="Comma 4 4 11 3" xfId="22397" xr:uid="{BCEE8C81-9F3F-4E50-9BC5-1B6A2FAD4EAE}"/>
    <cellStyle name="Comma 4 4 11 4" xfId="30844" xr:uid="{77646B08-49AF-4E0A-A56C-B8BF263A4E6A}"/>
    <cellStyle name="Comma 4 4 12" xfId="8804" xr:uid="{A2BB6322-7771-45CD-845C-77E2FE03AC7A}"/>
    <cellStyle name="Comma 4 4 13" xfId="9733" xr:uid="{813E7D32-F17D-46E3-9B18-D93EE98EF62B}"/>
    <cellStyle name="Comma 4 4 14" xfId="18180" xr:uid="{71613052-297E-4FD0-B816-179E0D8AF897}"/>
    <cellStyle name="Comma 4 4 15" xfId="26627" xr:uid="{E7C71EF2-09AA-4E02-80FA-BA4F0044F5C9}"/>
    <cellStyle name="Comma 4 4 2" xfId="154" xr:uid="{00000000-0005-0000-0000-0000CD090000}"/>
    <cellStyle name="Comma 4 4 2 10" xfId="4625" xr:uid="{00000000-0005-0000-0000-0000CE090000}"/>
    <cellStyle name="Comma 4 4 2 10 2" xfId="13951" xr:uid="{C699F475-AC51-425D-83DB-7393433AA755}"/>
    <cellStyle name="Comma 4 4 2 10 3" xfId="22398" xr:uid="{24D0AE1A-583F-4337-9BC7-8244440774C0}"/>
    <cellStyle name="Comma 4 4 2 10 4" xfId="30845" xr:uid="{6BC0BC61-2474-48D8-AD42-E881A4D21CEC}"/>
    <cellStyle name="Comma 4 4 2 11" xfId="8907" xr:uid="{F9F87618-3BA1-4211-A686-62CF5BBA5770}"/>
    <cellStyle name="Comma 4 4 2 12" xfId="9734" xr:uid="{4F54C2DD-8199-452E-AEE9-CC2B36D0C7FE}"/>
    <cellStyle name="Comma 4 4 2 13" xfId="18181" xr:uid="{098474D8-6046-41CE-8039-0BF82CB252E1}"/>
    <cellStyle name="Comma 4 4 2 14" xfId="26628" xr:uid="{85AB3CCF-ECC1-4AFE-9E08-9FCF518027F4}"/>
    <cellStyle name="Comma 4 4 2 2" xfId="155" xr:uid="{00000000-0005-0000-0000-0000CF090000}"/>
    <cellStyle name="Comma 4 4 2 2 10" xfId="9114" xr:uid="{871FAC03-A44E-4C24-806C-3CC0605FD124}"/>
    <cellStyle name="Comma 4 4 2 2 11" xfId="9735" xr:uid="{0501A62E-5DEC-4964-B888-E38F753C2C8B}"/>
    <cellStyle name="Comma 4 4 2 2 12" xfId="18182" xr:uid="{AE4ADBAB-E135-4228-A07F-0A1F0E4914BE}"/>
    <cellStyle name="Comma 4 4 2 2 13" xfId="26629" xr:uid="{B963CDB0-2488-4C08-81BC-5BF85C3F2EFE}"/>
    <cellStyle name="Comma 4 4 2 2 2" xfId="692" xr:uid="{00000000-0005-0000-0000-0000D0090000}"/>
    <cellStyle name="Comma 4 4 2 2 2 2" xfId="2963" xr:uid="{00000000-0005-0000-0000-0000D1090000}"/>
    <cellStyle name="Comma 4 4 2 2 2 2 2" xfId="7185" xr:uid="{00000000-0005-0000-0000-0000D2090000}"/>
    <cellStyle name="Comma 4 4 2 2 2 2 2 2" xfId="16511" xr:uid="{1C1901DC-23A7-4FE9-A99B-3213ACAADE23}"/>
    <cellStyle name="Comma 4 4 2 2 2 2 2 3" xfId="24958" xr:uid="{C3B9F5DE-5EC3-461D-8263-94D9D2B3A12D}"/>
    <cellStyle name="Comma 4 4 2 2 2 2 2 4" xfId="33405" xr:uid="{D03A0CCA-AFA2-48A4-910D-472F5EF8BACD}"/>
    <cellStyle name="Comma 4 4 2 2 2 2 3" xfId="12294" xr:uid="{C351BE6F-A8AE-424F-A4D5-4713E5972CAF}"/>
    <cellStyle name="Comma 4 4 2 2 2 2 4" xfId="20741" xr:uid="{A5A75FE9-6123-410F-A028-C22F82888312}"/>
    <cellStyle name="Comma 4 4 2 2 2 2 5" xfId="29188" xr:uid="{EC1B49DE-5E34-4F62-8DFE-467BED9DC240}"/>
    <cellStyle name="Comma 4 4 2 2 2 3" xfId="5040" xr:uid="{00000000-0005-0000-0000-0000D3090000}"/>
    <cellStyle name="Comma 4 4 2 2 2 3 2" xfId="14366" xr:uid="{A2435C47-3DB8-4D85-BC36-87593CB9D797}"/>
    <cellStyle name="Comma 4 4 2 2 2 3 3" xfId="22813" xr:uid="{CC57B5FB-670E-45CD-965F-AB1DCE3BA76B}"/>
    <cellStyle name="Comma 4 4 2 2 2 3 4" xfId="31260" xr:uid="{785207DE-A0A2-4DFD-9FC5-033DAC58BA00}"/>
    <cellStyle name="Comma 4 4 2 2 2 4" xfId="9539" xr:uid="{6209A471-8158-46C6-9ADA-C828BB6621B2}"/>
    <cellStyle name="Comma 4 4 2 2 2 5" xfId="10149" xr:uid="{F9865AA5-5B3D-4B2A-A84E-BB1F6B0ACA64}"/>
    <cellStyle name="Comma 4 4 2 2 2 6" xfId="18596" xr:uid="{A612FDCE-E0C9-486A-BF11-104E82C987C4}"/>
    <cellStyle name="Comma 4 4 2 2 2 7" xfId="27043" xr:uid="{9910F8E6-A894-4952-979A-854626688BDC}"/>
    <cellStyle name="Comma 4 4 2 2 3" xfId="1145" xr:uid="{00000000-0005-0000-0000-0000D4090000}"/>
    <cellStyle name="Comma 4 4 2 2 3 2" xfId="3376" xr:uid="{00000000-0005-0000-0000-0000D5090000}"/>
    <cellStyle name="Comma 4 4 2 2 3 2 2" xfId="7598" xr:uid="{00000000-0005-0000-0000-0000D6090000}"/>
    <cellStyle name="Comma 4 4 2 2 3 2 2 2" xfId="16924" xr:uid="{984A0A30-34E3-4FAB-9D9B-F333F441FF87}"/>
    <cellStyle name="Comma 4 4 2 2 3 2 2 3" xfId="25371" xr:uid="{ED539B36-B2AF-40BC-85B7-5678143A6F39}"/>
    <cellStyle name="Comma 4 4 2 2 3 2 2 4" xfId="33818" xr:uid="{9708921A-A562-4269-94FC-7545F663ADE6}"/>
    <cellStyle name="Comma 4 4 2 2 3 2 3" xfId="12707" xr:uid="{2B55E294-1151-4353-9FD6-3C9CC22B8396}"/>
    <cellStyle name="Comma 4 4 2 2 3 2 4" xfId="21154" xr:uid="{6DA7A538-9D56-44AE-8031-7C2F2828131C}"/>
    <cellStyle name="Comma 4 4 2 2 3 2 5" xfId="29601" xr:uid="{80415F7D-6546-4CE4-BF79-1D4098751BED}"/>
    <cellStyle name="Comma 4 4 2 2 3 3" xfId="5453" xr:uid="{00000000-0005-0000-0000-0000D7090000}"/>
    <cellStyle name="Comma 4 4 2 2 3 3 2" xfId="14779" xr:uid="{981A5914-F1BF-47EF-B123-FE727BDFC6FE}"/>
    <cellStyle name="Comma 4 4 2 2 3 3 3" xfId="23226" xr:uid="{DB4A7975-4BDA-4DE8-8405-CC1F5B2FADE8}"/>
    <cellStyle name="Comma 4 4 2 2 3 3 4" xfId="31673" xr:uid="{7F78E4C3-6A40-4138-9686-3B38D82D63A8}"/>
    <cellStyle name="Comma 4 4 2 2 3 4" xfId="10562" xr:uid="{24590196-C396-4B1E-930B-BF4972AA5CFC}"/>
    <cellStyle name="Comma 4 4 2 2 3 5" xfId="19009" xr:uid="{20E4ABE7-B97F-45E8-99C3-D373E438C5B9}"/>
    <cellStyle name="Comma 4 4 2 2 3 6" xfId="27456" xr:uid="{2C675C3F-02EC-4671-AA52-D38CC87EEA25}"/>
    <cellStyle name="Comma 4 4 2 2 4" xfId="1559" xr:uid="{00000000-0005-0000-0000-0000D8090000}"/>
    <cellStyle name="Comma 4 4 2 2 4 2" xfId="3789" xr:uid="{00000000-0005-0000-0000-0000D9090000}"/>
    <cellStyle name="Comma 4 4 2 2 4 2 2" xfId="8011" xr:uid="{00000000-0005-0000-0000-0000DA090000}"/>
    <cellStyle name="Comma 4 4 2 2 4 2 2 2" xfId="17337" xr:uid="{EF76A9CB-F117-480E-83E1-9D6078169F83}"/>
    <cellStyle name="Comma 4 4 2 2 4 2 2 3" xfId="25784" xr:uid="{51A4ED76-87BB-40A8-8A3F-BCC3AC18B47E}"/>
    <cellStyle name="Comma 4 4 2 2 4 2 2 4" xfId="34231" xr:uid="{9455DC55-A922-4BD1-871F-EC742E92A9B8}"/>
    <cellStyle name="Comma 4 4 2 2 4 2 3" xfId="13120" xr:uid="{BDCAAE22-3B08-45AF-9278-970BD8D38041}"/>
    <cellStyle name="Comma 4 4 2 2 4 2 4" xfId="21567" xr:uid="{65E16B7C-B5C1-439A-9117-7E1228DC2EB8}"/>
    <cellStyle name="Comma 4 4 2 2 4 2 5" xfId="30014" xr:uid="{A1FD6884-E33B-4B39-8D7F-D61F95BAA470}"/>
    <cellStyle name="Comma 4 4 2 2 4 3" xfId="5866" xr:uid="{00000000-0005-0000-0000-0000DB090000}"/>
    <cellStyle name="Comma 4 4 2 2 4 3 2" xfId="15192" xr:uid="{999250CB-3B95-4D16-989C-398DC6E8B7DE}"/>
    <cellStyle name="Comma 4 4 2 2 4 3 3" xfId="23639" xr:uid="{FF7E58B9-01B3-4EF7-9C41-7C6243E54DA7}"/>
    <cellStyle name="Comma 4 4 2 2 4 3 4" xfId="32086" xr:uid="{96337925-DE18-49CB-82EC-6726DB8BE1F6}"/>
    <cellStyle name="Comma 4 4 2 2 4 4" xfId="10975" xr:uid="{5436CA81-525A-466A-99EF-4C4F8B13A43C}"/>
    <cellStyle name="Comma 4 4 2 2 4 5" xfId="19422" xr:uid="{C9217577-1C94-4368-B40E-A5012490586C}"/>
    <cellStyle name="Comma 4 4 2 2 4 6" xfId="27869" xr:uid="{5A9A4CDA-9C78-456B-87CE-154F266D0154}"/>
    <cellStyle name="Comma 4 4 2 2 5" xfId="1973" xr:uid="{00000000-0005-0000-0000-0000DC090000}"/>
    <cellStyle name="Comma 4 4 2 2 5 2" xfId="4202" xr:uid="{00000000-0005-0000-0000-0000DD090000}"/>
    <cellStyle name="Comma 4 4 2 2 5 2 2" xfId="8424" xr:uid="{00000000-0005-0000-0000-0000DE090000}"/>
    <cellStyle name="Comma 4 4 2 2 5 2 2 2" xfId="17750" xr:uid="{7B94E49D-0C53-49EB-B4EC-3D7E249D27BA}"/>
    <cellStyle name="Comma 4 4 2 2 5 2 2 3" xfId="26197" xr:uid="{C10CC11E-CD23-4ECB-914B-342E8C3E05F9}"/>
    <cellStyle name="Comma 4 4 2 2 5 2 2 4" xfId="34644" xr:uid="{AD4B5291-78F9-4A2A-8F14-2A840EAC22F5}"/>
    <cellStyle name="Comma 4 4 2 2 5 2 3" xfId="13533" xr:uid="{FD616A6B-E8CF-42EC-88E8-888D8A296D8D}"/>
    <cellStyle name="Comma 4 4 2 2 5 2 4" xfId="21980" xr:uid="{61C68DB0-6375-4012-A390-0759EDDDCF49}"/>
    <cellStyle name="Comma 4 4 2 2 5 2 5" xfId="30427" xr:uid="{C5B7BEBA-5EF7-4322-9E53-92C2CE8F74D3}"/>
    <cellStyle name="Comma 4 4 2 2 5 3" xfId="6279" xr:uid="{00000000-0005-0000-0000-0000DF090000}"/>
    <cellStyle name="Comma 4 4 2 2 5 3 2" xfId="15605" xr:uid="{CA682BBE-C081-4BAE-8557-8BE63EB38153}"/>
    <cellStyle name="Comma 4 4 2 2 5 3 3" xfId="24052" xr:uid="{38B21412-D25E-4B51-B7E4-A3D8CD6A6862}"/>
    <cellStyle name="Comma 4 4 2 2 5 3 4" xfId="32499" xr:uid="{9A3EC564-C02F-4E83-9AE0-1C8D6E9575E9}"/>
    <cellStyle name="Comma 4 4 2 2 5 4" xfId="11388" xr:uid="{7F1C6694-E92E-4DCA-BA28-0706D9A33E02}"/>
    <cellStyle name="Comma 4 4 2 2 5 5" xfId="19835" xr:uid="{1FF6931F-9A0B-46FC-9064-626FE73D9AE0}"/>
    <cellStyle name="Comma 4 4 2 2 5 6" xfId="28282" xr:uid="{B6344B66-7A59-447E-8DF3-D1B7562C2AD2}"/>
    <cellStyle name="Comma 4 4 2 2 6" xfId="2408" xr:uid="{00000000-0005-0000-0000-0000E0090000}"/>
    <cellStyle name="Comma 4 4 2 2 6 2" xfId="6692" xr:uid="{00000000-0005-0000-0000-0000E1090000}"/>
    <cellStyle name="Comma 4 4 2 2 6 2 2" xfId="16018" xr:uid="{FC40593F-C355-4604-AEB6-195BC8F0AC95}"/>
    <cellStyle name="Comma 4 4 2 2 6 2 3" xfId="24465" xr:uid="{AE977CAE-247D-430C-BB19-ACCF8EEE65D6}"/>
    <cellStyle name="Comma 4 4 2 2 6 2 4" xfId="32912" xr:uid="{4BCE632E-691E-4427-97B7-7FB618E3E50E}"/>
    <cellStyle name="Comma 4 4 2 2 6 3" xfId="11801" xr:uid="{132CAE2F-EF23-4C78-AFC5-C0FC1B0751D2}"/>
    <cellStyle name="Comma 4 4 2 2 6 4" xfId="20248" xr:uid="{9768B353-552F-4D74-9D4C-256B938D0167}"/>
    <cellStyle name="Comma 4 4 2 2 6 5" xfId="28695" xr:uid="{3D9491F1-2627-45EC-ABB3-2BDF317B07AA}"/>
    <cellStyle name="Comma 4 4 2 2 7" xfId="2704" xr:uid="{00000000-0005-0000-0000-0000E2090000}"/>
    <cellStyle name="Comma 4 4 2 2 8" xfId="2786" xr:uid="{00000000-0005-0000-0000-0000E3090000}"/>
    <cellStyle name="Comma 4 4 2 2 8 2" xfId="7009" xr:uid="{00000000-0005-0000-0000-0000E4090000}"/>
    <cellStyle name="Comma 4 4 2 2 8 2 2" xfId="16335" xr:uid="{80D5FCAD-6B31-426F-A454-76B6D11443C8}"/>
    <cellStyle name="Comma 4 4 2 2 8 2 3" xfId="24782" xr:uid="{294205FD-C3C0-4114-9463-D35C873A5B5B}"/>
    <cellStyle name="Comma 4 4 2 2 8 2 4" xfId="33229" xr:uid="{058781B6-D140-4893-B39C-CF5F331B7309}"/>
    <cellStyle name="Comma 4 4 2 2 8 3" xfId="12118" xr:uid="{1548161B-DCB2-4D69-92EF-AD3C804A1FFD}"/>
    <cellStyle name="Comma 4 4 2 2 8 4" xfId="20565" xr:uid="{163EDE4A-7E14-45D2-BA60-387663B3AF36}"/>
    <cellStyle name="Comma 4 4 2 2 8 5" xfId="29012" xr:uid="{17D037FF-1C06-4032-8CEE-6E86AB13BD38}"/>
    <cellStyle name="Comma 4 4 2 2 9" xfId="4626" xr:uid="{00000000-0005-0000-0000-0000E5090000}"/>
    <cellStyle name="Comma 4 4 2 2 9 2" xfId="13952" xr:uid="{EE8D2C4B-4470-4B8C-9D9A-97652B7A27E0}"/>
    <cellStyle name="Comma 4 4 2 2 9 3" xfId="22399" xr:uid="{86BFA99B-3FF9-415F-844E-22490E3E6F18}"/>
    <cellStyle name="Comma 4 4 2 2 9 4" xfId="30846" xr:uid="{4268D7FB-F78F-4FF7-B2E1-BA7197AC569D}"/>
    <cellStyle name="Comma 4 4 2 3" xfId="691" xr:uid="{00000000-0005-0000-0000-0000E6090000}"/>
    <cellStyle name="Comma 4 4 2 3 2" xfId="2962" xr:uid="{00000000-0005-0000-0000-0000E7090000}"/>
    <cellStyle name="Comma 4 4 2 3 2 2" xfId="7184" xr:uid="{00000000-0005-0000-0000-0000E8090000}"/>
    <cellStyle name="Comma 4 4 2 3 2 2 2" xfId="16510" xr:uid="{05524398-BF3A-45AB-B21A-20AC6D2AB02B}"/>
    <cellStyle name="Comma 4 4 2 3 2 2 3" xfId="24957" xr:uid="{73F1C65F-A8C1-4BD3-BDDE-B81248D3EBF4}"/>
    <cellStyle name="Comma 4 4 2 3 2 2 4" xfId="33404" xr:uid="{5281C54B-DCCB-45EB-A7A6-CF7FABD975D7}"/>
    <cellStyle name="Comma 4 4 2 3 2 3" xfId="12293" xr:uid="{92F34C92-C498-48D4-9E9D-F3153DFCBCB8}"/>
    <cellStyle name="Comma 4 4 2 3 2 4" xfId="20740" xr:uid="{E3FEA218-C738-4430-93DD-AA79264C74BA}"/>
    <cellStyle name="Comma 4 4 2 3 2 5" xfId="29187" xr:uid="{33238087-A4E7-4DA8-ADCF-0D23A95FB51C}"/>
    <cellStyle name="Comma 4 4 2 3 3" xfId="5039" xr:uid="{00000000-0005-0000-0000-0000E9090000}"/>
    <cellStyle name="Comma 4 4 2 3 3 2" xfId="14365" xr:uid="{DE2B4541-61A9-4DFE-82B1-39129015F9CD}"/>
    <cellStyle name="Comma 4 4 2 3 3 3" xfId="22812" xr:uid="{0B6559BB-6672-4553-9099-6E68B75FAC16}"/>
    <cellStyle name="Comma 4 4 2 3 3 4" xfId="31259" xr:uid="{A27877F6-3B24-4445-850C-BEEA15B9CCA6}"/>
    <cellStyle name="Comma 4 4 2 3 4" xfId="9332" xr:uid="{00F59ECD-64D7-476B-90FD-CD86F054AE4D}"/>
    <cellStyle name="Comma 4 4 2 3 5" xfId="10148" xr:uid="{7E5D8AB8-786A-4777-98EF-95C9A116180D}"/>
    <cellStyle name="Comma 4 4 2 3 6" xfId="18595" xr:uid="{2A376D73-A685-4EBA-BAA3-95FAAC51A75F}"/>
    <cellStyle name="Comma 4 4 2 3 7" xfId="27042" xr:uid="{C926D828-DDBE-492A-932A-79EABD0B2C22}"/>
    <cellStyle name="Comma 4 4 2 4" xfId="1144" xr:uid="{00000000-0005-0000-0000-0000EA090000}"/>
    <cellStyle name="Comma 4 4 2 4 2" xfId="3375" xr:uid="{00000000-0005-0000-0000-0000EB090000}"/>
    <cellStyle name="Comma 4 4 2 4 2 2" xfId="7597" xr:uid="{00000000-0005-0000-0000-0000EC090000}"/>
    <cellStyle name="Comma 4 4 2 4 2 2 2" xfId="16923" xr:uid="{DF52C598-8FE7-4D86-B693-C2FC2C19FD0C}"/>
    <cellStyle name="Comma 4 4 2 4 2 2 3" xfId="25370" xr:uid="{24E5CA3D-ADE3-43E8-BC2B-6B624BEDB2B2}"/>
    <cellStyle name="Comma 4 4 2 4 2 2 4" xfId="33817" xr:uid="{0E494C1A-3F77-4911-9E8F-D4665FEEABB5}"/>
    <cellStyle name="Comma 4 4 2 4 2 3" xfId="12706" xr:uid="{971C4063-6122-4E7A-B9EA-CCA4415289CA}"/>
    <cellStyle name="Comma 4 4 2 4 2 4" xfId="21153" xr:uid="{480188EC-C2C3-4F4F-B165-6D1B2E53EA41}"/>
    <cellStyle name="Comma 4 4 2 4 2 5" xfId="29600" xr:uid="{12E165FA-DFB7-425A-A69E-F7E1726C844D}"/>
    <cellStyle name="Comma 4 4 2 4 3" xfId="5452" xr:uid="{00000000-0005-0000-0000-0000ED090000}"/>
    <cellStyle name="Comma 4 4 2 4 3 2" xfId="14778" xr:uid="{62D4A9EE-BAFE-4302-90F2-CDBD5EE7CA23}"/>
    <cellStyle name="Comma 4 4 2 4 3 3" xfId="23225" xr:uid="{B332E656-DA14-4A02-80B9-0E8A15F5CE2D}"/>
    <cellStyle name="Comma 4 4 2 4 3 4" xfId="31672" xr:uid="{3342F3AD-F26B-4F81-A139-3113A9CAD9B3}"/>
    <cellStyle name="Comma 4 4 2 4 4" xfId="10561" xr:uid="{1F4993FE-5A30-4A2F-AF91-64329CE8E765}"/>
    <cellStyle name="Comma 4 4 2 4 5" xfId="19008" xr:uid="{E32AF6AD-BA47-4351-A152-DD78EADB6DAB}"/>
    <cellStyle name="Comma 4 4 2 4 6" xfId="27455" xr:uid="{145B1499-330B-4F14-A29D-26F6A926447F}"/>
    <cellStyle name="Comma 4 4 2 5" xfId="1558" xr:uid="{00000000-0005-0000-0000-0000EE090000}"/>
    <cellStyle name="Comma 4 4 2 5 2" xfId="3788" xr:uid="{00000000-0005-0000-0000-0000EF090000}"/>
    <cellStyle name="Comma 4 4 2 5 2 2" xfId="8010" xr:uid="{00000000-0005-0000-0000-0000F0090000}"/>
    <cellStyle name="Comma 4 4 2 5 2 2 2" xfId="17336" xr:uid="{783D660F-2445-4F82-B2A9-60C5318F29D0}"/>
    <cellStyle name="Comma 4 4 2 5 2 2 3" xfId="25783" xr:uid="{8F1E34EE-08EE-49E4-A5FF-EB53D5D7CFB6}"/>
    <cellStyle name="Comma 4 4 2 5 2 2 4" xfId="34230" xr:uid="{2583A4B5-9B4C-401E-94D7-4883C91D04BC}"/>
    <cellStyle name="Comma 4 4 2 5 2 3" xfId="13119" xr:uid="{F15400B2-A2A9-42C5-B40B-AE2083CC6D4B}"/>
    <cellStyle name="Comma 4 4 2 5 2 4" xfId="21566" xr:uid="{8D2C7CC3-FFE2-4E59-8B9A-22C33179F0A5}"/>
    <cellStyle name="Comma 4 4 2 5 2 5" xfId="30013" xr:uid="{E92AEF2B-1B99-4BE6-9A2C-3C4D1423F261}"/>
    <cellStyle name="Comma 4 4 2 5 3" xfId="5865" xr:uid="{00000000-0005-0000-0000-0000F1090000}"/>
    <cellStyle name="Comma 4 4 2 5 3 2" xfId="15191" xr:uid="{9B01F41E-32B3-42FA-B4AD-FAEE3CBE0C42}"/>
    <cellStyle name="Comma 4 4 2 5 3 3" xfId="23638" xr:uid="{A1F92FDE-D61E-461A-A14F-2F326DA1E4CB}"/>
    <cellStyle name="Comma 4 4 2 5 3 4" xfId="32085" xr:uid="{05275916-0131-4F37-96C6-ACE684BC6413}"/>
    <cellStyle name="Comma 4 4 2 5 4" xfId="10974" xr:uid="{27E51DE2-F811-4AC1-9B14-ADAC8ED102BD}"/>
    <cellStyle name="Comma 4 4 2 5 5" xfId="19421" xr:uid="{155EBA1E-AA8B-46F4-BB9C-2BA1349A2FF2}"/>
    <cellStyle name="Comma 4 4 2 5 6" xfId="27868" xr:uid="{5BE75CD6-4C06-4C4D-BEFA-B21D1119CC1A}"/>
    <cellStyle name="Comma 4 4 2 6" xfId="1972" xr:uid="{00000000-0005-0000-0000-0000F2090000}"/>
    <cellStyle name="Comma 4 4 2 6 2" xfId="4201" xr:uid="{00000000-0005-0000-0000-0000F3090000}"/>
    <cellStyle name="Comma 4 4 2 6 2 2" xfId="8423" xr:uid="{00000000-0005-0000-0000-0000F4090000}"/>
    <cellStyle name="Comma 4 4 2 6 2 2 2" xfId="17749" xr:uid="{28AF67D9-B103-4E17-AD2F-437B6E597041}"/>
    <cellStyle name="Comma 4 4 2 6 2 2 3" xfId="26196" xr:uid="{5A90BDFD-2F2C-4140-B084-E80ADB582028}"/>
    <cellStyle name="Comma 4 4 2 6 2 2 4" xfId="34643" xr:uid="{A041CE5D-BCAE-425F-A756-CCA852DA5A3A}"/>
    <cellStyle name="Comma 4 4 2 6 2 3" xfId="13532" xr:uid="{FDF97A90-2B85-43CF-80FA-50A41C48B0BF}"/>
    <cellStyle name="Comma 4 4 2 6 2 4" xfId="21979" xr:uid="{4C3C219E-509E-4350-B493-69E6911B178C}"/>
    <cellStyle name="Comma 4 4 2 6 2 5" xfId="30426" xr:uid="{A36EB16A-C2E6-4E23-97C0-90A41696FFD9}"/>
    <cellStyle name="Comma 4 4 2 6 3" xfId="6278" xr:uid="{00000000-0005-0000-0000-0000F5090000}"/>
    <cellStyle name="Comma 4 4 2 6 3 2" xfId="15604" xr:uid="{43B9CAB7-C166-4576-A01F-255CBAE2AF7A}"/>
    <cellStyle name="Comma 4 4 2 6 3 3" xfId="24051" xr:uid="{9A7ECE3E-2BB4-4ECA-9E49-673E76BB8042}"/>
    <cellStyle name="Comma 4 4 2 6 3 4" xfId="32498" xr:uid="{B0C41B3F-6018-47CC-98ED-479C22144A04}"/>
    <cellStyle name="Comma 4 4 2 6 4" xfId="11387" xr:uid="{CBB3DE99-81B2-42D8-A3DD-5675F3D29B3F}"/>
    <cellStyle name="Comma 4 4 2 6 5" xfId="19834" xr:uid="{03385887-2456-4FC3-A6F5-09547D217DCF}"/>
    <cellStyle name="Comma 4 4 2 6 6" xfId="28281" xr:uid="{F590BD8A-2912-415E-9683-CE5421129F6E}"/>
    <cellStyle name="Comma 4 4 2 7" xfId="2407" xr:uid="{00000000-0005-0000-0000-0000F6090000}"/>
    <cellStyle name="Comma 4 4 2 7 2" xfId="6691" xr:uid="{00000000-0005-0000-0000-0000F7090000}"/>
    <cellStyle name="Comma 4 4 2 7 2 2" xfId="16017" xr:uid="{233C847F-58F4-4F56-9666-D4D837EF3AAE}"/>
    <cellStyle name="Comma 4 4 2 7 2 3" xfId="24464" xr:uid="{3CB6B00C-39CA-4241-A6A8-624CA8F2538F}"/>
    <cellStyle name="Comma 4 4 2 7 2 4" xfId="32911" xr:uid="{CAAB6AF0-0D86-4FCE-9EFE-0B6BA2C4F727}"/>
    <cellStyle name="Comma 4 4 2 7 3" xfId="11800" xr:uid="{19227C06-143A-46E7-B7B2-BF48E428FF32}"/>
    <cellStyle name="Comma 4 4 2 7 4" xfId="20247" xr:uid="{4A80ADB7-E8A4-483C-AC27-FAA15F48B7AB}"/>
    <cellStyle name="Comma 4 4 2 7 5" xfId="28694" xr:uid="{B995233E-0E29-496A-A8F7-970F433CF2A4}"/>
    <cellStyle name="Comma 4 4 2 8" xfId="2703" xr:uid="{00000000-0005-0000-0000-0000F8090000}"/>
    <cellStyle name="Comma 4 4 2 9" xfId="2785" xr:uid="{00000000-0005-0000-0000-0000F9090000}"/>
    <cellStyle name="Comma 4 4 2 9 2" xfId="7008" xr:uid="{00000000-0005-0000-0000-0000FA090000}"/>
    <cellStyle name="Comma 4 4 2 9 2 2" xfId="16334" xr:uid="{A9E50816-487F-43B9-831F-23FF2D243149}"/>
    <cellStyle name="Comma 4 4 2 9 2 3" xfId="24781" xr:uid="{870C43FD-EFA6-4EE5-A3FB-0F860C8C30C0}"/>
    <cellStyle name="Comma 4 4 2 9 2 4" xfId="33228" xr:uid="{BC332E34-F694-4707-91A4-21CCEDECA6E4}"/>
    <cellStyle name="Comma 4 4 2 9 3" xfId="12117" xr:uid="{E3ACC659-0EA5-4F78-B53C-124EC01A4CBF}"/>
    <cellStyle name="Comma 4 4 2 9 4" xfId="20564" xr:uid="{1F9637DB-3B26-4924-9019-5C811F0EA757}"/>
    <cellStyle name="Comma 4 4 2 9 5" xfId="29011" xr:uid="{4E0A22E6-DCCD-4E46-ABDB-87A1BA060D5C}"/>
    <cellStyle name="Comma 4 4 3" xfId="156" xr:uid="{00000000-0005-0000-0000-0000FB090000}"/>
    <cellStyle name="Comma 4 4 3 10" xfId="9011" xr:uid="{31ED03AD-AB12-49AF-9AD4-B783F0BF7322}"/>
    <cellStyle name="Comma 4 4 3 11" xfId="9736" xr:uid="{B199E753-F707-4B99-8827-B0083F1E3A6A}"/>
    <cellStyle name="Comma 4 4 3 12" xfId="18183" xr:uid="{28EB1080-A545-4C9F-AFA0-165853D5F495}"/>
    <cellStyle name="Comma 4 4 3 13" xfId="26630" xr:uid="{46E5F933-F17D-48AB-8F85-DCE5CA0960BD}"/>
    <cellStyle name="Comma 4 4 3 2" xfId="693" xr:uid="{00000000-0005-0000-0000-0000FC090000}"/>
    <cellStyle name="Comma 4 4 3 2 2" xfId="2964" xr:uid="{00000000-0005-0000-0000-0000FD090000}"/>
    <cellStyle name="Comma 4 4 3 2 2 2" xfId="7186" xr:uid="{00000000-0005-0000-0000-0000FE090000}"/>
    <cellStyle name="Comma 4 4 3 2 2 2 2" xfId="16512" xr:uid="{3C8D2412-2C6B-47EE-8C88-89BAE700A02C}"/>
    <cellStyle name="Comma 4 4 3 2 2 2 3" xfId="24959" xr:uid="{A2E4B371-54E4-46A4-A2F8-FAD9357AB966}"/>
    <cellStyle name="Comma 4 4 3 2 2 2 4" xfId="33406" xr:uid="{6C9599E1-CC60-4401-BC05-2679BD206E63}"/>
    <cellStyle name="Comma 4 4 3 2 2 3" xfId="12295" xr:uid="{7C411E30-0482-4E7E-A9CE-6234D943309C}"/>
    <cellStyle name="Comma 4 4 3 2 2 4" xfId="20742" xr:uid="{094EDFAB-15D4-4027-B303-40BD3F49AEFA}"/>
    <cellStyle name="Comma 4 4 3 2 2 5" xfId="29189" xr:uid="{DB432FD0-CA8E-41F2-9AC2-FBA711E4EBCB}"/>
    <cellStyle name="Comma 4 4 3 2 3" xfId="5041" xr:uid="{00000000-0005-0000-0000-0000FF090000}"/>
    <cellStyle name="Comma 4 4 3 2 3 2" xfId="14367" xr:uid="{D04FE23C-F28B-4684-9EEB-F1B7EE7575F3}"/>
    <cellStyle name="Comma 4 4 3 2 3 3" xfId="22814" xr:uid="{E36D0DA6-BB81-4332-96CC-4F7A8727D26D}"/>
    <cellStyle name="Comma 4 4 3 2 3 4" xfId="31261" xr:uid="{FD1F416F-2565-45EC-987A-CAA6AF4D66BC}"/>
    <cellStyle name="Comma 4 4 3 2 4" xfId="9436" xr:uid="{5B7DDC25-9095-4E8E-BD31-668F46BBD33F}"/>
    <cellStyle name="Comma 4 4 3 2 5" xfId="10150" xr:uid="{82C6FD8D-1BD5-4B98-8A46-31859CED953B}"/>
    <cellStyle name="Comma 4 4 3 2 6" xfId="18597" xr:uid="{4E3C1277-8193-4AB0-AE2D-B13B89609360}"/>
    <cellStyle name="Comma 4 4 3 2 7" xfId="27044" xr:uid="{1930F961-EC7C-47A6-838A-06290D6FC9B5}"/>
    <cellStyle name="Comma 4 4 3 3" xfId="1146" xr:uid="{00000000-0005-0000-0000-0000000A0000}"/>
    <cellStyle name="Comma 4 4 3 3 2" xfId="3377" xr:uid="{00000000-0005-0000-0000-0000010A0000}"/>
    <cellStyle name="Comma 4 4 3 3 2 2" xfId="7599" xr:uid="{00000000-0005-0000-0000-0000020A0000}"/>
    <cellStyle name="Comma 4 4 3 3 2 2 2" xfId="16925" xr:uid="{F836F924-FDC3-4627-A14B-F4A4E0961004}"/>
    <cellStyle name="Comma 4 4 3 3 2 2 3" xfId="25372" xr:uid="{6FA31C96-A811-4681-8907-0F87930ABE51}"/>
    <cellStyle name="Comma 4 4 3 3 2 2 4" xfId="33819" xr:uid="{778A8235-EC7F-4897-8285-F390AE8337A8}"/>
    <cellStyle name="Comma 4 4 3 3 2 3" xfId="12708" xr:uid="{DC105FE5-3CD7-4505-9771-B39CAEE281F6}"/>
    <cellStyle name="Comma 4 4 3 3 2 4" xfId="21155" xr:uid="{593ACCAB-563B-4CB1-9D52-32BE0F404C53}"/>
    <cellStyle name="Comma 4 4 3 3 2 5" xfId="29602" xr:uid="{AFB1D9FC-A470-4555-A4DB-AAAEC45B9C29}"/>
    <cellStyle name="Comma 4 4 3 3 3" xfId="5454" xr:uid="{00000000-0005-0000-0000-0000030A0000}"/>
    <cellStyle name="Comma 4 4 3 3 3 2" xfId="14780" xr:uid="{FDAFED03-D8C7-4F01-8B2E-F5343837CB6B}"/>
    <cellStyle name="Comma 4 4 3 3 3 3" xfId="23227" xr:uid="{0209E026-2AD0-4E06-BA8D-C90528A6E15C}"/>
    <cellStyle name="Comma 4 4 3 3 3 4" xfId="31674" xr:uid="{E67F201C-340E-484D-8710-F88955FD3596}"/>
    <cellStyle name="Comma 4 4 3 3 4" xfId="10563" xr:uid="{005A22BE-48B8-42F1-B850-836DC4C7F27D}"/>
    <cellStyle name="Comma 4 4 3 3 5" xfId="19010" xr:uid="{C5E60047-975B-448D-8EEF-5385469847DE}"/>
    <cellStyle name="Comma 4 4 3 3 6" xfId="27457" xr:uid="{6CFD1F94-4192-49AE-83E5-5A54CB3F82CF}"/>
    <cellStyle name="Comma 4 4 3 4" xfId="1560" xr:uid="{00000000-0005-0000-0000-0000040A0000}"/>
    <cellStyle name="Comma 4 4 3 4 2" xfId="3790" xr:uid="{00000000-0005-0000-0000-0000050A0000}"/>
    <cellStyle name="Comma 4 4 3 4 2 2" xfId="8012" xr:uid="{00000000-0005-0000-0000-0000060A0000}"/>
    <cellStyle name="Comma 4 4 3 4 2 2 2" xfId="17338" xr:uid="{52E88A6C-9F13-4187-A0A3-171C0F4EEF6E}"/>
    <cellStyle name="Comma 4 4 3 4 2 2 3" xfId="25785" xr:uid="{11DEFF03-079F-4482-8D49-B6461C8EBE8D}"/>
    <cellStyle name="Comma 4 4 3 4 2 2 4" xfId="34232" xr:uid="{1C074B22-099C-4776-B44B-D282F05C90D6}"/>
    <cellStyle name="Comma 4 4 3 4 2 3" xfId="13121" xr:uid="{195CC028-DF5E-49B0-9E4B-342E573F22D2}"/>
    <cellStyle name="Comma 4 4 3 4 2 4" xfId="21568" xr:uid="{8978B217-0591-4F28-BC6A-57FB7AA77A6D}"/>
    <cellStyle name="Comma 4 4 3 4 2 5" xfId="30015" xr:uid="{E1977603-A684-4BE4-A9FE-272B8A0D013A}"/>
    <cellStyle name="Comma 4 4 3 4 3" xfId="5867" xr:uid="{00000000-0005-0000-0000-0000070A0000}"/>
    <cellStyle name="Comma 4 4 3 4 3 2" xfId="15193" xr:uid="{6F865355-6C3C-4E2D-8319-A074F80F6364}"/>
    <cellStyle name="Comma 4 4 3 4 3 3" xfId="23640" xr:uid="{32D8E3F3-486F-47BC-8B7F-B03F0BDADFC0}"/>
    <cellStyle name="Comma 4 4 3 4 3 4" xfId="32087" xr:uid="{8BE7348A-C9CF-4A85-B7A7-870608AE85C3}"/>
    <cellStyle name="Comma 4 4 3 4 4" xfId="10976" xr:uid="{85D25682-9AFB-4523-852E-5A809BE91321}"/>
    <cellStyle name="Comma 4 4 3 4 5" xfId="19423" xr:uid="{9FE5076C-9DED-4D4F-A6DD-6A261EB05C97}"/>
    <cellStyle name="Comma 4 4 3 4 6" xfId="27870" xr:uid="{B714C5E9-C3E3-4334-A4F9-F1AE38D7C4EE}"/>
    <cellStyle name="Comma 4 4 3 5" xfId="1974" xr:uid="{00000000-0005-0000-0000-0000080A0000}"/>
    <cellStyle name="Comma 4 4 3 5 2" xfId="4203" xr:uid="{00000000-0005-0000-0000-0000090A0000}"/>
    <cellStyle name="Comma 4 4 3 5 2 2" xfId="8425" xr:uid="{00000000-0005-0000-0000-00000A0A0000}"/>
    <cellStyle name="Comma 4 4 3 5 2 2 2" xfId="17751" xr:uid="{3BF810A8-EDB7-4A19-AD16-9D8B07B3F534}"/>
    <cellStyle name="Comma 4 4 3 5 2 2 3" xfId="26198" xr:uid="{99C3E0A4-513D-4D61-A758-6EBAD431C090}"/>
    <cellStyle name="Comma 4 4 3 5 2 2 4" xfId="34645" xr:uid="{67E22BE2-662A-48DF-B8BF-9CA9F01B23B2}"/>
    <cellStyle name="Comma 4 4 3 5 2 3" xfId="13534" xr:uid="{5D80E769-E5BC-4A23-915B-97C83C1267B6}"/>
    <cellStyle name="Comma 4 4 3 5 2 4" xfId="21981" xr:uid="{47E68CB0-ACC8-496F-BACF-DBD4FE83817E}"/>
    <cellStyle name="Comma 4 4 3 5 2 5" xfId="30428" xr:uid="{6A656DC1-EB60-425E-A5FB-3004E08968D5}"/>
    <cellStyle name="Comma 4 4 3 5 3" xfId="6280" xr:uid="{00000000-0005-0000-0000-00000B0A0000}"/>
    <cellStyle name="Comma 4 4 3 5 3 2" xfId="15606" xr:uid="{D636282C-575E-488C-AE18-92D5E14DDBEE}"/>
    <cellStyle name="Comma 4 4 3 5 3 3" xfId="24053" xr:uid="{7AEA7EC8-D99B-4B9C-9606-4B15CE6A5B23}"/>
    <cellStyle name="Comma 4 4 3 5 3 4" xfId="32500" xr:uid="{094D0B5F-9DCA-4625-B2F9-81D5C25C1C74}"/>
    <cellStyle name="Comma 4 4 3 5 4" xfId="11389" xr:uid="{F669E45F-0801-4BF2-B207-A658B626D2F6}"/>
    <cellStyle name="Comma 4 4 3 5 5" xfId="19836" xr:uid="{3CFF909D-4D5E-49F9-9C14-0084CB870851}"/>
    <cellStyle name="Comma 4 4 3 5 6" xfId="28283" xr:uid="{443EE1F9-1105-4E6C-9E9C-7BE9D25487D4}"/>
    <cellStyle name="Comma 4 4 3 6" xfId="2409" xr:uid="{00000000-0005-0000-0000-00000C0A0000}"/>
    <cellStyle name="Comma 4 4 3 6 2" xfId="6693" xr:uid="{00000000-0005-0000-0000-00000D0A0000}"/>
    <cellStyle name="Comma 4 4 3 6 2 2" xfId="16019" xr:uid="{0B09ECCA-4F67-4F05-BC4B-98B5B98078C8}"/>
    <cellStyle name="Comma 4 4 3 6 2 3" xfId="24466" xr:uid="{407B2F5C-B9C0-453D-A767-208FBF6847F4}"/>
    <cellStyle name="Comma 4 4 3 6 2 4" xfId="32913" xr:uid="{888CD7B9-4A57-415B-B6D8-796BCE154476}"/>
    <cellStyle name="Comma 4 4 3 6 3" xfId="11802" xr:uid="{2DAC70E3-24E9-4BE6-8A00-D006099BF16D}"/>
    <cellStyle name="Comma 4 4 3 6 4" xfId="20249" xr:uid="{FD73F18E-A070-4871-8C48-5E2F43DDAF3F}"/>
    <cellStyle name="Comma 4 4 3 6 5" xfId="28696" xr:uid="{A2F7C36C-AC44-4647-940A-F28BB784A5AC}"/>
    <cellStyle name="Comma 4 4 3 7" xfId="2705" xr:uid="{00000000-0005-0000-0000-00000E0A0000}"/>
    <cellStyle name="Comma 4 4 3 8" xfId="2787" xr:uid="{00000000-0005-0000-0000-00000F0A0000}"/>
    <cellStyle name="Comma 4 4 3 8 2" xfId="7010" xr:uid="{00000000-0005-0000-0000-0000100A0000}"/>
    <cellStyle name="Comma 4 4 3 8 2 2" xfId="16336" xr:uid="{A2DE61E0-6862-4DE5-9AC7-2522E809CFB7}"/>
    <cellStyle name="Comma 4 4 3 8 2 3" xfId="24783" xr:uid="{7AE17E4F-ED6F-4652-8EF0-D9D357C1E75F}"/>
    <cellStyle name="Comma 4 4 3 8 2 4" xfId="33230" xr:uid="{2217DD84-6D5F-45B0-8DE0-EEBA66D17530}"/>
    <cellStyle name="Comma 4 4 3 8 3" xfId="12119" xr:uid="{DC33FBC7-6D82-403B-BC40-30BF49D66F9D}"/>
    <cellStyle name="Comma 4 4 3 8 4" xfId="20566" xr:uid="{0453659E-5D71-46E3-BBA5-32309EE32311}"/>
    <cellStyle name="Comma 4 4 3 8 5" xfId="29013" xr:uid="{66EDD929-E696-4253-9919-F8961CFA018A}"/>
    <cellStyle name="Comma 4 4 3 9" xfId="4627" xr:uid="{00000000-0005-0000-0000-0000110A0000}"/>
    <cellStyle name="Comma 4 4 3 9 2" xfId="13953" xr:uid="{257EF4D3-31CB-4E55-A29F-1EE1FD540D1E}"/>
    <cellStyle name="Comma 4 4 3 9 3" xfId="22400" xr:uid="{A202A7E9-F023-46F3-A0C0-5B38B0EBC7AE}"/>
    <cellStyle name="Comma 4 4 3 9 4" xfId="30847" xr:uid="{35A98420-8AB8-4CED-B3FB-8FBD1721CC98}"/>
    <cellStyle name="Comma 4 4 4" xfId="690" xr:uid="{00000000-0005-0000-0000-0000120A0000}"/>
    <cellStyle name="Comma 4 4 4 2" xfId="2961" xr:uid="{00000000-0005-0000-0000-0000130A0000}"/>
    <cellStyle name="Comma 4 4 4 2 2" xfId="7183" xr:uid="{00000000-0005-0000-0000-0000140A0000}"/>
    <cellStyle name="Comma 4 4 4 2 2 2" xfId="16509" xr:uid="{2CC29691-1183-4326-8272-3A3B659A5F45}"/>
    <cellStyle name="Comma 4 4 4 2 2 3" xfId="24956" xr:uid="{A0F0ADE3-34E0-43D1-B5DB-060129370DE2}"/>
    <cellStyle name="Comma 4 4 4 2 2 4" xfId="33403" xr:uid="{C529E856-A6E4-42C2-A6DF-697FEB6FBF2A}"/>
    <cellStyle name="Comma 4 4 4 2 3" xfId="12292" xr:uid="{79358C1E-7494-4B25-AE05-4B04D91AEB51}"/>
    <cellStyle name="Comma 4 4 4 2 4" xfId="20739" xr:uid="{A0B65F63-E841-4721-A132-8F2BB72844E9}"/>
    <cellStyle name="Comma 4 4 4 2 5" xfId="29186" xr:uid="{7E2B5D7B-BBB2-4B39-AFDC-A6391AF03B81}"/>
    <cellStyle name="Comma 4 4 4 3" xfId="5038" xr:uid="{00000000-0005-0000-0000-0000150A0000}"/>
    <cellStyle name="Comma 4 4 4 3 2" xfId="14364" xr:uid="{A8C370DD-AB77-4E34-AC51-B01FD0028881}"/>
    <cellStyle name="Comma 4 4 4 3 3" xfId="22811" xr:uid="{415D5F32-3237-44FD-AB31-063D2BDE1D66}"/>
    <cellStyle name="Comma 4 4 4 3 4" xfId="31258" xr:uid="{36611D4E-55AB-4DF8-BAF8-3FB27E61D524}"/>
    <cellStyle name="Comma 4 4 4 4" xfId="9229" xr:uid="{5D655A80-2199-4116-9BF2-7327D5827395}"/>
    <cellStyle name="Comma 4 4 4 5" xfId="10147" xr:uid="{066B7CCF-4B6C-46D6-BFC5-9FB36E059D89}"/>
    <cellStyle name="Comma 4 4 4 6" xfId="18594" xr:uid="{36BA9E04-61C0-4C97-9C72-5FE504ED8780}"/>
    <cellStyle name="Comma 4 4 4 7" xfId="27041" xr:uid="{E293E1AD-5E24-40AC-885A-CEDF68998C08}"/>
    <cellStyle name="Comma 4 4 5" xfId="1143" xr:uid="{00000000-0005-0000-0000-0000160A0000}"/>
    <cellStyle name="Comma 4 4 5 2" xfId="3374" xr:uid="{00000000-0005-0000-0000-0000170A0000}"/>
    <cellStyle name="Comma 4 4 5 2 2" xfId="7596" xr:uid="{00000000-0005-0000-0000-0000180A0000}"/>
    <cellStyle name="Comma 4 4 5 2 2 2" xfId="16922" xr:uid="{31C1C66A-1198-42AB-B35A-4E789E684692}"/>
    <cellStyle name="Comma 4 4 5 2 2 3" xfId="25369" xr:uid="{9B1E5285-F7FE-4BFF-A38E-CAE86096927B}"/>
    <cellStyle name="Comma 4 4 5 2 2 4" xfId="33816" xr:uid="{023364E6-BA44-4320-929A-818F1C450F57}"/>
    <cellStyle name="Comma 4 4 5 2 3" xfId="12705" xr:uid="{6E7618C7-30C0-4C17-865A-2ED27E460F6F}"/>
    <cellStyle name="Comma 4 4 5 2 4" xfId="21152" xr:uid="{669030F5-C0B9-4B2D-A9E0-9B14088A97EA}"/>
    <cellStyle name="Comma 4 4 5 2 5" xfId="29599" xr:uid="{8F51C573-6911-4E78-8C03-93BD82CBE818}"/>
    <cellStyle name="Comma 4 4 5 3" xfId="5451" xr:uid="{00000000-0005-0000-0000-0000190A0000}"/>
    <cellStyle name="Comma 4 4 5 3 2" xfId="14777" xr:uid="{F7DD7D61-932D-41C1-8335-0CCBB3CB878D}"/>
    <cellStyle name="Comma 4 4 5 3 3" xfId="23224" xr:uid="{27737A22-5ABC-41DB-90A0-89D88EA7B8DA}"/>
    <cellStyle name="Comma 4 4 5 3 4" xfId="31671" xr:uid="{B9C80A28-05A4-4246-807E-A150BB6241B6}"/>
    <cellStyle name="Comma 4 4 5 4" xfId="10560" xr:uid="{65B1DBDA-8409-482A-B3AB-6E5FBBCE0AE4}"/>
    <cellStyle name="Comma 4 4 5 5" xfId="19007" xr:uid="{F983FF55-9F41-40F2-BA0F-4E49E5EB03F5}"/>
    <cellStyle name="Comma 4 4 5 6" xfId="27454" xr:uid="{E46C047C-C3D8-447F-BC76-274F6B8E8687}"/>
    <cellStyle name="Comma 4 4 6" xfId="1557" xr:uid="{00000000-0005-0000-0000-00001A0A0000}"/>
    <cellStyle name="Comma 4 4 6 2" xfId="3787" xr:uid="{00000000-0005-0000-0000-00001B0A0000}"/>
    <cellStyle name="Comma 4 4 6 2 2" xfId="8009" xr:uid="{00000000-0005-0000-0000-00001C0A0000}"/>
    <cellStyle name="Comma 4 4 6 2 2 2" xfId="17335" xr:uid="{15DB668F-28DE-4851-93A8-55482D83858C}"/>
    <cellStyle name="Comma 4 4 6 2 2 3" xfId="25782" xr:uid="{28A6CF96-346D-4593-BC9B-4C5304283156}"/>
    <cellStyle name="Comma 4 4 6 2 2 4" xfId="34229" xr:uid="{75EE8828-9CC4-4F3C-AE76-C80063C65765}"/>
    <cellStyle name="Comma 4 4 6 2 3" xfId="13118" xr:uid="{D3D80E9A-2B6B-447B-A287-C9F01CBA9BA2}"/>
    <cellStyle name="Comma 4 4 6 2 4" xfId="21565" xr:uid="{414ABEE8-AEC0-47F6-8F1F-5807270485A0}"/>
    <cellStyle name="Comma 4 4 6 2 5" xfId="30012" xr:uid="{0C363E02-BC81-43C1-A7EB-6F7F038FB5F0}"/>
    <cellStyle name="Comma 4 4 6 3" xfId="5864" xr:uid="{00000000-0005-0000-0000-00001D0A0000}"/>
    <cellStyle name="Comma 4 4 6 3 2" xfId="15190" xr:uid="{471C5B19-E6FC-4CAE-938F-A8FFF19861BF}"/>
    <cellStyle name="Comma 4 4 6 3 3" xfId="23637" xr:uid="{8CAD1396-AED9-4873-BE2A-391812606F60}"/>
    <cellStyle name="Comma 4 4 6 3 4" xfId="32084" xr:uid="{F6844D66-045F-4FE1-B6A3-282159CAAD0D}"/>
    <cellStyle name="Comma 4 4 6 4" xfId="10973" xr:uid="{F2EC13B2-844E-467C-BA54-D706E6280CC5}"/>
    <cellStyle name="Comma 4 4 6 5" xfId="19420" xr:uid="{1B2E5BD7-F100-4F73-89E6-2B04236B4EF9}"/>
    <cellStyle name="Comma 4 4 6 6" xfId="27867" xr:uid="{7A10B0E7-CEB2-4825-B05B-FA403DF4F77B}"/>
    <cellStyle name="Comma 4 4 7" xfId="1971" xr:uid="{00000000-0005-0000-0000-00001E0A0000}"/>
    <cellStyle name="Comma 4 4 7 2" xfId="4200" xr:uid="{00000000-0005-0000-0000-00001F0A0000}"/>
    <cellStyle name="Comma 4 4 7 2 2" xfId="8422" xr:uid="{00000000-0005-0000-0000-0000200A0000}"/>
    <cellStyle name="Comma 4 4 7 2 2 2" xfId="17748" xr:uid="{FCE44A5B-7CAF-4E31-BB56-D92FA7A372AC}"/>
    <cellStyle name="Comma 4 4 7 2 2 3" xfId="26195" xr:uid="{99827B75-B2C1-497A-AD44-963DB5BE16A3}"/>
    <cellStyle name="Comma 4 4 7 2 2 4" xfId="34642" xr:uid="{27223501-571D-4E78-BEED-A90F5FA86B45}"/>
    <cellStyle name="Comma 4 4 7 2 3" xfId="13531" xr:uid="{F4E92E1B-15EF-4B9A-83AC-3B3046AC4F43}"/>
    <cellStyle name="Comma 4 4 7 2 4" xfId="21978" xr:uid="{B54C1EF7-DFEA-4D57-A037-8F44F3B9AD61}"/>
    <cellStyle name="Comma 4 4 7 2 5" xfId="30425" xr:uid="{1403971C-FA05-4D1B-9743-0F48CC946402}"/>
    <cellStyle name="Comma 4 4 7 3" xfId="6277" xr:uid="{00000000-0005-0000-0000-0000210A0000}"/>
    <cellStyle name="Comma 4 4 7 3 2" xfId="15603" xr:uid="{E4483450-2762-4CA4-B84C-C223665A3DD4}"/>
    <cellStyle name="Comma 4 4 7 3 3" xfId="24050" xr:uid="{9678CFD5-2192-4B39-B281-BC13D918F7ED}"/>
    <cellStyle name="Comma 4 4 7 3 4" xfId="32497" xr:uid="{58BE1A65-1790-47BD-8AAF-F1FBF60C5BC2}"/>
    <cellStyle name="Comma 4 4 7 4" xfId="11386" xr:uid="{16442FA8-0203-41CA-B147-F5309BF9ACE2}"/>
    <cellStyle name="Comma 4 4 7 5" xfId="19833" xr:uid="{A627E633-F261-4A2D-ABC5-5B97F8A36580}"/>
    <cellStyle name="Comma 4 4 7 6" xfId="28280" xr:uid="{DB1AE721-C37A-4C15-8228-688247BE4FD6}"/>
    <cellStyle name="Comma 4 4 8" xfId="2406" xr:uid="{00000000-0005-0000-0000-0000220A0000}"/>
    <cellStyle name="Comma 4 4 8 2" xfId="6690" xr:uid="{00000000-0005-0000-0000-0000230A0000}"/>
    <cellStyle name="Comma 4 4 8 2 2" xfId="16016" xr:uid="{2AA2C680-CFA1-405F-8939-79082BA2FA68}"/>
    <cellStyle name="Comma 4 4 8 2 3" xfId="24463" xr:uid="{7A3C5D53-AD78-4FA6-8BEA-6CD24BE2A2F5}"/>
    <cellStyle name="Comma 4 4 8 2 4" xfId="32910" xr:uid="{208AF8B7-7EC7-4E86-8340-CE4283223788}"/>
    <cellStyle name="Comma 4 4 8 3" xfId="11799" xr:uid="{660BC8A7-2859-4366-ACB1-36E6BF3E7EB3}"/>
    <cellStyle name="Comma 4 4 8 4" xfId="20246" xr:uid="{AE634740-71A0-4A0B-8757-CC1BFB898023}"/>
    <cellStyle name="Comma 4 4 8 5" xfId="28693" xr:uid="{8A077C8C-5C23-483E-B24A-F136538C2F38}"/>
    <cellStyle name="Comma 4 4 9" xfId="2702" xr:uid="{00000000-0005-0000-0000-0000240A0000}"/>
    <cellStyle name="Comma 4 5" xfId="157" xr:uid="{00000000-0005-0000-0000-0000250A0000}"/>
    <cellStyle name="Comma 4 5 10" xfId="4628" xr:uid="{00000000-0005-0000-0000-0000260A0000}"/>
    <cellStyle name="Comma 4 5 10 2" xfId="13954" xr:uid="{5233F223-6ECF-424A-AAD9-1B41F4399C4F}"/>
    <cellStyle name="Comma 4 5 10 3" xfId="22401" xr:uid="{774850F9-945C-40E2-A886-78B5EED8E5BB}"/>
    <cellStyle name="Comma 4 5 10 4" xfId="30848" xr:uid="{224F6F08-EB35-486B-88E9-D221E13B56CB}"/>
    <cellStyle name="Comma 4 5 11" xfId="8849" xr:uid="{344CCE08-63E3-41E8-B38A-00347480820F}"/>
    <cellStyle name="Comma 4 5 12" xfId="9737" xr:uid="{EB673471-76BA-4BE4-B8BA-8BD1DAE4C2B7}"/>
    <cellStyle name="Comma 4 5 13" xfId="18184" xr:uid="{6BE7E770-954D-49FE-BE72-E5AC9E70AAD4}"/>
    <cellStyle name="Comma 4 5 14" xfId="26631" xr:uid="{DAA170CA-9315-4AE7-A13B-0B2F70E3DFDD}"/>
    <cellStyle name="Comma 4 5 2" xfId="158" xr:uid="{00000000-0005-0000-0000-0000270A0000}"/>
    <cellStyle name="Comma 4 5 2 10" xfId="9056" xr:uid="{C7C2153B-7EAA-4A13-9C28-1151ACD100A8}"/>
    <cellStyle name="Comma 4 5 2 11" xfId="9738" xr:uid="{2D838BCC-D031-4C0B-9EC3-B857451E2081}"/>
    <cellStyle name="Comma 4 5 2 12" xfId="18185" xr:uid="{589A41DF-2197-45F7-80F7-A59A6E3AC801}"/>
    <cellStyle name="Comma 4 5 2 13" xfId="26632" xr:uid="{9C1B277A-039D-475B-BB2B-0C5985B91BDB}"/>
    <cellStyle name="Comma 4 5 2 2" xfId="695" xr:uid="{00000000-0005-0000-0000-0000280A0000}"/>
    <cellStyle name="Comma 4 5 2 2 2" xfId="2966" xr:uid="{00000000-0005-0000-0000-0000290A0000}"/>
    <cellStyle name="Comma 4 5 2 2 2 2" xfId="7188" xr:uid="{00000000-0005-0000-0000-00002A0A0000}"/>
    <cellStyle name="Comma 4 5 2 2 2 2 2" xfId="16514" xr:uid="{0D784490-C250-49D8-BEB1-1F9FEC0328C4}"/>
    <cellStyle name="Comma 4 5 2 2 2 2 3" xfId="24961" xr:uid="{4B40D473-EA50-492F-BEF9-AD1597D4E09F}"/>
    <cellStyle name="Comma 4 5 2 2 2 2 4" xfId="33408" xr:uid="{2FD3F6C3-7396-48B9-8678-0EEF1DF8FB3D}"/>
    <cellStyle name="Comma 4 5 2 2 2 3" xfId="12297" xr:uid="{0FAEA010-891E-4A4C-A676-5C912BC2FBF6}"/>
    <cellStyle name="Comma 4 5 2 2 2 4" xfId="20744" xr:uid="{FFDD7AF6-53AE-478F-9589-6F67B6E6A1D5}"/>
    <cellStyle name="Comma 4 5 2 2 2 5" xfId="29191" xr:uid="{8701B899-E712-48F1-B525-120CD14BF485}"/>
    <cellStyle name="Comma 4 5 2 2 3" xfId="5043" xr:uid="{00000000-0005-0000-0000-00002B0A0000}"/>
    <cellStyle name="Comma 4 5 2 2 3 2" xfId="14369" xr:uid="{379A2E1A-4E68-4422-84E0-0F557800DCC5}"/>
    <cellStyle name="Comma 4 5 2 2 3 3" xfId="22816" xr:uid="{C2A4F4EC-4B68-40D9-B4BD-4047351BA998}"/>
    <cellStyle name="Comma 4 5 2 2 3 4" xfId="31263" xr:uid="{AF1BFF9E-0348-457F-A0DB-E81609D24A6E}"/>
    <cellStyle name="Comma 4 5 2 2 4" xfId="9481" xr:uid="{47C88F6D-21B1-4457-908C-FFAB8FF83BD1}"/>
    <cellStyle name="Comma 4 5 2 2 5" xfId="10152" xr:uid="{AA1DD7D9-91ED-45DF-8350-27C7E7711380}"/>
    <cellStyle name="Comma 4 5 2 2 6" xfId="18599" xr:uid="{047771EC-1B57-41ED-AEFA-0966A34E4ACD}"/>
    <cellStyle name="Comma 4 5 2 2 7" xfId="27046" xr:uid="{D71EDA4B-5D76-4043-9858-7515291556BC}"/>
    <cellStyle name="Comma 4 5 2 3" xfId="1148" xr:uid="{00000000-0005-0000-0000-00002C0A0000}"/>
    <cellStyle name="Comma 4 5 2 3 2" xfId="3379" xr:uid="{00000000-0005-0000-0000-00002D0A0000}"/>
    <cellStyle name="Comma 4 5 2 3 2 2" xfId="7601" xr:uid="{00000000-0005-0000-0000-00002E0A0000}"/>
    <cellStyle name="Comma 4 5 2 3 2 2 2" xfId="16927" xr:uid="{DD1EDEE9-EBBE-4F1F-8926-828FF2901DE2}"/>
    <cellStyle name="Comma 4 5 2 3 2 2 3" xfId="25374" xr:uid="{FF91FFB9-9FCC-4A24-A2B2-46496405FEE2}"/>
    <cellStyle name="Comma 4 5 2 3 2 2 4" xfId="33821" xr:uid="{75DDA6E6-DAA7-4CBA-B48B-856BD2DE61C4}"/>
    <cellStyle name="Comma 4 5 2 3 2 3" xfId="12710" xr:uid="{AE2F4497-C648-4154-9D94-2C17FF7286A4}"/>
    <cellStyle name="Comma 4 5 2 3 2 4" xfId="21157" xr:uid="{EA2E0769-344F-47D2-BB8A-78865458E114}"/>
    <cellStyle name="Comma 4 5 2 3 2 5" xfId="29604" xr:uid="{A9522833-9140-48D2-B00B-8EDDB90CBC22}"/>
    <cellStyle name="Comma 4 5 2 3 3" xfId="5456" xr:uid="{00000000-0005-0000-0000-00002F0A0000}"/>
    <cellStyle name="Comma 4 5 2 3 3 2" xfId="14782" xr:uid="{882CD34A-BD7D-4E4D-BBCF-94AD2D561EEE}"/>
    <cellStyle name="Comma 4 5 2 3 3 3" xfId="23229" xr:uid="{9AAC6E78-FDE3-42CC-8D90-DD54DE81E82C}"/>
    <cellStyle name="Comma 4 5 2 3 3 4" xfId="31676" xr:uid="{16E902BA-8E1E-4527-99EF-CED8B87ABEEC}"/>
    <cellStyle name="Comma 4 5 2 3 4" xfId="10565" xr:uid="{A9989DC2-4804-4204-9B3C-FA2373A7BE0C}"/>
    <cellStyle name="Comma 4 5 2 3 5" xfId="19012" xr:uid="{F45E9FF6-1C3F-42F8-A99A-B06BD4D412B5}"/>
    <cellStyle name="Comma 4 5 2 3 6" xfId="27459" xr:uid="{21914692-FB24-4F8C-8009-10F2F487CA45}"/>
    <cellStyle name="Comma 4 5 2 4" xfId="1562" xr:uid="{00000000-0005-0000-0000-0000300A0000}"/>
    <cellStyle name="Comma 4 5 2 4 2" xfId="3792" xr:uid="{00000000-0005-0000-0000-0000310A0000}"/>
    <cellStyle name="Comma 4 5 2 4 2 2" xfId="8014" xr:uid="{00000000-0005-0000-0000-0000320A0000}"/>
    <cellStyle name="Comma 4 5 2 4 2 2 2" xfId="17340" xr:uid="{DE8B2828-CE23-442E-B438-FA97B0B9EC5E}"/>
    <cellStyle name="Comma 4 5 2 4 2 2 3" xfId="25787" xr:uid="{476B4319-F145-47F1-97F5-A3750F4D21D0}"/>
    <cellStyle name="Comma 4 5 2 4 2 2 4" xfId="34234" xr:uid="{6D6B7692-DE4F-4711-90BD-61A5A77754D5}"/>
    <cellStyle name="Comma 4 5 2 4 2 3" xfId="13123" xr:uid="{B9EDFCE1-2CD1-4BB2-B975-E1219F539297}"/>
    <cellStyle name="Comma 4 5 2 4 2 4" xfId="21570" xr:uid="{E053489E-1F29-49B3-A94F-6CD0FDA131CF}"/>
    <cellStyle name="Comma 4 5 2 4 2 5" xfId="30017" xr:uid="{91DBBFBA-25C2-4541-B13E-02BD4526759A}"/>
    <cellStyle name="Comma 4 5 2 4 3" xfId="5869" xr:uid="{00000000-0005-0000-0000-0000330A0000}"/>
    <cellStyle name="Comma 4 5 2 4 3 2" xfId="15195" xr:uid="{F8BD01F8-EDE4-48F7-8D02-26EB0859B842}"/>
    <cellStyle name="Comma 4 5 2 4 3 3" xfId="23642" xr:uid="{9872C7E8-57AE-4574-94D4-B6353EC7C38D}"/>
    <cellStyle name="Comma 4 5 2 4 3 4" xfId="32089" xr:uid="{92E39AD5-A062-43EB-963F-60F5A760B2E6}"/>
    <cellStyle name="Comma 4 5 2 4 4" xfId="10978" xr:uid="{E979B16E-68BA-42DA-B3F4-2B3687F933DC}"/>
    <cellStyle name="Comma 4 5 2 4 5" xfId="19425" xr:uid="{EB93DA2C-2FE7-477F-A8A0-32E4031C5C34}"/>
    <cellStyle name="Comma 4 5 2 4 6" xfId="27872" xr:uid="{6B691A8B-2858-453F-8851-10BFC154A042}"/>
    <cellStyle name="Comma 4 5 2 5" xfId="1976" xr:uid="{00000000-0005-0000-0000-0000340A0000}"/>
    <cellStyle name="Comma 4 5 2 5 2" xfId="4205" xr:uid="{00000000-0005-0000-0000-0000350A0000}"/>
    <cellStyle name="Comma 4 5 2 5 2 2" xfId="8427" xr:uid="{00000000-0005-0000-0000-0000360A0000}"/>
    <cellStyle name="Comma 4 5 2 5 2 2 2" xfId="17753" xr:uid="{995829B6-D3CD-4EDC-852D-0695403CAC49}"/>
    <cellStyle name="Comma 4 5 2 5 2 2 3" xfId="26200" xr:uid="{C0BE16E5-1735-4CDB-A609-BB3DA1C28482}"/>
    <cellStyle name="Comma 4 5 2 5 2 2 4" xfId="34647" xr:uid="{850EFD8A-381F-477A-AA39-BA1E0A85A61F}"/>
    <cellStyle name="Comma 4 5 2 5 2 3" xfId="13536" xr:uid="{50D40FDF-422E-4F8C-8AB8-A768ED96285C}"/>
    <cellStyle name="Comma 4 5 2 5 2 4" xfId="21983" xr:uid="{8E1943F3-174A-43E5-B6E1-6C02F931EB9B}"/>
    <cellStyle name="Comma 4 5 2 5 2 5" xfId="30430" xr:uid="{2059ABCD-EA60-47E5-8AFC-92EF10F6B958}"/>
    <cellStyle name="Comma 4 5 2 5 3" xfId="6282" xr:uid="{00000000-0005-0000-0000-0000370A0000}"/>
    <cellStyle name="Comma 4 5 2 5 3 2" xfId="15608" xr:uid="{4D1F23D2-70C4-46D2-A171-D8693E79B77B}"/>
    <cellStyle name="Comma 4 5 2 5 3 3" xfId="24055" xr:uid="{F90E9069-3A18-46FD-845C-4D00A88B74AF}"/>
    <cellStyle name="Comma 4 5 2 5 3 4" xfId="32502" xr:uid="{91C0D11D-D515-42E7-8459-E016D4108800}"/>
    <cellStyle name="Comma 4 5 2 5 4" xfId="11391" xr:uid="{99EF4B15-8BF4-42FF-8E70-DC5F8E7ADD23}"/>
    <cellStyle name="Comma 4 5 2 5 5" xfId="19838" xr:uid="{61AA7525-131A-41AA-9FAA-29B301FA15A4}"/>
    <cellStyle name="Comma 4 5 2 5 6" xfId="28285" xr:uid="{0089A0BC-00AE-4606-8DCC-7ED433AA79CD}"/>
    <cellStyle name="Comma 4 5 2 6" xfId="2411" xr:uid="{00000000-0005-0000-0000-0000380A0000}"/>
    <cellStyle name="Comma 4 5 2 6 2" xfId="6695" xr:uid="{00000000-0005-0000-0000-0000390A0000}"/>
    <cellStyle name="Comma 4 5 2 6 2 2" xfId="16021" xr:uid="{D9D31A84-E2FB-41A2-9F60-19135C839F99}"/>
    <cellStyle name="Comma 4 5 2 6 2 3" xfId="24468" xr:uid="{0A08E417-0357-4BDD-95E0-968C8B01D704}"/>
    <cellStyle name="Comma 4 5 2 6 2 4" xfId="32915" xr:uid="{5E29FF82-A31E-4D79-882A-0AB02D46BD24}"/>
    <cellStyle name="Comma 4 5 2 6 3" xfId="11804" xr:uid="{6C7D8ADE-2CEA-47CC-A11F-7362B570EAF8}"/>
    <cellStyle name="Comma 4 5 2 6 4" xfId="20251" xr:uid="{95323170-856D-4581-8366-457C18EBFA98}"/>
    <cellStyle name="Comma 4 5 2 6 5" xfId="28698" xr:uid="{B6E2D4F3-DB83-45F4-9ED4-FEF284C8D5F5}"/>
    <cellStyle name="Comma 4 5 2 7" xfId="2707" xr:uid="{00000000-0005-0000-0000-00003A0A0000}"/>
    <cellStyle name="Comma 4 5 2 8" xfId="2789" xr:uid="{00000000-0005-0000-0000-00003B0A0000}"/>
    <cellStyle name="Comma 4 5 2 8 2" xfId="7012" xr:uid="{00000000-0005-0000-0000-00003C0A0000}"/>
    <cellStyle name="Comma 4 5 2 8 2 2" xfId="16338" xr:uid="{57026CFE-4BE4-4964-A7DB-2C01AFC9DD0B}"/>
    <cellStyle name="Comma 4 5 2 8 2 3" xfId="24785" xr:uid="{71EA4636-FA8C-4B7F-9055-E1654ACC0FA8}"/>
    <cellStyle name="Comma 4 5 2 8 2 4" xfId="33232" xr:uid="{F0E1C4E5-926C-4791-83DA-6FE9F9BAF337}"/>
    <cellStyle name="Comma 4 5 2 8 3" xfId="12121" xr:uid="{61685E64-987A-40E6-9873-C69824BA2C13}"/>
    <cellStyle name="Comma 4 5 2 8 4" xfId="20568" xr:uid="{3B59E2ED-F878-4081-A006-34EA98D9C3F3}"/>
    <cellStyle name="Comma 4 5 2 8 5" xfId="29015" xr:uid="{1BAB2130-A0BD-4C77-9621-B9049AA306AB}"/>
    <cellStyle name="Comma 4 5 2 9" xfId="4629" xr:uid="{00000000-0005-0000-0000-00003D0A0000}"/>
    <cellStyle name="Comma 4 5 2 9 2" xfId="13955" xr:uid="{D0BE5D46-8260-453D-9BD5-F3C0E2179C64}"/>
    <cellStyle name="Comma 4 5 2 9 3" xfId="22402" xr:uid="{C05A94EF-754D-45D8-900C-628C6D60FB36}"/>
    <cellStyle name="Comma 4 5 2 9 4" xfId="30849" xr:uid="{86987F5F-A3ED-480B-BE51-73BE9D845549}"/>
    <cellStyle name="Comma 4 5 3" xfId="694" xr:uid="{00000000-0005-0000-0000-00003E0A0000}"/>
    <cellStyle name="Comma 4 5 3 2" xfId="2965" xr:uid="{00000000-0005-0000-0000-00003F0A0000}"/>
    <cellStyle name="Comma 4 5 3 2 2" xfId="7187" xr:uid="{00000000-0005-0000-0000-0000400A0000}"/>
    <cellStyle name="Comma 4 5 3 2 2 2" xfId="16513" xr:uid="{1F35B9D5-B746-4B9C-BE1B-BC99C8D5AB0B}"/>
    <cellStyle name="Comma 4 5 3 2 2 3" xfId="24960" xr:uid="{E5BA6B1C-4BB0-4A24-AC64-E228A41CABE9}"/>
    <cellStyle name="Comma 4 5 3 2 2 4" xfId="33407" xr:uid="{DE2507E6-309A-45B9-AA39-FFC3B4BF3CB5}"/>
    <cellStyle name="Comma 4 5 3 2 3" xfId="12296" xr:uid="{E776EEE4-D86B-45C2-BC31-86B0E17B11B9}"/>
    <cellStyle name="Comma 4 5 3 2 4" xfId="20743" xr:uid="{ACD5AD03-4D74-4464-B2ED-F494D41C296F}"/>
    <cellStyle name="Comma 4 5 3 2 5" xfId="29190" xr:uid="{4964F625-A930-459B-ACDF-1CD0DF4A7621}"/>
    <cellStyle name="Comma 4 5 3 3" xfId="5042" xr:uid="{00000000-0005-0000-0000-0000410A0000}"/>
    <cellStyle name="Comma 4 5 3 3 2" xfId="14368" xr:uid="{59E60536-E8E2-4D92-9468-CA7FA133D44B}"/>
    <cellStyle name="Comma 4 5 3 3 3" xfId="22815" xr:uid="{2E8FD198-D178-4C7E-9371-8D343BD4EB57}"/>
    <cellStyle name="Comma 4 5 3 3 4" xfId="31262" xr:uid="{58A1684D-D46F-4266-8F35-7DC2BE0AA28D}"/>
    <cellStyle name="Comma 4 5 3 4" xfId="9274" xr:uid="{04AC3EF2-4A78-4DC5-BAB4-87936023C7E5}"/>
    <cellStyle name="Comma 4 5 3 5" xfId="10151" xr:uid="{31B6B694-18E6-4EA9-9414-FE97A0DAD20F}"/>
    <cellStyle name="Comma 4 5 3 6" xfId="18598" xr:uid="{0A46C362-B792-4EEA-AC42-0BC35118CBDB}"/>
    <cellStyle name="Comma 4 5 3 7" xfId="27045" xr:uid="{40C90DF8-B7B6-46AD-BFC8-EA673A637164}"/>
    <cellStyle name="Comma 4 5 4" xfId="1147" xr:uid="{00000000-0005-0000-0000-0000420A0000}"/>
    <cellStyle name="Comma 4 5 4 2" xfId="3378" xr:uid="{00000000-0005-0000-0000-0000430A0000}"/>
    <cellStyle name="Comma 4 5 4 2 2" xfId="7600" xr:uid="{00000000-0005-0000-0000-0000440A0000}"/>
    <cellStyle name="Comma 4 5 4 2 2 2" xfId="16926" xr:uid="{328D6F4B-89E9-47EF-85AF-5498C4AA2E78}"/>
    <cellStyle name="Comma 4 5 4 2 2 3" xfId="25373" xr:uid="{19ACB3A4-E30B-41C7-847B-7E9AC17A5013}"/>
    <cellStyle name="Comma 4 5 4 2 2 4" xfId="33820" xr:uid="{B806C61B-410E-4064-A412-6A38685F69E6}"/>
    <cellStyle name="Comma 4 5 4 2 3" xfId="12709" xr:uid="{67336037-1051-4C81-B185-83CCA3DD859C}"/>
    <cellStyle name="Comma 4 5 4 2 4" xfId="21156" xr:uid="{C1AB3A4A-D2CD-4CD5-8352-0BE8189CD9A8}"/>
    <cellStyle name="Comma 4 5 4 2 5" xfId="29603" xr:uid="{382A882F-5BFB-4208-A163-FBB241D81A90}"/>
    <cellStyle name="Comma 4 5 4 3" xfId="5455" xr:uid="{00000000-0005-0000-0000-0000450A0000}"/>
    <cellStyle name="Comma 4 5 4 3 2" xfId="14781" xr:uid="{F70A4508-669E-435C-9E7A-8488A876FA8B}"/>
    <cellStyle name="Comma 4 5 4 3 3" xfId="23228" xr:uid="{B69CDF96-AAB5-448B-BE6A-404312D3169E}"/>
    <cellStyle name="Comma 4 5 4 3 4" xfId="31675" xr:uid="{E90ABECA-4C3A-4950-B9FE-967095F56486}"/>
    <cellStyle name="Comma 4 5 4 4" xfId="10564" xr:uid="{7F584BDE-5688-4068-8D35-EE3433BA2A3A}"/>
    <cellStyle name="Comma 4 5 4 5" xfId="19011" xr:uid="{A5B9C600-8EDC-4C1E-A9F4-6D98C5A5AAFC}"/>
    <cellStyle name="Comma 4 5 4 6" xfId="27458" xr:uid="{1FBE074D-D4F5-41A5-8CDD-7FF845767015}"/>
    <cellStyle name="Comma 4 5 5" xfId="1561" xr:uid="{00000000-0005-0000-0000-0000460A0000}"/>
    <cellStyle name="Comma 4 5 5 2" xfId="3791" xr:uid="{00000000-0005-0000-0000-0000470A0000}"/>
    <cellStyle name="Comma 4 5 5 2 2" xfId="8013" xr:uid="{00000000-0005-0000-0000-0000480A0000}"/>
    <cellStyle name="Comma 4 5 5 2 2 2" xfId="17339" xr:uid="{88F45E93-2479-456B-93D9-02BF0D9A1D2F}"/>
    <cellStyle name="Comma 4 5 5 2 2 3" xfId="25786" xr:uid="{A44E7EC9-5AC5-4989-963C-A65C310E58F4}"/>
    <cellStyle name="Comma 4 5 5 2 2 4" xfId="34233" xr:uid="{88541983-0B79-4169-A821-34610E8270BD}"/>
    <cellStyle name="Comma 4 5 5 2 3" xfId="13122" xr:uid="{BF65B3D2-ABC4-49A0-AE9F-9C1049FDC11B}"/>
    <cellStyle name="Comma 4 5 5 2 4" xfId="21569" xr:uid="{093A2613-93E2-46FE-8F25-D6EB266BEA4A}"/>
    <cellStyle name="Comma 4 5 5 2 5" xfId="30016" xr:uid="{2DBD05B2-FC3E-4D4C-874B-178FE017408C}"/>
    <cellStyle name="Comma 4 5 5 3" xfId="5868" xr:uid="{00000000-0005-0000-0000-0000490A0000}"/>
    <cellStyle name="Comma 4 5 5 3 2" xfId="15194" xr:uid="{09741DAF-5DFB-4B04-B76D-3094B4706231}"/>
    <cellStyle name="Comma 4 5 5 3 3" xfId="23641" xr:uid="{ECB2BA54-E355-4E7A-814A-ED3DCD51DCE3}"/>
    <cellStyle name="Comma 4 5 5 3 4" xfId="32088" xr:uid="{654930E3-76CD-44C8-B972-505D9B34E740}"/>
    <cellStyle name="Comma 4 5 5 4" xfId="10977" xr:uid="{7224EA70-3C1A-4752-B839-AF72A8561023}"/>
    <cellStyle name="Comma 4 5 5 5" xfId="19424" xr:uid="{916FC015-CCFA-4F55-900C-BA142FFB9E83}"/>
    <cellStyle name="Comma 4 5 5 6" xfId="27871" xr:uid="{98565079-F00A-46BA-9E5A-E752FC5593B1}"/>
    <cellStyle name="Comma 4 5 6" xfId="1975" xr:uid="{00000000-0005-0000-0000-00004A0A0000}"/>
    <cellStyle name="Comma 4 5 6 2" xfId="4204" xr:uid="{00000000-0005-0000-0000-00004B0A0000}"/>
    <cellStyle name="Comma 4 5 6 2 2" xfId="8426" xr:uid="{00000000-0005-0000-0000-00004C0A0000}"/>
    <cellStyle name="Comma 4 5 6 2 2 2" xfId="17752" xr:uid="{61615CCE-96BB-4771-A6E7-3F0774E94AEA}"/>
    <cellStyle name="Comma 4 5 6 2 2 3" xfId="26199" xr:uid="{E45EFFB6-6B29-4947-974D-B21A70F50574}"/>
    <cellStyle name="Comma 4 5 6 2 2 4" xfId="34646" xr:uid="{0ACED3B6-266D-4D90-BEE6-1EF4846A8DB0}"/>
    <cellStyle name="Comma 4 5 6 2 3" xfId="13535" xr:uid="{3133D4F4-1E15-4467-9D21-919C9ED5992E}"/>
    <cellStyle name="Comma 4 5 6 2 4" xfId="21982" xr:uid="{FAF0FF9E-49F7-4566-BAA8-FAD45C82FCA2}"/>
    <cellStyle name="Comma 4 5 6 2 5" xfId="30429" xr:uid="{90EAA0B7-451E-4AC2-B881-0A1954187D34}"/>
    <cellStyle name="Comma 4 5 6 3" xfId="6281" xr:uid="{00000000-0005-0000-0000-00004D0A0000}"/>
    <cellStyle name="Comma 4 5 6 3 2" xfId="15607" xr:uid="{AA476D4F-41CD-406B-9EDC-97D7CAFA3853}"/>
    <cellStyle name="Comma 4 5 6 3 3" xfId="24054" xr:uid="{7BDDB0B7-8BE0-4CA4-861D-56FC9DC204FF}"/>
    <cellStyle name="Comma 4 5 6 3 4" xfId="32501" xr:uid="{66C787E1-9C0D-41FD-800F-82AF11364CBA}"/>
    <cellStyle name="Comma 4 5 6 4" xfId="11390" xr:uid="{8ADCF578-1A48-4AAD-ADFC-63DFDD501615}"/>
    <cellStyle name="Comma 4 5 6 5" xfId="19837" xr:uid="{36B1F10B-5ADF-4A55-81BC-FC3EF98B9B5B}"/>
    <cellStyle name="Comma 4 5 6 6" xfId="28284" xr:uid="{6F4C0134-A9FD-4D5B-AD95-E81BAEC2DFAF}"/>
    <cellStyle name="Comma 4 5 7" xfId="2410" xr:uid="{00000000-0005-0000-0000-00004E0A0000}"/>
    <cellStyle name="Comma 4 5 7 2" xfId="6694" xr:uid="{00000000-0005-0000-0000-00004F0A0000}"/>
    <cellStyle name="Comma 4 5 7 2 2" xfId="16020" xr:uid="{3C3D55DE-E2BF-46BA-AB6F-33B34C35CFCC}"/>
    <cellStyle name="Comma 4 5 7 2 3" xfId="24467" xr:uid="{74E2B568-F26A-4E3D-B406-E84DD26E1B84}"/>
    <cellStyle name="Comma 4 5 7 2 4" xfId="32914" xr:uid="{EAC68F72-A128-4D74-A550-250C1719856A}"/>
    <cellStyle name="Comma 4 5 7 3" xfId="11803" xr:uid="{E29F2C58-5CC6-43A4-B9D9-57AB52FE5AB9}"/>
    <cellStyle name="Comma 4 5 7 4" xfId="20250" xr:uid="{2E791472-7CAC-4180-BE0C-F25A3D75386A}"/>
    <cellStyle name="Comma 4 5 7 5" xfId="28697" xr:uid="{99899CA7-7619-44F4-8296-6CE284C37F13}"/>
    <cellStyle name="Comma 4 5 8" xfId="2706" xr:uid="{00000000-0005-0000-0000-0000500A0000}"/>
    <cellStyle name="Comma 4 5 9" xfId="2788" xr:uid="{00000000-0005-0000-0000-0000510A0000}"/>
    <cellStyle name="Comma 4 5 9 2" xfId="7011" xr:uid="{00000000-0005-0000-0000-0000520A0000}"/>
    <cellStyle name="Comma 4 5 9 2 2" xfId="16337" xr:uid="{952D9FF7-C01F-426E-B4BA-8B00556A2B30}"/>
    <cellStyle name="Comma 4 5 9 2 3" xfId="24784" xr:uid="{B2FB2698-5F7B-466F-AC25-13195D4635AB}"/>
    <cellStyle name="Comma 4 5 9 2 4" xfId="33231" xr:uid="{2322F4E0-F1A0-473E-B79A-6624714D82FF}"/>
    <cellStyle name="Comma 4 5 9 3" xfId="12120" xr:uid="{E2554F30-AA76-4EE7-A464-88056E74566F}"/>
    <cellStyle name="Comma 4 5 9 4" xfId="20567" xr:uid="{4CB13A1C-0253-4DF1-87A3-6E9E5CA25536}"/>
    <cellStyle name="Comma 4 5 9 5" xfId="29014" xr:uid="{050C6DBB-F1DE-450E-A720-910A45DBB54D}"/>
    <cellStyle name="Comma 4 6" xfId="159" xr:uid="{00000000-0005-0000-0000-0000530A0000}"/>
    <cellStyle name="Comma 4 6 10" xfId="8965" xr:uid="{FDA33E7D-96B8-46F2-87D8-5CB6C30A4CC6}"/>
    <cellStyle name="Comma 4 6 11" xfId="9739" xr:uid="{73888823-37BC-41A5-AA1E-4B9620ADEA5A}"/>
    <cellStyle name="Comma 4 6 12" xfId="18186" xr:uid="{9FE2EFF6-A564-487B-A2A6-DD7960490E04}"/>
    <cellStyle name="Comma 4 6 13" xfId="26633" xr:uid="{89F9E24B-DFB6-4EEC-8073-B68D76FAEC81}"/>
    <cellStyle name="Comma 4 6 2" xfId="696" xr:uid="{00000000-0005-0000-0000-0000540A0000}"/>
    <cellStyle name="Comma 4 6 2 2" xfId="2967" xr:uid="{00000000-0005-0000-0000-0000550A0000}"/>
    <cellStyle name="Comma 4 6 2 2 2" xfId="7189" xr:uid="{00000000-0005-0000-0000-0000560A0000}"/>
    <cellStyle name="Comma 4 6 2 2 2 2" xfId="16515" xr:uid="{2D796E90-CB7A-4691-9AAB-E8687CDFE622}"/>
    <cellStyle name="Comma 4 6 2 2 2 3" xfId="24962" xr:uid="{C8607D3D-009F-4A98-83D6-1BDC8C9293D7}"/>
    <cellStyle name="Comma 4 6 2 2 2 4" xfId="33409" xr:uid="{CBED8604-3FCC-4A15-9897-3C8BF8AC9EA3}"/>
    <cellStyle name="Comma 4 6 2 2 3" xfId="12298" xr:uid="{87997FF9-1E0F-4D4D-845E-2FCCF215ECD8}"/>
    <cellStyle name="Comma 4 6 2 2 4" xfId="20745" xr:uid="{7B58D138-F5C3-43BD-BA24-2EC89D18E695}"/>
    <cellStyle name="Comma 4 6 2 2 5" xfId="29192" xr:uid="{591CFB0F-EDFE-4DC3-98DD-B97C46F78214}"/>
    <cellStyle name="Comma 4 6 2 3" xfId="5044" xr:uid="{00000000-0005-0000-0000-0000570A0000}"/>
    <cellStyle name="Comma 4 6 2 3 2" xfId="14370" xr:uid="{1F8460F2-60AE-4600-8718-9BB78115069D}"/>
    <cellStyle name="Comma 4 6 2 3 3" xfId="22817" xr:uid="{A6268472-B0D8-4250-9D83-E5242AECC18C}"/>
    <cellStyle name="Comma 4 6 2 3 4" xfId="31264" xr:uid="{C7E1012E-5260-4E61-AB2E-52A5949C2D52}"/>
    <cellStyle name="Comma 4 6 2 4" xfId="9390" xr:uid="{F8012948-A58F-476A-B4CF-A63C8F36D5B6}"/>
    <cellStyle name="Comma 4 6 2 5" xfId="10153" xr:uid="{9473F9AC-671B-49E8-A48F-BDF2B96AB1C2}"/>
    <cellStyle name="Comma 4 6 2 6" xfId="18600" xr:uid="{B0F83AA6-285D-4494-843A-EC68DC3BEE17}"/>
    <cellStyle name="Comma 4 6 2 7" xfId="27047" xr:uid="{BAF8B11B-4BF8-4096-BB84-0ECE0A60FCCD}"/>
    <cellStyle name="Comma 4 6 3" xfId="1149" xr:uid="{00000000-0005-0000-0000-0000580A0000}"/>
    <cellStyle name="Comma 4 6 3 2" xfId="3380" xr:uid="{00000000-0005-0000-0000-0000590A0000}"/>
    <cellStyle name="Comma 4 6 3 2 2" xfId="7602" xr:uid="{00000000-0005-0000-0000-00005A0A0000}"/>
    <cellStyle name="Comma 4 6 3 2 2 2" xfId="16928" xr:uid="{C998CF09-771B-4A1E-A5ED-F97B235981C9}"/>
    <cellStyle name="Comma 4 6 3 2 2 3" xfId="25375" xr:uid="{70CF0797-8DD4-44F5-BE6F-A03700D2CD6C}"/>
    <cellStyle name="Comma 4 6 3 2 2 4" xfId="33822" xr:uid="{9557E67E-0910-4D2D-85B0-25563A70DB85}"/>
    <cellStyle name="Comma 4 6 3 2 3" xfId="12711" xr:uid="{DD19ECE4-CC10-4116-BEB1-F4BFCAAFB0AC}"/>
    <cellStyle name="Comma 4 6 3 2 4" xfId="21158" xr:uid="{D4EA260F-878B-48F3-AB3F-4F2B347A4BDC}"/>
    <cellStyle name="Comma 4 6 3 2 5" xfId="29605" xr:uid="{07DFE080-143B-4FDE-A66F-A233F4D4A00B}"/>
    <cellStyle name="Comma 4 6 3 3" xfId="5457" xr:uid="{00000000-0005-0000-0000-00005B0A0000}"/>
    <cellStyle name="Comma 4 6 3 3 2" xfId="14783" xr:uid="{8F9AF4E0-4421-4B31-8C17-51A0537B6054}"/>
    <cellStyle name="Comma 4 6 3 3 3" xfId="23230" xr:uid="{30F426AD-A078-4C09-9F1B-73916022A05A}"/>
    <cellStyle name="Comma 4 6 3 3 4" xfId="31677" xr:uid="{3EA0C1D0-F1F6-4698-8772-D814D8511778}"/>
    <cellStyle name="Comma 4 6 3 4" xfId="10566" xr:uid="{00DD105D-3005-4EC8-845D-CE720BBEDF50}"/>
    <cellStyle name="Comma 4 6 3 5" xfId="19013" xr:uid="{2A3955C7-DA87-4A5C-ABC3-092E0C53D391}"/>
    <cellStyle name="Comma 4 6 3 6" xfId="27460" xr:uid="{987EE160-3CDA-4D11-87BF-8DC0E460C2B4}"/>
    <cellStyle name="Comma 4 6 4" xfId="1563" xr:uid="{00000000-0005-0000-0000-00005C0A0000}"/>
    <cellStyle name="Comma 4 6 4 2" xfId="3793" xr:uid="{00000000-0005-0000-0000-00005D0A0000}"/>
    <cellStyle name="Comma 4 6 4 2 2" xfId="8015" xr:uid="{00000000-0005-0000-0000-00005E0A0000}"/>
    <cellStyle name="Comma 4 6 4 2 2 2" xfId="17341" xr:uid="{C5868660-2BC6-4AD6-B1B6-408C47220168}"/>
    <cellStyle name="Comma 4 6 4 2 2 3" xfId="25788" xr:uid="{B2515C14-8683-4838-A19C-42A199BFC439}"/>
    <cellStyle name="Comma 4 6 4 2 2 4" xfId="34235" xr:uid="{8D183011-C956-48CE-8E85-87447FD9115E}"/>
    <cellStyle name="Comma 4 6 4 2 3" xfId="13124" xr:uid="{E10678D9-C4B8-40D9-B422-051A0A07939F}"/>
    <cellStyle name="Comma 4 6 4 2 4" xfId="21571" xr:uid="{9BEC1942-A374-4B97-8A9D-4EB1AD65FED4}"/>
    <cellStyle name="Comma 4 6 4 2 5" xfId="30018" xr:uid="{F2BBD728-4369-460A-8E12-F65D9D282697}"/>
    <cellStyle name="Comma 4 6 4 3" xfId="5870" xr:uid="{00000000-0005-0000-0000-00005F0A0000}"/>
    <cellStyle name="Comma 4 6 4 3 2" xfId="15196" xr:uid="{D36D49B2-E6C1-49BA-B8F4-F31AC4447DD9}"/>
    <cellStyle name="Comma 4 6 4 3 3" xfId="23643" xr:uid="{BE314C53-1646-4E3C-A61D-EDAC163E8CAF}"/>
    <cellStyle name="Comma 4 6 4 3 4" xfId="32090" xr:uid="{C8F80A40-C856-44E2-9A1C-2CBE790DEECA}"/>
    <cellStyle name="Comma 4 6 4 4" xfId="10979" xr:uid="{DE55356E-7608-477E-A739-4AB38B2D97F6}"/>
    <cellStyle name="Comma 4 6 4 5" xfId="19426" xr:uid="{50AD6FFD-8795-46B9-8A37-F88CCF5E7487}"/>
    <cellStyle name="Comma 4 6 4 6" xfId="27873" xr:uid="{5B8431F3-8A5B-4255-89D3-616D0DD55256}"/>
    <cellStyle name="Comma 4 6 5" xfId="1977" xr:uid="{00000000-0005-0000-0000-0000600A0000}"/>
    <cellStyle name="Comma 4 6 5 2" xfId="4206" xr:uid="{00000000-0005-0000-0000-0000610A0000}"/>
    <cellStyle name="Comma 4 6 5 2 2" xfId="8428" xr:uid="{00000000-0005-0000-0000-0000620A0000}"/>
    <cellStyle name="Comma 4 6 5 2 2 2" xfId="17754" xr:uid="{F9B13456-D108-43FA-AF7B-5CBC5E6EFFC8}"/>
    <cellStyle name="Comma 4 6 5 2 2 3" xfId="26201" xr:uid="{4B8444F9-3BDC-4EDA-BAB4-DC4C52888547}"/>
    <cellStyle name="Comma 4 6 5 2 2 4" xfId="34648" xr:uid="{B47730B9-F0C6-4FBE-AD15-CBDD7BDB6A1D}"/>
    <cellStyle name="Comma 4 6 5 2 3" xfId="13537" xr:uid="{F5A2C080-9346-4839-B2E8-EDF52041973C}"/>
    <cellStyle name="Comma 4 6 5 2 4" xfId="21984" xr:uid="{98865A30-72CF-4B27-BF9B-E370ABEC9648}"/>
    <cellStyle name="Comma 4 6 5 2 5" xfId="30431" xr:uid="{DF52F847-94A9-47E7-9B90-DC3733E55F45}"/>
    <cellStyle name="Comma 4 6 5 3" xfId="6283" xr:uid="{00000000-0005-0000-0000-0000630A0000}"/>
    <cellStyle name="Comma 4 6 5 3 2" xfId="15609" xr:uid="{0FBA7DF0-D44F-4845-A311-767F7E0E85B4}"/>
    <cellStyle name="Comma 4 6 5 3 3" xfId="24056" xr:uid="{4D0B12C8-6958-4656-AA6D-4C16E601AF62}"/>
    <cellStyle name="Comma 4 6 5 3 4" xfId="32503" xr:uid="{F9BD599C-66EF-4CFB-A4E5-F79721FFCC13}"/>
    <cellStyle name="Comma 4 6 5 4" xfId="11392" xr:uid="{FE97639A-1202-4BE7-8DEB-31E3F4EC7DF2}"/>
    <cellStyle name="Comma 4 6 5 5" xfId="19839" xr:uid="{CB7A27BA-762A-47C6-8BA6-8B3025A260CD}"/>
    <cellStyle name="Comma 4 6 5 6" xfId="28286" xr:uid="{79BB9E01-4409-4280-937B-4225AB446F3B}"/>
    <cellStyle name="Comma 4 6 6" xfId="2412" xr:uid="{00000000-0005-0000-0000-0000640A0000}"/>
    <cellStyle name="Comma 4 6 6 2" xfId="6696" xr:uid="{00000000-0005-0000-0000-0000650A0000}"/>
    <cellStyle name="Comma 4 6 6 2 2" xfId="16022" xr:uid="{834565D8-42A7-41C6-96B9-83158E2FA7C8}"/>
    <cellStyle name="Comma 4 6 6 2 3" xfId="24469" xr:uid="{4496D78F-ADAF-455C-A80C-311FC4DDA7D6}"/>
    <cellStyle name="Comma 4 6 6 2 4" xfId="32916" xr:uid="{5FCB45DC-6F85-4CE0-9944-2C57EDB98723}"/>
    <cellStyle name="Comma 4 6 6 3" xfId="11805" xr:uid="{16150747-04C9-48AF-B259-A3E649516596}"/>
    <cellStyle name="Comma 4 6 6 4" xfId="20252" xr:uid="{BCF9171C-1E78-48E5-8378-15191AB634A5}"/>
    <cellStyle name="Comma 4 6 6 5" xfId="28699" xr:uid="{5AF13527-D37E-47F6-ADA6-A44DFF653E34}"/>
    <cellStyle name="Comma 4 6 7" xfId="2708" xr:uid="{00000000-0005-0000-0000-0000660A0000}"/>
    <cellStyle name="Comma 4 6 8" xfId="2790" xr:uid="{00000000-0005-0000-0000-0000670A0000}"/>
    <cellStyle name="Comma 4 6 8 2" xfId="7013" xr:uid="{00000000-0005-0000-0000-0000680A0000}"/>
    <cellStyle name="Comma 4 6 8 2 2" xfId="16339" xr:uid="{A443643C-7377-4B3D-A905-D3E65CF5C0E9}"/>
    <cellStyle name="Comma 4 6 8 2 3" xfId="24786" xr:uid="{2D436F58-846E-4311-AB0B-6CEE36979E87}"/>
    <cellStyle name="Comma 4 6 8 2 4" xfId="33233" xr:uid="{65793E30-0F85-4882-832C-A804A0E4116F}"/>
    <cellStyle name="Comma 4 6 8 3" xfId="12122" xr:uid="{CE850BDD-0EA8-45EA-84CB-085327C956CE}"/>
    <cellStyle name="Comma 4 6 8 4" xfId="20569" xr:uid="{7BF4CE44-70BA-4304-A6DA-94C7892792AF}"/>
    <cellStyle name="Comma 4 6 8 5" xfId="29016" xr:uid="{1AD56B8C-9DC5-4D15-989B-1A70AAEEE6E2}"/>
    <cellStyle name="Comma 4 6 9" xfId="4630" xr:uid="{00000000-0005-0000-0000-0000690A0000}"/>
    <cellStyle name="Comma 4 6 9 2" xfId="13956" xr:uid="{57A7A81A-E5C3-4C42-9D01-F9C80BCBBD39}"/>
    <cellStyle name="Comma 4 6 9 3" xfId="22403" xr:uid="{CCA510F3-D024-4060-872F-42D8917A2383}"/>
    <cellStyle name="Comma 4 6 9 4" xfId="30850" xr:uid="{0CBBAB59-EB05-426C-81E0-893282154819}"/>
    <cellStyle name="Comma 4 7" xfId="160" xr:uid="{00000000-0005-0000-0000-00006A0A0000}"/>
    <cellStyle name="Comma 4 7 10" xfId="9168" xr:uid="{C5EF0C72-87BD-43A9-8A23-92F9D9423F50}"/>
    <cellStyle name="Comma 4 7 11" xfId="9740" xr:uid="{A5B16EE1-85B2-4F3C-824B-B37E2AAB1377}"/>
    <cellStyle name="Comma 4 7 12" xfId="18187" xr:uid="{FFB4D739-CF68-4B99-B643-50ABE75E6A68}"/>
    <cellStyle name="Comma 4 7 13" xfId="26634" xr:uid="{784CC375-52D2-495E-9FCF-0E70A40999DC}"/>
    <cellStyle name="Comma 4 7 2" xfId="697" xr:uid="{00000000-0005-0000-0000-00006B0A0000}"/>
    <cellStyle name="Comma 4 7 2 2" xfId="2968" xr:uid="{00000000-0005-0000-0000-00006C0A0000}"/>
    <cellStyle name="Comma 4 7 2 2 2" xfId="7190" xr:uid="{00000000-0005-0000-0000-00006D0A0000}"/>
    <cellStyle name="Comma 4 7 2 2 2 2" xfId="16516" xr:uid="{A24ABDA6-CF52-49E1-9A8B-F05A58FB5364}"/>
    <cellStyle name="Comma 4 7 2 2 2 3" xfId="24963" xr:uid="{7D9CB292-5E7E-42F0-987B-7A2D4ACC75F3}"/>
    <cellStyle name="Comma 4 7 2 2 2 4" xfId="33410" xr:uid="{8CF49E9C-216F-4E3E-96D8-0D23150896DB}"/>
    <cellStyle name="Comma 4 7 2 2 3" xfId="12299" xr:uid="{3A09F8B3-18C0-4B8B-BB1F-C1D71584B461}"/>
    <cellStyle name="Comma 4 7 2 2 4" xfId="20746" xr:uid="{ECFFF47F-E056-4A11-B0DE-BFF010AECE88}"/>
    <cellStyle name="Comma 4 7 2 2 5" xfId="29193" xr:uid="{39D65394-EAF8-4A44-9668-B1F273509449}"/>
    <cellStyle name="Comma 4 7 2 3" xfId="5045" xr:uid="{00000000-0005-0000-0000-00006E0A0000}"/>
    <cellStyle name="Comma 4 7 2 3 2" xfId="14371" xr:uid="{2230B684-5F36-4688-8E59-AF8F9F9BACAF}"/>
    <cellStyle name="Comma 4 7 2 3 3" xfId="22818" xr:uid="{885F4944-5167-42DA-8EFD-B7FBF0B1FE74}"/>
    <cellStyle name="Comma 4 7 2 3 4" xfId="31265" xr:uid="{63F1F7C7-E96C-4A8E-A260-494449B5AF07}"/>
    <cellStyle name="Comma 4 7 2 4" xfId="9596" xr:uid="{F4A1C070-02C1-4F2A-89F2-15465D9BEBB2}"/>
    <cellStyle name="Comma 4 7 2 5" xfId="10154" xr:uid="{E2389FBC-E1C0-4642-8304-08607E9F150A}"/>
    <cellStyle name="Comma 4 7 2 6" xfId="18601" xr:uid="{DCE73143-160F-4C38-921D-0F9F619D2B80}"/>
    <cellStyle name="Comma 4 7 2 7" xfId="27048" xr:uid="{9FB14223-6A49-4DF6-B572-7C0767EF5B69}"/>
    <cellStyle name="Comma 4 7 3" xfId="1150" xr:uid="{00000000-0005-0000-0000-00006F0A0000}"/>
    <cellStyle name="Comma 4 7 3 2" xfId="3381" xr:uid="{00000000-0005-0000-0000-0000700A0000}"/>
    <cellStyle name="Comma 4 7 3 2 2" xfId="7603" xr:uid="{00000000-0005-0000-0000-0000710A0000}"/>
    <cellStyle name="Comma 4 7 3 2 2 2" xfId="16929" xr:uid="{85576D12-C280-48DE-8A8C-F0A42C1664C8}"/>
    <cellStyle name="Comma 4 7 3 2 2 3" xfId="25376" xr:uid="{EC49D3D1-1F13-407F-B658-ACBC3B6BA849}"/>
    <cellStyle name="Comma 4 7 3 2 2 4" xfId="33823" xr:uid="{CAD6DDC7-E0BA-40F3-BB8D-3DAFCA98B772}"/>
    <cellStyle name="Comma 4 7 3 2 3" xfId="12712" xr:uid="{AACE10D7-C752-4C77-AA6D-D60AEA12B7CC}"/>
    <cellStyle name="Comma 4 7 3 2 4" xfId="21159" xr:uid="{9593B99F-5CF5-4AF1-890C-70B62E8037CD}"/>
    <cellStyle name="Comma 4 7 3 2 5" xfId="29606" xr:uid="{F0AB065C-3D9B-4AF7-945D-7F6E67A20536}"/>
    <cellStyle name="Comma 4 7 3 3" xfId="5458" xr:uid="{00000000-0005-0000-0000-0000720A0000}"/>
    <cellStyle name="Comma 4 7 3 3 2" xfId="14784" xr:uid="{F13A3733-26C4-490F-8FD7-974020F5B8DB}"/>
    <cellStyle name="Comma 4 7 3 3 3" xfId="23231" xr:uid="{5B16C44D-E8E5-4313-933B-0DC172A96EB1}"/>
    <cellStyle name="Comma 4 7 3 3 4" xfId="31678" xr:uid="{87F1B10F-A456-4FA6-88BF-1D781A5D5A35}"/>
    <cellStyle name="Comma 4 7 3 4" xfId="10567" xr:uid="{C02D7BE4-E855-4075-9616-1C67811131D9}"/>
    <cellStyle name="Comma 4 7 3 5" xfId="19014" xr:uid="{393A0F35-430C-4481-9E5D-F7B54E8123BB}"/>
    <cellStyle name="Comma 4 7 3 6" xfId="27461" xr:uid="{D95D94D1-35F8-4798-8D22-352A4E660BB5}"/>
    <cellStyle name="Comma 4 7 4" xfId="1564" xr:uid="{00000000-0005-0000-0000-0000730A0000}"/>
    <cellStyle name="Comma 4 7 4 2" xfId="3794" xr:uid="{00000000-0005-0000-0000-0000740A0000}"/>
    <cellStyle name="Comma 4 7 4 2 2" xfId="8016" xr:uid="{00000000-0005-0000-0000-0000750A0000}"/>
    <cellStyle name="Comma 4 7 4 2 2 2" xfId="17342" xr:uid="{9B0B81B6-6AD3-4061-95FD-60C410F51D6A}"/>
    <cellStyle name="Comma 4 7 4 2 2 3" xfId="25789" xr:uid="{DC90456E-96E2-46EA-AE67-AEB096AEECB5}"/>
    <cellStyle name="Comma 4 7 4 2 2 4" xfId="34236" xr:uid="{77488D5A-C09F-48F5-A0CD-DEE22ABB7645}"/>
    <cellStyle name="Comma 4 7 4 2 3" xfId="13125" xr:uid="{49085989-472A-4AE5-8AD3-BCEBBC32D296}"/>
    <cellStyle name="Comma 4 7 4 2 4" xfId="21572" xr:uid="{20163E6A-3458-4D30-924B-EB8F3BB9E334}"/>
    <cellStyle name="Comma 4 7 4 2 5" xfId="30019" xr:uid="{E9BE35E0-11AC-4DFB-8096-D85D73C80DC9}"/>
    <cellStyle name="Comma 4 7 4 3" xfId="5871" xr:uid="{00000000-0005-0000-0000-0000760A0000}"/>
    <cellStyle name="Comma 4 7 4 3 2" xfId="15197" xr:uid="{1C34F243-8B60-4685-A775-D828F23F59A1}"/>
    <cellStyle name="Comma 4 7 4 3 3" xfId="23644" xr:uid="{2CD3530F-83EE-4883-8F30-FA9FC66F0687}"/>
    <cellStyle name="Comma 4 7 4 3 4" xfId="32091" xr:uid="{FE1545C2-7072-4B63-9CB7-9E1D2D4018EB}"/>
    <cellStyle name="Comma 4 7 4 4" xfId="10980" xr:uid="{67FC5641-222B-4855-93E6-3BA0282050D5}"/>
    <cellStyle name="Comma 4 7 4 5" xfId="19427" xr:uid="{E8C6F417-5F20-4ABD-9675-EAF1469E57DD}"/>
    <cellStyle name="Comma 4 7 4 6" xfId="27874" xr:uid="{4DCAB705-A326-4B63-95FC-78A0DFB75266}"/>
    <cellStyle name="Comma 4 7 5" xfId="1978" xr:uid="{00000000-0005-0000-0000-0000770A0000}"/>
    <cellStyle name="Comma 4 7 5 2" xfId="4207" xr:uid="{00000000-0005-0000-0000-0000780A0000}"/>
    <cellStyle name="Comma 4 7 5 2 2" xfId="8429" xr:uid="{00000000-0005-0000-0000-0000790A0000}"/>
    <cellStyle name="Comma 4 7 5 2 2 2" xfId="17755" xr:uid="{2FCDE391-A572-42B2-B6A0-EFB3DD72CBD0}"/>
    <cellStyle name="Comma 4 7 5 2 2 3" xfId="26202" xr:uid="{5B7EE435-0456-4158-9283-5D15DEE149CC}"/>
    <cellStyle name="Comma 4 7 5 2 2 4" xfId="34649" xr:uid="{F04B54EA-1A42-44F8-B1D1-09DB79E252CA}"/>
    <cellStyle name="Comma 4 7 5 2 3" xfId="13538" xr:uid="{AB1260A6-EE49-4606-983A-BED290FC25D0}"/>
    <cellStyle name="Comma 4 7 5 2 4" xfId="21985" xr:uid="{03BB383E-97F5-4C02-A466-12A91A5A139B}"/>
    <cellStyle name="Comma 4 7 5 2 5" xfId="30432" xr:uid="{8CF6BE1B-CDEF-45B1-8BF2-C8BEAAFDFFD2}"/>
    <cellStyle name="Comma 4 7 5 3" xfId="6284" xr:uid="{00000000-0005-0000-0000-00007A0A0000}"/>
    <cellStyle name="Comma 4 7 5 3 2" xfId="15610" xr:uid="{64D52005-6783-47E0-9BCA-2A7BE0391778}"/>
    <cellStyle name="Comma 4 7 5 3 3" xfId="24057" xr:uid="{3CF41790-2073-4F89-BE4F-3B5D51A5B63B}"/>
    <cellStyle name="Comma 4 7 5 3 4" xfId="32504" xr:uid="{C0ADEC23-2C29-417E-85E2-684263DAA989}"/>
    <cellStyle name="Comma 4 7 5 4" xfId="11393" xr:uid="{47FCD94A-F1CE-400C-8480-3360EB5391DA}"/>
    <cellStyle name="Comma 4 7 5 5" xfId="19840" xr:uid="{5D335876-A035-403D-ACDC-C3AF063FF97B}"/>
    <cellStyle name="Comma 4 7 5 6" xfId="28287" xr:uid="{3F52838D-2E54-4CBE-A247-72B0ECCFF8D5}"/>
    <cellStyle name="Comma 4 7 6" xfId="2413" xr:uid="{00000000-0005-0000-0000-00007B0A0000}"/>
    <cellStyle name="Comma 4 7 6 2" xfId="6697" xr:uid="{00000000-0005-0000-0000-00007C0A0000}"/>
    <cellStyle name="Comma 4 7 6 2 2" xfId="16023" xr:uid="{D1362A42-CCC5-44F7-8151-0E65DBC43DB5}"/>
    <cellStyle name="Comma 4 7 6 2 3" xfId="24470" xr:uid="{DB496214-9577-4F62-8C4C-4E6953BD1690}"/>
    <cellStyle name="Comma 4 7 6 2 4" xfId="32917" xr:uid="{C68449B7-5986-44F5-AA54-3B65223890CB}"/>
    <cellStyle name="Comma 4 7 6 3" xfId="11806" xr:uid="{F6B0E472-3BC7-4AF2-A79F-453DB522439E}"/>
    <cellStyle name="Comma 4 7 6 4" xfId="20253" xr:uid="{A18E2877-1A86-4B26-A4E3-D91DC954EFA5}"/>
    <cellStyle name="Comma 4 7 6 5" xfId="28700" xr:uid="{1B59C93D-F065-45C7-B476-90DC6F9796C5}"/>
    <cellStyle name="Comma 4 7 7" xfId="2709" xr:uid="{00000000-0005-0000-0000-00007D0A0000}"/>
    <cellStyle name="Comma 4 7 8" xfId="2791" xr:uid="{00000000-0005-0000-0000-00007E0A0000}"/>
    <cellStyle name="Comma 4 7 8 2" xfId="7014" xr:uid="{00000000-0005-0000-0000-00007F0A0000}"/>
    <cellStyle name="Comma 4 7 8 2 2" xfId="16340" xr:uid="{068AC774-B3AF-4A0E-A73C-B520D20226DD}"/>
    <cellStyle name="Comma 4 7 8 2 3" xfId="24787" xr:uid="{1265E3B3-AEE9-4716-9A3D-472CDB0AB59F}"/>
    <cellStyle name="Comma 4 7 8 2 4" xfId="33234" xr:uid="{DB7801BF-0A08-46EE-AAA0-48D65F97A505}"/>
    <cellStyle name="Comma 4 7 8 3" xfId="12123" xr:uid="{3633E56E-604E-416A-98F9-95B472B2130C}"/>
    <cellStyle name="Comma 4 7 8 4" xfId="20570" xr:uid="{2A55CF08-3DEC-41AA-9B8A-DC48AFCF2C8C}"/>
    <cellStyle name="Comma 4 7 8 5" xfId="29017" xr:uid="{70E12F47-18F8-4AFB-9408-F2CA12E61180}"/>
    <cellStyle name="Comma 4 7 9" xfId="4631" xr:uid="{00000000-0005-0000-0000-0000800A0000}"/>
    <cellStyle name="Comma 4 7 9 2" xfId="13957" xr:uid="{5E9F923F-2203-44E5-B955-ADA06DB56AF5}"/>
    <cellStyle name="Comma 4 7 9 3" xfId="22404" xr:uid="{B1300AAE-0259-4F05-ADDA-6543409FDC42}"/>
    <cellStyle name="Comma 4 7 9 4" xfId="30851" xr:uid="{A7BD59EE-3EFC-4FF8-B5F0-8770FFB623B1}"/>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omma 7 4" xfId="13825" xr:uid="{E2962AAD-8D77-4D26-A794-73AE6DE59B38}"/>
    <cellStyle name="Comma 7 5" xfId="22272" xr:uid="{E7018B8A-2786-42CE-B720-5C36DBE6B7ED}"/>
    <cellStyle name="Comma 7 6" xfId="30719" xr:uid="{8EC22ED9-123C-4723-AE10-BEFDD70E3066}"/>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18042" xr:uid="{4003E3EE-B31C-4810-B2B0-30C9648AB26D}"/>
    <cellStyle name="Currency 14 2 3" xfId="26489" xr:uid="{56C9A5A1-17CB-410D-9188-736893C2BDC1}"/>
    <cellStyle name="Currency 14 2 4" xfId="34936" xr:uid="{F49A75A9-6153-484C-A4AB-8761633AF9DC}"/>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14 3 2 2 2 2 3" xfId="18058" xr:uid="{AB7C2626-033E-4899-8C0E-21AEC7D7C685}"/>
    <cellStyle name="Currency 14 3 2 2 2 2 4" xfId="26505" xr:uid="{F3799A5C-58F8-474C-8123-F8B001D70E61}"/>
    <cellStyle name="Currency 14 3 2 2 2 2 5" xfId="34952" xr:uid="{516D7229-6FCF-4D32-9439-06E0F7BF4B56}"/>
    <cellStyle name="Currency 14 3 2 2 2 3" xfId="18055" xr:uid="{7A4A219B-CFE1-48DF-8F60-C44D641A5A81}"/>
    <cellStyle name="Currency 14 3 2 2 2 4" xfId="26502" xr:uid="{CE7D984B-8BC7-4FF2-AEC0-481BF2DF745A}"/>
    <cellStyle name="Currency 14 3 2 2 2 5" xfId="34949" xr:uid="{A22E19AF-70FF-4BD1-959F-741A7CC4DD7F}"/>
    <cellStyle name="Currency 14 3 2 2 3" xfId="18051" xr:uid="{F90DB19E-23F6-4F85-8151-B5AE2A773862}"/>
    <cellStyle name="Currency 14 3 2 2 4" xfId="26498" xr:uid="{1437F2FB-8751-4639-BE92-8A45886B148C}"/>
    <cellStyle name="Currency 14 3 2 2 5" xfId="34945" xr:uid="{5FBB359C-2F4E-4139-9FA4-E302894DFD36}"/>
    <cellStyle name="Currency 14 3 2 3" xfId="18048" xr:uid="{1D8BD48D-5313-466E-9220-EF464FEF37AF}"/>
    <cellStyle name="Currency 14 3 2 4" xfId="26495" xr:uid="{C1AAAA8E-4B4B-4B88-85A1-66A98750C4B1}"/>
    <cellStyle name="Currency 14 3 2 5" xfId="34942" xr:uid="{D45C685A-C496-441D-8A03-AADBC053ACED}"/>
    <cellStyle name="Currency 14 3 3" xfId="18045" xr:uid="{C792AA43-A508-4910-99C0-9A2D987B85D6}"/>
    <cellStyle name="Currency 14 3 4" xfId="26492" xr:uid="{4C012603-3FB2-4D96-B2CC-9CD0016B8E62}"/>
    <cellStyle name="Currency 14 3 5" xfId="34939" xr:uid="{6EC13C05-B705-428C-B571-7F4E097B4FCA}"/>
    <cellStyle name="Currency 14 4" xfId="13828" xr:uid="{86828C10-43DC-4606-B0BA-F99CA1E428CD}"/>
    <cellStyle name="Currency 14 5" xfId="22275" xr:uid="{E7DB3947-08D9-4714-98A4-83E6E53E2CCD}"/>
    <cellStyle name="Currency 14 6" xfId="30722" xr:uid="{C98CC738-D16C-4349-8E4F-3D6F1A16EEB7}"/>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16341" xr:uid="{268E1FAB-32CC-4865-A719-20B28EC4674E}"/>
    <cellStyle name="Currency 3 2 2 10 2 3" xfId="24788" xr:uid="{C04822A9-BBC8-4E9E-B469-DFF7FF8A1914}"/>
    <cellStyle name="Currency 3 2 2 10 2 4" xfId="33235" xr:uid="{D57D8E20-BD9E-4A89-9B5D-8792139C3FFC}"/>
    <cellStyle name="Currency 3 2 2 10 3" xfId="12124" xr:uid="{6A2F03AD-3F78-4FC4-8F45-7F580994CB73}"/>
    <cellStyle name="Currency 3 2 2 10 4" xfId="20571" xr:uid="{2EE0C48C-FB2F-49A4-A1CE-29A5FFAC7754}"/>
    <cellStyle name="Currency 3 2 2 10 5" xfId="29018" xr:uid="{7F952ED6-4911-4816-811D-583E8A064C1B}"/>
    <cellStyle name="Currency 3 2 2 11" xfId="4632" xr:uid="{00000000-0005-0000-0000-0000A50A0000}"/>
    <cellStyle name="Currency 3 2 2 11 2" xfId="13958" xr:uid="{9778145A-9C48-44A0-9FC1-31E4AEFB2B5B}"/>
    <cellStyle name="Currency 3 2 2 11 3" xfId="22405" xr:uid="{98D6CAA4-3B83-4429-AB34-5260916956CF}"/>
    <cellStyle name="Currency 3 2 2 11 4" xfId="30852" xr:uid="{95A21FB4-9E35-478E-B56D-B176DDFA3713}"/>
    <cellStyle name="Currency 3 2 2 12" xfId="8808" xr:uid="{5CD24693-181E-456A-9199-DC057509AC96}"/>
    <cellStyle name="Currency 3 2 2 13" xfId="9741" xr:uid="{6A138D98-511C-4421-8C98-BC07B15FFFFB}"/>
    <cellStyle name="Currency 3 2 2 14" xfId="18188" xr:uid="{9D99A3A1-FB5C-41A0-99B4-3E5B64A74E23}"/>
    <cellStyle name="Currency 3 2 2 15" xfId="26635" xr:uid="{6B518D01-1502-4FA3-9B2B-506135D3B36A}"/>
    <cellStyle name="Currency 3 2 2 2" xfId="179" xr:uid="{00000000-0005-0000-0000-0000A60A0000}"/>
    <cellStyle name="Currency 3 2 2 2 10" xfId="4633" xr:uid="{00000000-0005-0000-0000-0000A70A0000}"/>
    <cellStyle name="Currency 3 2 2 2 10 2" xfId="13959" xr:uid="{94D57C92-C0B0-45CF-80DC-A066940CE0DE}"/>
    <cellStyle name="Currency 3 2 2 2 10 3" xfId="22406" xr:uid="{8FE4B10C-603E-49BB-B796-3F8E2AB156A6}"/>
    <cellStyle name="Currency 3 2 2 2 10 4" xfId="30853" xr:uid="{2ED81FAC-A7B6-456F-A8B0-7DEC61C33FD9}"/>
    <cellStyle name="Currency 3 2 2 2 11" xfId="8911" xr:uid="{177A45F7-B130-49DA-829A-AA3BF41B848C}"/>
    <cellStyle name="Currency 3 2 2 2 12" xfId="9742" xr:uid="{BBF866E1-9CCF-481A-8D08-F971EB82F7F5}"/>
    <cellStyle name="Currency 3 2 2 2 13" xfId="18189" xr:uid="{EFC91191-3EB6-4C26-B73C-D492E406F57A}"/>
    <cellStyle name="Currency 3 2 2 2 14" xfId="26636" xr:uid="{1D1F2C9B-D67C-4538-A73E-90E59679F16F}"/>
    <cellStyle name="Currency 3 2 2 2 2" xfId="180" xr:uid="{00000000-0005-0000-0000-0000A80A0000}"/>
    <cellStyle name="Currency 3 2 2 2 2 10" xfId="9118" xr:uid="{4DDBDF88-B997-49F5-AF34-322CC93508E5}"/>
    <cellStyle name="Currency 3 2 2 2 2 11" xfId="9743" xr:uid="{B7C058D0-2066-41AA-B6E4-5B2A617852E8}"/>
    <cellStyle name="Currency 3 2 2 2 2 12" xfId="18190" xr:uid="{A8D0C55A-E65A-4AB6-BCDE-D6B554DB03BB}"/>
    <cellStyle name="Currency 3 2 2 2 2 13" xfId="26637" xr:uid="{C85023AE-5250-4A98-9C2E-C017319B6C9F}"/>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16519" xr:uid="{00671930-CD99-4129-993A-8F6441097933}"/>
    <cellStyle name="Currency 3 2 2 2 2 2 2 2 3" xfId="24966" xr:uid="{B3DA11DF-9E99-4A35-A8ED-7A9A11F04C3F}"/>
    <cellStyle name="Currency 3 2 2 2 2 2 2 2 4" xfId="33413" xr:uid="{EDC755A0-AAFE-46BD-93B5-D520562EAC9F}"/>
    <cellStyle name="Currency 3 2 2 2 2 2 2 3" xfId="12302" xr:uid="{41BB6D30-FF4F-40D5-8605-F52EE6E0EDBD}"/>
    <cellStyle name="Currency 3 2 2 2 2 2 2 4" xfId="20749" xr:uid="{75923068-6A5A-4FD0-82BB-AD98A7FCC961}"/>
    <cellStyle name="Currency 3 2 2 2 2 2 2 5" xfId="29196" xr:uid="{5AABBD99-E0D3-4D1D-88AC-9F071C79845D}"/>
    <cellStyle name="Currency 3 2 2 2 2 2 3" xfId="5048" xr:uid="{00000000-0005-0000-0000-0000AC0A0000}"/>
    <cellStyle name="Currency 3 2 2 2 2 2 3 2" xfId="14374" xr:uid="{759CA7B9-91D1-4B21-98F8-9F460B2760A2}"/>
    <cellStyle name="Currency 3 2 2 2 2 2 3 3" xfId="22821" xr:uid="{0A8A80CE-DFCA-4447-AB46-12384113A702}"/>
    <cellStyle name="Currency 3 2 2 2 2 2 3 4" xfId="31268" xr:uid="{8891D5E4-2F11-47A8-BCB3-EFE6515EB3FC}"/>
    <cellStyle name="Currency 3 2 2 2 2 2 4" xfId="9543" xr:uid="{08990697-BAC1-4B06-A86B-C554A35267E6}"/>
    <cellStyle name="Currency 3 2 2 2 2 2 5" xfId="10157" xr:uid="{68393476-EDBB-4DB0-A68E-5DE5FC2D9444}"/>
    <cellStyle name="Currency 3 2 2 2 2 2 6" xfId="18604" xr:uid="{9EBF9FF0-C86E-4FAB-B219-6A55DF5A2FE9}"/>
    <cellStyle name="Currency 3 2 2 2 2 2 7" xfId="27051" xr:uid="{2A1AEB22-8C67-4BA6-B327-3557F9EE7887}"/>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16932" xr:uid="{7507AC29-C988-434C-A214-C64F0A8F5084}"/>
    <cellStyle name="Currency 3 2 2 2 2 3 2 2 3" xfId="25379" xr:uid="{D1AA4346-B5FB-473D-B8E9-0EBC5FEB9718}"/>
    <cellStyle name="Currency 3 2 2 2 2 3 2 2 4" xfId="33826" xr:uid="{15E624D9-FD00-4C7F-9090-F39CC28425B4}"/>
    <cellStyle name="Currency 3 2 2 2 2 3 2 3" xfId="12715" xr:uid="{05EDD5DD-FEC8-4799-92C7-B5F414764025}"/>
    <cellStyle name="Currency 3 2 2 2 2 3 2 4" xfId="21162" xr:uid="{1CAE0B63-C0D2-48CC-A368-913CA1D05E6C}"/>
    <cellStyle name="Currency 3 2 2 2 2 3 2 5" xfId="29609" xr:uid="{C0DC0FF8-5548-4076-B200-214A79C73C33}"/>
    <cellStyle name="Currency 3 2 2 2 2 3 3" xfId="5461" xr:uid="{00000000-0005-0000-0000-0000B00A0000}"/>
    <cellStyle name="Currency 3 2 2 2 2 3 3 2" xfId="14787" xr:uid="{28CCBECF-18C0-4589-917C-D8FD336CB1CB}"/>
    <cellStyle name="Currency 3 2 2 2 2 3 3 3" xfId="23234" xr:uid="{09CC6821-33C4-411A-B9B1-E59627891E27}"/>
    <cellStyle name="Currency 3 2 2 2 2 3 3 4" xfId="31681" xr:uid="{95963B7D-42EB-434B-958E-EB10A6C6E760}"/>
    <cellStyle name="Currency 3 2 2 2 2 3 4" xfId="10570" xr:uid="{393F8CE1-FD63-404E-9D44-C80AD91C93D7}"/>
    <cellStyle name="Currency 3 2 2 2 2 3 5" xfId="19017" xr:uid="{5051B2D4-5351-4471-89A4-261DE86B3D35}"/>
    <cellStyle name="Currency 3 2 2 2 2 3 6" xfId="27464" xr:uid="{0099D3A3-449A-454A-90B4-9A63B478A115}"/>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17345" xr:uid="{D8F79625-396C-4DFA-83AD-E083156D3DAC}"/>
    <cellStyle name="Currency 3 2 2 2 2 4 2 2 3" xfId="25792" xr:uid="{BFB54CF4-8B4C-4C4A-BCFD-21FD2EF9A33D}"/>
    <cellStyle name="Currency 3 2 2 2 2 4 2 2 4" xfId="34239" xr:uid="{ECB944EC-3E0C-47C9-AD99-820CB2B999C0}"/>
    <cellStyle name="Currency 3 2 2 2 2 4 2 3" xfId="13128" xr:uid="{135967A7-047E-473D-ABC2-9DB92C751120}"/>
    <cellStyle name="Currency 3 2 2 2 2 4 2 4" xfId="21575" xr:uid="{520B39B3-8570-4140-AE93-B23C0806AA93}"/>
    <cellStyle name="Currency 3 2 2 2 2 4 2 5" xfId="30022" xr:uid="{F0F9BC4A-B740-4BDF-8AE5-7BEFEF9A280D}"/>
    <cellStyle name="Currency 3 2 2 2 2 4 3" xfId="5874" xr:uid="{00000000-0005-0000-0000-0000B40A0000}"/>
    <cellStyle name="Currency 3 2 2 2 2 4 3 2" xfId="15200" xr:uid="{CA293B3A-4E68-485D-8BD9-8989E66E0BEF}"/>
    <cellStyle name="Currency 3 2 2 2 2 4 3 3" xfId="23647" xr:uid="{8BDC22AD-32CD-4D71-961B-9B20CE9876A0}"/>
    <cellStyle name="Currency 3 2 2 2 2 4 3 4" xfId="32094" xr:uid="{D000B385-C379-4DF5-AB2B-B71A166CFACE}"/>
    <cellStyle name="Currency 3 2 2 2 2 4 4" xfId="10983" xr:uid="{64CB40ED-1BF4-4512-A7E5-E5287EDF54B9}"/>
    <cellStyle name="Currency 3 2 2 2 2 4 5" xfId="19430" xr:uid="{020F2DAD-506D-4619-B358-756EC5952FA6}"/>
    <cellStyle name="Currency 3 2 2 2 2 4 6" xfId="27877" xr:uid="{170CDDB0-2BDE-4E48-8FB7-CA01EBC4C9D1}"/>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17758" xr:uid="{A57793E7-5F08-4C3E-BEB3-F87A1DE0EA5B}"/>
    <cellStyle name="Currency 3 2 2 2 2 5 2 2 3" xfId="26205" xr:uid="{C4A2A3C6-2A3A-4554-9BDC-FE2A141A4D9A}"/>
    <cellStyle name="Currency 3 2 2 2 2 5 2 2 4" xfId="34652" xr:uid="{4B368FAE-BF4E-47E4-B916-E7353EB671F6}"/>
    <cellStyle name="Currency 3 2 2 2 2 5 2 3" xfId="13541" xr:uid="{67534C62-0FB4-42D5-83E6-8741D37AC5FC}"/>
    <cellStyle name="Currency 3 2 2 2 2 5 2 4" xfId="21988" xr:uid="{9F2978C8-31A3-4500-82D7-B647AAAB8E49}"/>
    <cellStyle name="Currency 3 2 2 2 2 5 2 5" xfId="30435" xr:uid="{6EAF6264-ACC2-4939-BFFD-6160E1CF9BC3}"/>
    <cellStyle name="Currency 3 2 2 2 2 5 3" xfId="6287" xr:uid="{00000000-0005-0000-0000-0000B80A0000}"/>
    <cellStyle name="Currency 3 2 2 2 2 5 3 2" xfId="15613" xr:uid="{A207FEE9-8457-4D1F-ABF4-E162F5CE2668}"/>
    <cellStyle name="Currency 3 2 2 2 2 5 3 3" xfId="24060" xr:uid="{E3CFE2CC-8F50-4836-AB41-98EA9486E33C}"/>
    <cellStyle name="Currency 3 2 2 2 2 5 3 4" xfId="32507" xr:uid="{41D7CF4C-2271-486F-80A2-7E3A6C4AB262}"/>
    <cellStyle name="Currency 3 2 2 2 2 5 4" xfId="11396" xr:uid="{1F91B50B-A53D-4911-B724-2775832B584A}"/>
    <cellStyle name="Currency 3 2 2 2 2 5 5" xfId="19843" xr:uid="{89EB6B91-FD8D-4784-AD89-C4E4AFD129B9}"/>
    <cellStyle name="Currency 3 2 2 2 2 5 6" xfId="28290" xr:uid="{A5446A2B-78B0-404B-BA72-C74528EC9337}"/>
    <cellStyle name="Currency 3 2 2 2 2 6" xfId="2416" xr:uid="{00000000-0005-0000-0000-0000B90A0000}"/>
    <cellStyle name="Currency 3 2 2 2 2 6 2" xfId="6700" xr:uid="{00000000-0005-0000-0000-0000BA0A0000}"/>
    <cellStyle name="Currency 3 2 2 2 2 6 2 2" xfId="16026" xr:uid="{2FFDE41E-4FF8-4DAB-946A-65FB0EE22AD1}"/>
    <cellStyle name="Currency 3 2 2 2 2 6 2 3" xfId="24473" xr:uid="{1F69DAB5-7B06-45F5-AD89-6768B9BD79D5}"/>
    <cellStyle name="Currency 3 2 2 2 2 6 2 4" xfId="32920" xr:uid="{D1657892-290A-4A7F-BF49-1672604DF946}"/>
    <cellStyle name="Currency 3 2 2 2 2 6 3" xfId="11809" xr:uid="{8D33F82A-4AE1-47AA-AFB7-03FFA0841168}"/>
    <cellStyle name="Currency 3 2 2 2 2 6 4" xfId="20256" xr:uid="{9BD4F860-F235-4F57-851B-AF6C74DFFC21}"/>
    <cellStyle name="Currency 3 2 2 2 2 6 5" xfId="28703" xr:uid="{7D8C4002-B199-4511-B122-5A829AF58C4F}"/>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16343" xr:uid="{85B5FFAE-D552-4431-BDE2-158932D6CA34}"/>
    <cellStyle name="Currency 3 2 2 2 2 8 2 3" xfId="24790" xr:uid="{391020DF-BD5B-4519-BC7C-07DA5CE4BB56}"/>
    <cellStyle name="Currency 3 2 2 2 2 8 2 4" xfId="33237" xr:uid="{2ED1577B-FEEF-4CAD-AAA3-47FBC69E5E55}"/>
    <cellStyle name="Currency 3 2 2 2 2 8 3" xfId="12126" xr:uid="{2658C743-BEC1-4408-9891-C16826436FFA}"/>
    <cellStyle name="Currency 3 2 2 2 2 8 4" xfId="20573" xr:uid="{5C027F34-9F7B-49E7-BFFC-57E441E1ED38}"/>
    <cellStyle name="Currency 3 2 2 2 2 8 5" xfId="29020" xr:uid="{D00735F3-654B-4B70-BF0A-D732B782EE86}"/>
    <cellStyle name="Currency 3 2 2 2 2 9" xfId="4634" xr:uid="{00000000-0005-0000-0000-0000BE0A0000}"/>
    <cellStyle name="Currency 3 2 2 2 2 9 2" xfId="13960" xr:uid="{C6C30BD2-B6F1-420F-8E46-68E138957CFA}"/>
    <cellStyle name="Currency 3 2 2 2 2 9 3" xfId="22407" xr:uid="{5E82897D-35DC-404B-BD8E-3C4820917A9D}"/>
    <cellStyle name="Currency 3 2 2 2 2 9 4" xfId="30854" xr:uid="{27423BA1-2B89-415A-AEE9-324AB121FAF2}"/>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16518" xr:uid="{B33262D6-94F5-4A47-B166-4C30CB5167F2}"/>
    <cellStyle name="Currency 3 2 2 2 3 2 2 3" xfId="24965" xr:uid="{006A3963-E956-42A0-93B8-6A69F98C5B24}"/>
    <cellStyle name="Currency 3 2 2 2 3 2 2 4" xfId="33412" xr:uid="{CBD91046-6C12-4A93-8CEB-DB243A79300A}"/>
    <cellStyle name="Currency 3 2 2 2 3 2 3" xfId="12301" xr:uid="{57D5E13F-5D0D-42BD-8DE3-33592003282C}"/>
    <cellStyle name="Currency 3 2 2 2 3 2 4" xfId="20748" xr:uid="{9B61C4FC-3A83-4041-91D0-4B1E342D9D0B}"/>
    <cellStyle name="Currency 3 2 2 2 3 2 5" xfId="29195" xr:uid="{C1812199-633A-4A8D-BF4B-AE5E14C202D4}"/>
    <cellStyle name="Currency 3 2 2 2 3 3" xfId="5047" xr:uid="{00000000-0005-0000-0000-0000C20A0000}"/>
    <cellStyle name="Currency 3 2 2 2 3 3 2" xfId="14373" xr:uid="{88E95053-2617-4B88-98FA-230CD0E8B907}"/>
    <cellStyle name="Currency 3 2 2 2 3 3 3" xfId="22820" xr:uid="{9B4E51D7-0446-453C-B54A-30B145E373BB}"/>
    <cellStyle name="Currency 3 2 2 2 3 3 4" xfId="31267" xr:uid="{523039C5-CE4C-4E66-A3A6-3E9ACE50E46B}"/>
    <cellStyle name="Currency 3 2 2 2 3 4" xfId="9336" xr:uid="{F86D5454-A503-484B-B8F3-81FF219E49D0}"/>
    <cellStyle name="Currency 3 2 2 2 3 5" xfId="10156" xr:uid="{0F0AB748-2EF5-42C3-9761-C0989B76ECD7}"/>
    <cellStyle name="Currency 3 2 2 2 3 6" xfId="18603" xr:uid="{91B24BFB-4055-44DB-8B14-03337DDC8055}"/>
    <cellStyle name="Currency 3 2 2 2 3 7" xfId="27050" xr:uid="{AA6D322B-0EDC-4E05-A148-0486044CA9D5}"/>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16931" xr:uid="{34315182-1058-410D-B552-038C521DBCBD}"/>
    <cellStyle name="Currency 3 2 2 2 4 2 2 3" xfId="25378" xr:uid="{5CC80B3C-E78B-4C76-BB34-A5970AF0D83F}"/>
    <cellStyle name="Currency 3 2 2 2 4 2 2 4" xfId="33825" xr:uid="{1509818B-E7AA-4DEF-800C-79A9C16175EA}"/>
    <cellStyle name="Currency 3 2 2 2 4 2 3" xfId="12714" xr:uid="{FADE5989-100F-4658-94A0-EE9CC5175AB2}"/>
    <cellStyle name="Currency 3 2 2 2 4 2 4" xfId="21161" xr:uid="{5E929D02-3928-40AC-AD01-11D9C050AC11}"/>
    <cellStyle name="Currency 3 2 2 2 4 2 5" xfId="29608" xr:uid="{A47CBC6E-11CF-4361-8D92-FFF7A032DDE9}"/>
    <cellStyle name="Currency 3 2 2 2 4 3" xfId="5460" xr:uid="{00000000-0005-0000-0000-0000C60A0000}"/>
    <cellStyle name="Currency 3 2 2 2 4 3 2" xfId="14786" xr:uid="{AD7074CE-5648-4F4D-A84E-6AB8F8D786B9}"/>
    <cellStyle name="Currency 3 2 2 2 4 3 3" xfId="23233" xr:uid="{4ADC4CBB-6997-4DF1-BFFA-8B3CF63661CE}"/>
    <cellStyle name="Currency 3 2 2 2 4 3 4" xfId="31680" xr:uid="{1FA1544D-5539-4681-B117-CE347CD3A3F7}"/>
    <cellStyle name="Currency 3 2 2 2 4 4" xfId="10569" xr:uid="{04B97C1F-7E73-4FF2-80E3-AE7B00BD758D}"/>
    <cellStyle name="Currency 3 2 2 2 4 5" xfId="19016" xr:uid="{55F4571E-E3C3-49CB-8C60-0D0828D063E7}"/>
    <cellStyle name="Currency 3 2 2 2 4 6" xfId="27463" xr:uid="{1F04351B-7EA8-4A3A-8601-6090A2AA4D24}"/>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17344" xr:uid="{98370175-53C8-48CD-AC78-541B2A75EA96}"/>
    <cellStyle name="Currency 3 2 2 2 5 2 2 3" xfId="25791" xr:uid="{49A3D507-4E9E-47D1-B9AF-8BC96BA068CE}"/>
    <cellStyle name="Currency 3 2 2 2 5 2 2 4" xfId="34238" xr:uid="{5B5ED504-FF03-452D-B523-4B6D59612C81}"/>
    <cellStyle name="Currency 3 2 2 2 5 2 3" xfId="13127" xr:uid="{206D1ECB-87AF-4D1C-A521-3888652722E1}"/>
    <cellStyle name="Currency 3 2 2 2 5 2 4" xfId="21574" xr:uid="{6884E617-6004-479C-952C-145A09D26B6B}"/>
    <cellStyle name="Currency 3 2 2 2 5 2 5" xfId="30021" xr:uid="{8137ACC4-C02C-4567-96C4-9218C180465D}"/>
    <cellStyle name="Currency 3 2 2 2 5 3" xfId="5873" xr:uid="{00000000-0005-0000-0000-0000CA0A0000}"/>
    <cellStyle name="Currency 3 2 2 2 5 3 2" xfId="15199" xr:uid="{3FD6160A-E85E-44A6-9AB0-3AEEB0693ACB}"/>
    <cellStyle name="Currency 3 2 2 2 5 3 3" xfId="23646" xr:uid="{8321E021-6C7B-4C45-9429-71B99255115F}"/>
    <cellStyle name="Currency 3 2 2 2 5 3 4" xfId="32093" xr:uid="{D75BAB41-B0A6-4C76-A9F4-B5D660D29323}"/>
    <cellStyle name="Currency 3 2 2 2 5 4" xfId="10982" xr:uid="{291FCE78-3FB6-4096-9928-F62654CA1280}"/>
    <cellStyle name="Currency 3 2 2 2 5 5" xfId="19429" xr:uid="{C12E9DDA-E137-4DAC-8E0D-97C61BD7CE70}"/>
    <cellStyle name="Currency 3 2 2 2 5 6" xfId="27876" xr:uid="{0BD795D1-E97A-40CD-9C49-D3CD88E96219}"/>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17757" xr:uid="{F0DF9386-109E-4006-A8BD-9B01AA9740F5}"/>
    <cellStyle name="Currency 3 2 2 2 6 2 2 3" xfId="26204" xr:uid="{0BB4BC9D-D577-43E7-B59C-C90FA561B401}"/>
    <cellStyle name="Currency 3 2 2 2 6 2 2 4" xfId="34651" xr:uid="{6A7313EA-DE06-457D-997D-E0619BD21B27}"/>
    <cellStyle name="Currency 3 2 2 2 6 2 3" xfId="13540" xr:uid="{6FBA719C-C037-47D7-AD79-C9877DA31E40}"/>
    <cellStyle name="Currency 3 2 2 2 6 2 4" xfId="21987" xr:uid="{6F384BC5-8AA0-4F85-AFF8-341000DB6449}"/>
    <cellStyle name="Currency 3 2 2 2 6 2 5" xfId="30434" xr:uid="{EFCFD3C6-5C97-4B1B-9EC3-8D4C1F2BA90C}"/>
    <cellStyle name="Currency 3 2 2 2 6 3" xfId="6286" xr:uid="{00000000-0005-0000-0000-0000CE0A0000}"/>
    <cellStyle name="Currency 3 2 2 2 6 3 2" xfId="15612" xr:uid="{90C0DD98-D5FC-4787-A33A-15744055D65B}"/>
    <cellStyle name="Currency 3 2 2 2 6 3 3" xfId="24059" xr:uid="{6B49F08F-148E-460A-8514-9BFAB413A75C}"/>
    <cellStyle name="Currency 3 2 2 2 6 3 4" xfId="32506" xr:uid="{91D90E57-90F2-44FD-A5C3-1942DC84FACD}"/>
    <cellStyle name="Currency 3 2 2 2 6 4" xfId="11395" xr:uid="{E765337A-035E-411E-91A5-EF1ED08180FF}"/>
    <cellStyle name="Currency 3 2 2 2 6 5" xfId="19842" xr:uid="{B0F5EF3D-5B9A-4E21-BE0F-6B2F19335C72}"/>
    <cellStyle name="Currency 3 2 2 2 6 6" xfId="28289" xr:uid="{F2BA5549-7B70-4991-B465-AC423BF4586C}"/>
    <cellStyle name="Currency 3 2 2 2 7" xfId="2415" xr:uid="{00000000-0005-0000-0000-0000CF0A0000}"/>
    <cellStyle name="Currency 3 2 2 2 7 2" xfId="6699" xr:uid="{00000000-0005-0000-0000-0000D00A0000}"/>
    <cellStyle name="Currency 3 2 2 2 7 2 2" xfId="16025" xr:uid="{A8626484-69A7-4E9F-B8A5-79EBAE309EBA}"/>
    <cellStyle name="Currency 3 2 2 2 7 2 3" xfId="24472" xr:uid="{70661DBD-AC0D-4FE7-9E06-CE274137BB17}"/>
    <cellStyle name="Currency 3 2 2 2 7 2 4" xfId="32919" xr:uid="{ABBBD021-7760-41F1-B12E-2912D42A38C9}"/>
    <cellStyle name="Currency 3 2 2 2 7 3" xfId="11808" xr:uid="{82FA4F17-59A8-4012-82B0-5463AF84C148}"/>
    <cellStyle name="Currency 3 2 2 2 7 4" xfId="20255" xr:uid="{B831D1AD-6AEA-49D6-A847-00CBD44A5C09}"/>
    <cellStyle name="Currency 3 2 2 2 7 5" xfId="28702" xr:uid="{E3FA0B5D-E5FA-4115-BF51-2A823616E8A8}"/>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16342" xr:uid="{7B5CF87D-2226-4537-A162-7C80F32371C1}"/>
    <cellStyle name="Currency 3 2 2 2 9 2 3" xfId="24789" xr:uid="{57BF44C6-46FF-4548-90CD-59842989E0C4}"/>
    <cellStyle name="Currency 3 2 2 2 9 2 4" xfId="33236" xr:uid="{1B78D226-E3B8-43DD-BA9B-A9DFF297AA38}"/>
    <cellStyle name="Currency 3 2 2 2 9 3" xfId="12125" xr:uid="{5548C02D-438D-449F-805A-A42F8FBB4AFE}"/>
    <cellStyle name="Currency 3 2 2 2 9 4" xfId="20572" xr:uid="{143CAB13-35C7-4237-9C14-AA267FD8FEC1}"/>
    <cellStyle name="Currency 3 2 2 2 9 5" xfId="29019" xr:uid="{DF7B9215-57ED-4ADE-A88E-0146C7D60D2D}"/>
    <cellStyle name="Currency 3 2 2 3" xfId="181" xr:uid="{00000000-0005-0000-0000-0000D40A0000}"/>
    <cellStyle name="Currency 3 2 2 3 10" xfId="9015" xr:uid="{A1C3FAFC-6FB9-45C5-A279-C90E61794A63}"/>
    <cellStyle name="Currency 3 2 2 3 11" xfId="9744" xr:uid="{43E5CEBF-1C79-4AAD-B0FB-3284266ABC99}"/>
    <cellStyle name="Currency 3 2 2 3 12" xfId="18191" xr:uid="{1B80106E-CA4C-4378-A580-3369018FAB79}"/>
    <cellStyle name="Currency 3 2 2 3 13" xfId="26638" xr:uid="{3BFDF3D1-AB78-4A7B-B7D8-BDB9D331B24D}"/>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16520" xr:uid="{CF1B7F78-110F-432D-8FDA-16859C507B2F}"/>
    <cellStyle name="Currency 3 2 2 3 2 2 2 3" xfId="24967" xr:uid="{36EB9E8F-6AED-4E72-94AC-A53C14361CC9}"/>
    <cellStyle name="Currency 3 2 2 3 2 2 2 4" xfId="33414" xr:uid="{49D8AEAC-72D7-4A9C-AAB9-6522B89F4346}"/>
    <cellStyle name="Currency 3 2 2 3 2 2 3" xfId="12303" xr:uid="{3213123F-B04B-4D79-8C5F-632DBF5E2683}"/>
    <cellStyle name="Currency 3 2 2 3 2 2 4" xfId="20750" xr:uid="{7834D3F5-C73C-473E-8274-17D1ADB8E2C3}"/>
    <cellStyle name="Currency 3 2 2 3 2 2 5" xfId="29197" xr:uid="{9BAE30CA-2D79-4BCB-913F-1A713F32FC20}"/>
    <cellStyle name="Currency 3 2 2 3 2 3" xfId="5049" xr:uid="{00000000-0005-0000-0000-0000D80A0000}"/>
    <cellStyle name="Currency 3 2 2 3 2 3 2" xfId="14375" xr:uid="{58A7EAD0-5181-4FB4-924D-E67FE6590C3C}"/>
    <cellStyle name="Currency 3 2 2 3 2 3 3" xfId="22822" xr:uid="{38D9985D-C19B-46E2-9FA5-2E3A378FCB89}"/>
    <cellStyle name="Currency 3 2 2 3 2 3 4" xfId="31269" xr:uid="{EF40BB93-4972-4004-B1D8-DA2E02EAA532}"/>
    <cellStyle name="Currency 3 2 2 3 2 4" xfId="9440" xr:uid="{774D5512-BCA5-4224-A909-3336A63369C8}"/>
    <cellStyle name="Currency 3 2 2 3 2 5" xfId="10158" xr:uid="{05405EB5-E104-46D6-90FC-9EF8641129C9}"/>
    <cellStyle name="Currency 3 2 2 3 2 6" xfId="18605" xr:uid="{7482BC08-46F9-4AEA-9CAB-D39EC21292B1}"/>
    <cellStyle name="Currency 3 2 2 3 2 7" xfId="27052" xr:uid="{DF52F6F5-9B44-48F9-B422-4C96C3EC5D4A}"/>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16933" xr:uid="{AC0C349C-6DF8-495B-BF55-7E3280B5007C}"/>
    <cellStyle name="Currency 3 2 2 3 3 2 2 3" xfId="25380" xr:uid="{69DB1D1E-A55D-49F8-9495-9CF6D39CFD7B}"/>
    <cellStyle name="Currency 3 2 2 3 3 2 2 4" xfId="33827" xr:uid="{31C43A0A-1F4F-4B28-A365-6E56754418AC}"/>
    <cellStyle name="Currency 3 2 2 3 3 2 3" xfId="12716" xr:uid="{09268EAD-A178-4D55-93FF-EFBDB379E4CF}"/>
    <cellStyle name="Currency 3 2 2 3 3 2 4" xfId="21163" xr:uid="{D784D18F-A6D0-464E-B1D8-A79508CC5164}"/>
    <cellStyle name="Currency 3 2 2 3 3 2 5" xfId="29610" xr:uid="{437D2343-59FB-4366-ACE3-10F727CB492A}"/>
    <cellStyle name="Currency 3 2 2 3 3 3" xfId="5462" xr:uid="{00000000-0005-0000-0000-0000DC0A0000}"/>
    <cellStyle name="Currency 3 2 2 3 3 3 2" xfId="14788" xr:uid="{D0A02051-6CA1-4483-B8B6-587186FB1B07}"/>
    <cellStyle name="Currency 3 2 2 3 3 3 3" xfId="23235" xr:uid="{AC63E449-3D0A-481E-9B08-6E4FD203E4B6}"/>
    <cellStyle name="Currency 3 2 2 3 3 3 4" xfId="31682" xr:uid="{BAD8ECDE-BCB7-4C9A-94FE-B97B5A6357BE}"/>
    <cellStyle name="Currency 3 2 2 3 3 4" xfId="10571" xr:uid="{174B166C-07C0-49C5-85B5-49D33504E21C}"/>
    <cellStyle name="Currency 3 2 2 3 3 5" xfId="19018" xr:uid="{C41E1F43-D8BC-42DA-8C2F-21ECEB33A567}"/>
    <cellStyle name="Currency 3 2 2 3 3 6" xfId="27465" xr:uid="{3DA13673-EFDA-4415-B842-7D14AECF4BC9}"/>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17346" xr:uid="{23630431-E0CC-40A5-A4D4-D09331EECA19}"/>
    <cellStyle name="Currency 3 2 2 3 4 2 2 3" xfId="25793" xr:uid="{8FCC9B06-1FE7-416D-9069-3DBC6B6C303E}"/>
    <cellStyle name="Currency 3 2 2 3 4 2 2 4" xfId="34240" xr:uid="{A4D86A02-2FB9-49D4-8593-7075A2A9F63E}"/>
    <cellStyle name="Currency 3 2 2 3 4 2 3" xfId="13129" xr:uid="{FE6E0307-B76A-4CF2-9FFF-FDB948363EE6}"/>
    <cellStyle name="Currency 3 2 2 3 4 2 4" xfId="21576" xr:uid="{9A65DCDE-8462-4B23-A088-7B2C483F5C0A}"/>
    <cellStyle name="Currency 3 2 2 3 4 2 5" xfId="30023" xr:uid="{A8B89D40-9CDA-4A80-A5DF-60187554E342}"/>
    <cellStyle name="Currency 3 2 2 3 4 3" xfId="5875" xr:uid="{00000000-0005-0000-0000-0000E00A0000}"/>
    <cellStyle name="Currency 3 2 2 3 4 3 2" xfId="15201" xr:uid="{CD7F8C89-F2B9-425A-B9C4-5E554C56F801}"/>
    <cellStyle name="Currency 3 2 2 3 4 3 3" xfId="23648" xr:uid="{44BA4EC0-F09E-4EF3-8735-1DACF5DC127A}"/>
    <cellStyle name="Currency 3 2 2 3 4 3 4" xfId="32095" xr:uid="{95278D98-FE25-47D1-859B-BCA6E76F7400}"/>
    <cellStyle name="Currency 3 2 2 3 4 4" xfId="10984" xr:uid="{DDADCD49-B882-42BB-A847-498557517F65}"/>
    <cellStyle name="Currency 3 2 2 3 4 5" xfId="19431" xr:uid="{CE66018E-2C7C-42E1-826C-5C08124BE67C}"/>
    <cellStyle name="Currency 3 2 2 3 4 6" xfId="27878" xr:uid="{E58574F5-58AE-4E8A-922B-CA48F5949BEB}"/>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17759" xr:uid="{5F36A069-CBFE-45B6-AC6D-3D32C8DE3BD1}"/>
    <cellStyle name="Currency 3 2 2 3 5 2 2 3" xfId="26206" xr:uid="{67E253E4-D683-4F2C-9421-87C357459445}"/>
    <cellStyle name="Currency 3 2 2 3 5 2 2 4" xfId="34653" xr:uid="{E6E36EE4-B356-4D6E-A42F-D0EC5AD17353}"/>
    <cellStyle name="Currency 3 2 2 3 5 2 3" xfId="13542" xr:uid="{56274EA0-8BE3-4F98-AF0B-0177F535F6C5}"/>
    <cellStyle name="Currency 3 2 2 3 5 2 4" xfId="21989" xr:uid="{056F4777-89C0-4500-931F-29B91616F546}"/>
    <cellStyle name="Currency 3 2 2 3 5 2 5" xfId="30436" xr:uid="{6DAF4D51-D0C6-4A34-B009-FFAF09273599}"/>
    <cellStyle name="Currency 3 2 2 3 5 3" xfId="6288" xr:uid="{00000000-0005-0000-0000-0000E40A0000}"/>
    <cellStyle name="Currency 3 2 2 3 5 3 2" xfId="15614" xr:uid="{8BD8B219-8555-4E3F-A416-370ECE824C26}"/>
    <cellStyle name="Currency 3 2 2 3 5 3 3" xfId="24061" xr:uid="{0EBE48ED-8663-4C1F-9A9D-C34FBB62CF14}"/>
    <cellStyle name="Currency 3 2 2 3 5 3 4" xfId="32508" xr:uid="{8DCAE6F5-AECC-4D79-B19A-7551D1F09E49}"/>
    <cellStyle name="Currency 3 2 2 3 5 4" xfId="11397" xr:uid="{82C058D3-EF65-4645-BCF0-E3F99143FBFE}"/>
    <cellStyle name="Currency 3 2 2 3 5 5" xfId="19844" xr:uid="{C0E43495-0B1C-496A-A9CF-FE370BF8837A}"/>
    <cellStyle name="Currency 3 2 2 3 5 6" xfId="28291" xr:uid="{BFB9CF79-CD91-4694-AA57-9322F999E24F}"/>
    <cellStyle name="Currency 3 2 2 3 6" xfId="2417" xr:uid="{00000000-0005-0000-0000-0000E50A0000}"/>
    <cellStyle name="Currency 3 2 2 3 6 2" xfId="6701" xr:uid="{00000000-0005-0000-0000-0000E60A0000}"/>
    <cellStyle name="Currency 3 2 2 3 6 2 2" xfId="16027" xr:uid="{25904CC0-5312-45F9-800F-163CC3C2DFC3}"/>
    <cellStyle name="Currency 3 2 2 3 6 2 3" xfId="24474" xr:uid="{5805DA79-D769-4CA9-843E-0EDC26FF85ED}"/>
    <cellStyle name="Currency 3 2 2 3 6 2 4" xfId="32921" xr:uid="{0E7F87C0-3266-42C6-ADE9-DE3210E86240}"/>
    <cellStyle name="Currency 3 2 2 3 6 3" xfId="11810" xr:uid="{196B72BB-AA3E-4862-A873-3FA16DC9F3CC}"/>
    <cellStyle name="Currency 3 2 2 3 6 4" xfId="20257" xr:uid="{13AE64A6-467E-4035-AFD7-3E15D34C5E6F}"/>
    <cellStyle name="Currency 3 2 2 3 6 5" xfId="28704" xr:uid="{2EE9C31B-F2A6-4456-AFA6-D99398E135B1}"/>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16344" xr:uid="{6B823ED9-E2B3-4DFA-A796-1A9567C00CBF}"/>
    <cellStyle name="Currency 3 2 2 3 8 2 3" xfId="24791" xr:uid="{2ABF5659-A878-4946-A76B-6B8F8F631E51}"/>
    <cellStyle name="Currency 3 2 2 3 8 2 4" xfId="33238" xr:uid="{E84A0D79-A8D0-4BB5-B01A-AA64D84BB2E3}"/>
    <cellStyle name="Currency 3 2 2 3 8 3" xfId="12127" xr:uid="{845D6F9D-3CA4-42CE-A607-F373C23B0EA5}"/>
    <cellStyle name="Currency 3 2 2 3 8 4" xfId="20574" xr:uid="{7F293557-1B9C-4BD2-83D3-61DB0604E674}"/>
    <cellStyle name="Currency 3 2 2 3 8 5" xfId="29021" xr:uid="{AC29E5E7-2245-48AA-ACC1-04FE3E5938B0}"/>
    <cellStyle name="Currency 3 2 2 3 9" xfId="4635" xr:uid="{00000000-0005-0000-0000-0000EA0A0000}"/>
    <cellStyle name="Currency 3 2 2 3 9 2" xfId="13961" xr:uid="{C8E803F6-087E-4A59-BDC0-7722D7AD042B}"/>
    <cellStyle name="Currency 3 2 2 3 9 3" xfId="22408" xr:uid="{36FBDD93-635E-4407-98E7-44CE0B1A642E}"/>
    <cellStyle name="Currency 3 2 2 3 9 4" xfId="30855" xr:uid="{FAC83BEE-467C-421D-B69E-C6B28F9B7C41}"/>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16517" xr:uid="{34C66731-BA59-400F-AB93-870995F9EAE4}"/>
    <cellStyle name="Currency 3 2 2 4 2 2 3" xfId="24964" xr:uid="{0B2EE574-346F-408C-B221-639FD5C5B690}"/>
    <cellStyle name="Currency 3 2 2 4 2 2 4" xfId="33411" xr:uid="{05C67551-456E-445B-A76F-06BC0D12DEF4}"/>
    <cellStyle name="Currency 3 2 2 4 2 3" xfId="12300" xr:uid="{EDE3CBD0-1B10-473E-BC08-44DAE7BF1935}"/>
    <cellStyle name="Currency 3 2 2 4 2 4" xfId="20747" xr:uid="{602B2FD9-A193-4217-851D-05DE00E621D4}"/>
    <cellStyle name="Currency 3 2 2 4 2 5" xfId="29194" xr:uid="{A313DE75-26CF-47BE-AA15-2071038B8B5E}"/>
    <cellStyle name="Currency 3 2 2 4 3" xfId="5046" xr:uid="{00000000-0005-0000-0000-0000EE0A0000}"/>
    <cellStyle name="Currency 3 2 2 4 3 2" xfId="14372" xr:uid="{697B281C-540A-4AFA-B860-85A1A10B0BDF}"/>
    <cellStyle name="Currency 3 2 2 4 3 3" xfId="22819" xr:uid="{1226723D-4FD8-406F-8B30-CB5CC68B859C}"/>
    <cellStyle name="Currency 3 2 2 4 3 4" xfId="31266" xr:uid="{3D3D7C08-563D-40A2-B4B1-75124BE80771}"/>
    <cellStyle name="Currency 3 2 2 4 4" xfId="9233" xr:uid="{A90843BF-65B1-48E5-9C93-A2651D7B4B13}"/>
    <cellStyle name="Currency 3 2 2 4 5" xfId="10155" xr:uid="{246157FF-5BC2-4BAF-A826-D72BF8FD7C26}"/>
    <cellStyle name="Currency 3 2 2 4 6" xfId="18602" xr:uid="{7AD06EF1-6319-4CC9-8679-9F307081920E}"/>
    <cellStyle name="Currency 3 2 2 4 7" xfId="27049" xr:uid="{58375274-2E6E-4DCF-90CE-B5AD99556CC7}"/>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16930" xr:uid="{05A2CF7B-DA49-434A-8078-28496DA1AB20}"/>
    <cellStyle name="Currency 3 2 2 5 2 2 3" xfId="25377" xr:uid="{A56263C8-BAC9-4C55-B702-78E7EDCEB0EF}"/>
    <cellStyle name="Currency 3 2 2 5 2 2 4" xfId="33824" xr:uid="{C4498622-20C1-4946-8300-7068652DF252}"/>
    <cellStyle name="Currency 3 2 2 5 2 3" xfId="12713" xr:uid="{24DEF528-0C1A-47BC-ACEC-730B1B6BA5DD}"/>
    <cellStyle name="Currency 3 2 2 5 2 4" xfId="21160" xr:uid="{2FCAB85E-9AF6-4701-8516-7C2F1B686AC1}"/>
    <cellStyle name="Currency 3 2 2 5 2 5" xfId="29607" xr:uid="{D69330D3-D908-4CCD-8DB0-54273E1B691B}"/>
    <cellStyle name="Currency 3 2 2 5 3" xfId="5459" xr:uid="{00000000-0005-0000-0000-0000F20A0000}"/>
    <cellStyle name="Currency 3 2 2 5 3 2" xfId="14785" xr:uid="{85C3B4EE-FB4D-4ADE-A0E5-BC5C4E5159E2}"/>
    <cellStyle name="Currency 3 2 2 5 3 3" xfId="23232" xr:uid="{D37B4DFF-3452-4858-84FD-D2D61627DAFA}"/>
    <cellStyle name="Currency 3 2 2 5 3 4" xfId="31679" xr:uid="{598FE9FA-5470-447B-B0BA-7CD6686BA26F}"/>
    <cellStyle name="Currency 3 2 2 5 4" xfId="10568" xr:uid="{752A1660-67AA-42AA-9D86-8D48E4EC6657}"/>
    <cellStyle name="Currency 3 2 2 5 5" xfId="19015" xr:uid="{2502B5AF-BBF6-4124-B232-C3AD27C5BE0B}"/>
    <cellStyle name="Currency 3 2 2 5 6" xfId="27462" xr:uid="{C174ACEC-6D94-4CD2-9BB7-FFAFC038AFAF}"/>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17343" xr:uid="{896010B9-0A10-46A4-B10A-00885D7B9731}"/>
    <cellStyle name="Currency 3 2 2 6 2 2 3" xfId="25790" xr:uid="{8B57A852-D06C-4FBA-B092-AD85B8269369}"/>
    <cellStyle name="Currency 3 2 2 6 2 2 4" xfId="34237" xr:uid="{97175486-A7DF-4F8D-B558-D161FBF7AA37}"/>
    <cellStyle name="Currency 3 2 2 6 2 3" xfId="13126" xr:uid="{5FA3A309-7E82-4930-8388-C5963F2FAA42}"/>
    <cellStyle name="Currency 3 2 2 6 2 4" xfId="21573" xr:uid="{56035F26-91C6-41E9-A8E5-F6D025ADD943}"/>
    <cellStyle name="Currency 3 2 2 6 2 5" xfId="30020" xr:uid="{2B6EEDB1-3DFA-4292-B417-3E8321B2AE0F}"/>
    <cellStyle name="Currency 3 2 2 6 3" xfId="5872" xr:uid="{00000000-0005-0000-0000-0000F60A0000}"/>
    <cellStyle name="Currency 3 2 2 6 3 2" xfId="15198" xr:uid="{9CB1866F-10DD-44C8-A9E5-0CE3B0451212}"/>
    <cellStyle name="Currency 3 2 2 6 3 3" xfId="23645" xr:uid="{0F784C8D-BFD3-457E-A476-3D3F1744DC93}"/>
    <cellStyle name="Currency 3 2 2 6 3 4" xfId="32092" xr:uid="{AB75A5FF-9511-42BC-838B-46CDE33F67C3}"/>
    <cellStyle name="Currency 3 2 2 6 4" xfId="10981" xr:uid="{7E95DD8B-8641-4DBE-8EF3-6957EDAB081D}"/>
    <cellStyle name="Currency 3 2 2 6 5" xfId="19428" xr:uid="{D473F283-421D-48EE-BF7A-2BA40405283D}"/>
    <cellStyle name="Currency 3 2 2 6 6" xfId="27875" xr:uid="{00072964-13DE-4254-8E16-F879309462D2}"/>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17756" xr:uid="{8F33ECAC-B66E-4422-9387-EC4CCA185F6C}"/>
    <cellStyle name="Currency 3 2 2 7 2 2 3" xfId="26203" xr:uid="{47192C6C-24BA-45A8-91DA-A28C4666CAFF}"/>
    <cellStyle name="Currency 3 2 2 7 2 2 4" xfId="34650" xr:uid="{E35E76EF-1A5C-4F07-BA9E-667A2AF6241D}"/>
    <cellStyle name="Currency 3 2 2 7 2 3" xfId="13539" xr:uid="{D8F3D52E-FEB0-4E99-A5ED-A535EC85CC46}"/>
    <cellStyle name="Currency 3 2 2 7 2 4" xfId="21986" xr:uid="{0F8559F4-4355-424E-AF70-045DE095EDC9}"/>
    <cellStyle name="Currency 3 2 2 7 2 5" xfId="30433" xr:uid="{4AC3504D-BE24-490A-B146-A8AF45F4EE53}"/>
    <cellStyle name="Currency 3 2 2 7 3" xfId="6285" xr:uid="{00000000-0005-0000-0000-0000FA0A0000}"/>
    <cellStyle name="Currency 3 2 2 7 3 2" xfId="15611" xr:uid="{ADA9A3F6-F8AD-42F8-8F20-6E61E436B57D}"/>
    <cellStyle name="Currency 3 2 2 7 3 3" xfId="24058" xr:uid="{FCFE2DD4-C464-4101-B966-3E34925A8701}"/>
    <cellStyle name="Currency 3 2 2 7 3 4" xfId="32505" xr:uid="{2B0D50E8-7071-4C52-AB60-244689580664}"/>
    <cellStyle name="Currency 3 2 2 7 4" xfId="11394" xr:uid="{D932B208-9885-4AB5-8A91-A8EBCA2365DD}"/>
    <cellStyle name="Currency 3 2 2 7 5" xfId="19841" xr:uid="{DBFC5EC5-E00F-4A59-B874-E3F0B91549F4}"/>
    <cellStyle name="Currency 3 2 2 7 6" xfId="28288" xr:uid="{1DB98C07-70C3-4C6B-978A-4578F9DD39FB}"/>
    <cellStyle name="Currency 3 2 2 8" xfId="2414" xr:uid="{00000000-0005-0000-0000-0000FB0A0000}"/>
    <cellStyle name="Currency 3 2 2 8 2" xfId="6698" xr:uid="{00000000-0005-0000-0000-0000FC0A0000}"/>
    <cellStyle name="Currency 3 2 2 8 2 2" xfId="16024" xr:uid="{0A7804F5-6EFC-40DE-A44F-0AAC79247300}"/>
    <cellStyle name="Currency 3 2 2 8 2 3" xfId="24471" xr:uid="{5A6BF1F2-11AA-45EE-8CF4-67FC649F09D3}"/>
    <cellStyle name="Currency 3 2 2 8 2 4" xfId="32918" xr:uid="{9E58AC3A-32A8-43D7-A608-BD1FE645321E}"/>
    <cellStyle name="Currency 3 2 2 8 3" xfId="11807" xr:uid="{A60CF8C1-548A-45FE-AA1A-4990C8FD87EE}"/>
    <cellStyle name="Currency 3 2 2 8 4" xfId="20254" xr:uid="{9FAB24B7-2307-45B0-AD09-380AE3007690}"/>
    <cellStyle name="Currency 3 2 2 8 5" xfId="28701" xr:uid="{D72A5C67-B0D9-4039-BDDC-98B80A7D2D19}"/>
    <cellStyle name="Currency 3 2 2 9" xfId="2711" xr:uid="{00000000-0005-0000-0000-0000FD0A0000}"/>
    <cellStyle name="Currency 3 2 3" xfId="182" xr:uid="{00000000-0005-0000-0000-0000FE0A0000}"/>
    <cellStyle name="Currency 3 2 3 10" xfId="4636" xr:uid="{00000000-0005-0000-0000-0000FF0A0000}"/>
    <cellStyle name="Currency 3 2 3 10 2" xfId="13962" xr:uid="{DFEF66ED-1D56-4564-9BAF-89041335203C}"/>
    <cellStyle name="Currency 3 2 3 10 3" xfId="22409" xr:uid="{410E2724-DF3D-46A8-A366-6DAFC83D678D}"/>
    <cellStyle name="Currency 3 2 3 10 4" xfId="30856" xr:uid="{3BFFD9C5-8C48-4C07-8804-115825E0E37C}"/>
    <cellStyle name="Currency 3 2 3 11" xfId="8893" xr:uid="{8CE28714-D587-402C-9A17-1A08799662D4}"/>
    <cellStyle name="Currency 3 2 3 12" xfId="9745" xr:uid="{742304BC-35C1-405F-BC0B-2348EA1234F2}"/>
    <cellStyle name="Currency 3 2 3 13" xfId="18192" xr:uid="{DA764B8F-EAA7-4569-B3FF-5EBD7AF7A11E}"/>
    <cellStyle name="Currency 3 2 3 14" xfId="26639" xr:uid="{43AE24DC-0DD4-43C5-933A-C8742B440915}"/>
    <cellStyle name="Currency 3 2 3 2" xfId="183" xr:uid="{00000000-0005-0000-0000-0000000B0000}"/>
    <cellStyle name="Currency 3 2 3 2 10" xfId="9100" xr:uid="{CEBE1F40-0923-46C6-AB84-DD4DAB20CD81}"/>
    <cellStyle name="Currency 3 2 3 2 11" xfId="9746" xr:uid="{31245F73-F68A-4123-9EF0-358A293E0E66}"/>
    <cellStyle name="Currency 3 2 3 2 12" xfId="18193" xr:uid="{DED946E0-1BA9-4583-948C-36E54EC1C3FC}"/>
    <cellStyle name="Currency 3 2 3 2 13" xfId="26640" xr:uid="{4A7AAF12-24BD-4721-B232-05C7B504ECA3}"/>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16522" xr:uid="{AD96F80E-F305-418A-A6C1-F5BDD0566CA8}"/>
    <cellStyle name="Currency 3 2 3 2 2 2 2 3" xfId="24969" xr:uid="{0726F7A5-ACB8-4B4F-8B39-64EEF1916BFD}"/>
    <cellStyle name="Currency 3 2 3 2 2 2 2 4" xfId="33416" xr:uid="{A57FC193-5938-45B7-AE0F-E4BBBC617AFC}"/>
    <cellStyle name="Currency 3 2 3 2 2 2 3" xfId="12305" xr:uid="{65846BF7-5079-462C-B21D-92AA021A4622}"/>
    <cellStyle name="Currency 3 2 3 2 2 2 4" xfId="20752" xr:uid="{46894D14-95F8-4A45-8DDD-E84E40FCA902}"/>
    <cellStyle name="Currency 3 2 3 2 2 2 5" xfId="29199" xr:uid="{5E686097-D42D-4162-A25E-B47110BE661D}"/>
    <cellStyle name="Currency 3 2 3 2 2 3" xfId="5051" xr:uid="{00000000-0005-0000-0000-0000040B0000}"/>
    <cellStyle name="Currency 3 2 3 2 2 3 2" xfId="14377" xr:uid="{CFB6AE26-2DAF-4EEA-87C9-709769C5F9C2}"/>
    <cellStyle name="Currency 3 2 3 2 2 3 3" xfId="22824" xr:uid="{61AF278E-33AA-4D81-B494-6135685183B0}"/>
    <cellStyle name="Currency 3 2 3 2 2 3 4" xfId="31271" xr:uid="{A9B828C8-7CAB-47F1-8F1D-FF030A470F82}"/>
    <cellStyle name="Currency 3 2 3 2 2 4" xfId="9525" xr:uid="{759374BA-DDD8-4F33-9655-B300986F8700}"/>
    <cellStyle name="Currency 3 2 3 2 2 5" xfId="10160" xr:uid="{8FD8A137-4E6C-4DA1-8360-1E1F692DBA13}"/>
    <cellStyle name="Currency 3 2 3 2 2 6" xfId="18607" xr:uid="{B2FEC96F-42B3-4C6D-9F28-968FA29F1AF3}"/>
    <cellStyle name="Currency 3 2 3 2 2 7" xfId="27054" xr:uid="{3E648377-6411-457E-BA1F-7456C0603D65}"/>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16935" xr:uid="{4FC3BD8E-85EC-49DA-8FB6-5C792F821196}"/>
    <cellStyle name="Currency 3 2 3 2 3 2 2 3" xfId="25382" xr:uid="{4577C963-7A73-4285-8E85-E95391104CBD}"/>
    <cellStyle name="Currency 3 2 3 2 3 2 2 4" xfId="33829" xr:uid="{375CB93D-FD17-4DC3-A997-BF800047775C}"/>
    <cellStyle name="Currency 3 2 3 2 3 2 3" xfId="12718" xr:uid="{24DF6F38-0461-4B76-A807-C9583F696B30}"/>
    <cellStyle name="Currency 3 2 3 2 3 2 4" xfId="21165" xr:uid="{D7A4CC0C-CBCF-416F-A3FC-9D49AB792138}"/>
    <cellStyle name="Currency 3 2 3 2 3 2 5" xfId="29612" xr:uid="{A69F3230-59DD-410A-816F-529CB0048D72}"/>
    <cellStyle name="Currency 3 2 3 2 3 3" xfId="5464" xr:uid="{00000000-0005-0000-0000-0000080B0000}"/>
    <cellStyle name="Currency 3 2 3 2 3 3 2" xfId="14790" xr:uid="{C8BD9571-1E44-49CE-9EBE-082F8099C9E5}"/>
    <cellStyle name="Currency 3 2 3 2 3 3 3" xfId="23237" xr:uid="{F145E76F-3739-47E4-9CAE-333452AE7BC3}"/>
    <cellStyle name="Currency 3 2 3 2 3 3 4" xfId="31684" xr:uid="{FE2CEE59-BEDD-4932-9094-B63D6CA5DB40}"/>
    <cellStyle name="Currency 3 2 3 2 3 4" xfId="10573" xr:uid="{1A760C9E-4DE5-4C11-B4A9-44DB1F5ECDAE}"/>
    <cellStyle name="Currency 3 2 3 2 3 5" xfId="19020" xr:uid="{05AF2DC5-9A43-42E8-8D42-B0B37B14D804}"/>
    <cellStyle name="Currency 3 2 3 2 3 6" xfId="27467" xr:uid="{3BA0939C-E718-4074-ACBD-61B2CA7A8D43}"/>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17348" xr:uid="{782FD74E-C116-4C71-8745-E4483E9BF170}"/>
    <cellStyle name="Currency 3 2 3 2 4 2 2 3" xfId="25795" xr:uid="{15C4AF56-F601-43ED-ADD6-AD15E471E05A}"/>
    <cellStyle name="Currency 3 2 3 2 4 2 2 4" xfId="34242" xr:uid="{AB717F41-9FDA-48A6-84B3-4EFFF73D3FF5}"/>
    <cellStyle name="Currency 3 2 3 2 4 2 3" xfId="13131" xr:uid="{20719334-E292-4661-96FE-8470B522497D}"/>
    <cellStyle name="Currency 3 2 3 2 4 2 4" xfId="21578" xr:uid="{EB6A0D76-3EB8-46CF-BE8F-02F7F7C6500F}"/>
    <cellStyle name="Currency 3 2 3 2 4 2 5" xfId="30025" xr:uid="{F3F195D4-15C9-4655-A1C3-A375E200A0A5}"/>
    <cellStyle name="Currency 3 2 3 2 4 3" xfId="5877" xr:uid="{00000000-0005-0000-0000-00000C0B0000}"/>
    <cellStyle name="Currency 3 2 3 2 4 3 2" xfId="15203" xr:uid="{4A981D66-F96A-48B4-94E3-48F6D0E75151}"/>
    <cellStyle name="Currency 3 2 3 2 4 3 3" xfId="23650" xr:uid="{0B7C4219-ACDD-4D68-B28B-08D4FC29E547}"/>
    <cellStyle name="Currency 3 2 3 2 4 3 4" xfId="32097" xr:uid="{FBE67F11-F50D-4123-A14C-4ADD608B9A75}"/>
    <cellStyle name="Currency 3 2 3 2 4 4" xfId="10986" xr:uid="{3A42BECF-A7CF-4BE2-B945-AA7C2AED8572}"/>
    <cellStyle name="Currency 3 2 3 2 4 5" xfId="19433" xr:uid="{9001BC20-88FD-46B8-BAAE-D1AA3CFC4768}"/>
    <cellStyle name="Currency 3 2 3 2 4 6" xfId="27880" xr:uid="{53CD7A25-EBC5-4415-B739-315AFD9920EF}"/>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17761" xr:uid="{43C84604-D91A-446C-8CE6-F5D3881054B2}"/>
    <cellStyle name="Currency 3 2 3 2 5 2 2 3" xfId="26208" xr:uid="{FBACBE09-BCFD-4AED-B362-677F9EA2EACA}"/>
    <cellStyle name="Currency 3 2 3 2 5 2 2 4" xfId="34655" xr:uid="{1952B4C8-6DE7-4E9A-B5E7-72451B616359}"/>
    <cellStyle name="Currency 3 2 3 2 5 2 3" xfId="13544" xr:uid="{B51CD097-082D-455F-A413-9E41D2AE4F37}"/>
    <cellStyle name="Currency 3 2 3 2 5 2 4" xfId="21991" xr:uid="{4F91EEC1-D25F-4317-BE8E-3407CE0D3559}"/>
    <cellStyle name="Currency 3 2 3 2 5 2 5" xfId="30438" xr:uid="{C5FFFAF8-CF10-4A8B-B9A1-F7B7B2302E9A}"/>
    <cellStyle name="Currency 3 2 3 2 5 3" xfId="6290" xr:uid="{00000000-0005-0000-0000-0000100B0000}"/>
    <cellStyle name="Currency 3 2 3 2 5 3 2" xfId="15616" xr:uid="{9AC093D3-E1DE-428C-88BF-28034F463D1B}"/>
    <cellStyle name="Currency 3 2 3 2 5 3 3" xfId="24063" xr:uid="{7FD23416-CC81-4EA1-BA90-915335A00800}"/>
    <cellStyle name="Currency 3 2 3 2 5 3 4" xfId="32510" xr:uid="{E032899A-578F-4523-9C0F-592DA71F91C8}"/>
    <cellStyle name="Currency 3 2 3 2 5 4" xfId="11399" xr:uid="{F9D85C2F-EDA7-483F-9122-B41ACC0F4120}"/>
    <cellStyle name="Currency 3 2 3 2 5 5" xfId="19846" xr:uid="{FF95CC2B-CF82-45F6-84C9-0A32CA1651A3}"/>
    <cellStyle name="Currency 3 2 3 2 5 6" xfId="28293" xr:uid="{5B7E5B17-02F6-497B-8FA4-1193F2413CC9}"/>
    <cellStyle name="Currency 3 2 3 2 6" xfId="2419" xr:uid="{00000000-0005-0000-0000-0000110B0000}"/>
    <cellStyle name="Currency 3 2 3 2 6 2" xfId="6703" xr:uid="{00000000-0005-0000-0000-0000120B0000}"/>
    <cellStyle name="Currency 3 2 3 2 6 2 2" xfId="16029" xr:uid="{D128E67B-9E2A-49F2-8F60-4DD2C009B0C7}"/>
    <cellStyle name="Currency 3 2 3 2 6 2 3" xfId="24476" xr:uid="{182C7287-821F-4531-80E5-889CF1376B47}"/>
    <cellStyle name="Currency 3 2 3 2 6 2 4" xfId="32923" xr:uid="{56D658D4-21DC-4B19-B048-BD78184D79DF}"/>
    <cellStyle name="Currency 3 2 3 2 6 3" xfId="11812" xr:uid="{6C75E87C-908C-4A7C-8441-D756DD3EF316}"/>
    <cellStyle name="Currency 3 2 3 2 6 4" xfId="20259" xr:uid="{C26B8AF0-A2CE-4EAD-B7D9-32CA10FA1D11}"/>
    <cellStyle name="Currency 3 2 3 2 6 5" xfId="28706" xr:uid="{1A6B6704-3C05-4210-81C5-7D1C0C4D909E}"/>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16346" xr:uid="{8E8E00EB-AA14-45B9-9FCC-D12B7FCCF924}"/>
    <cellStyle name="Currency 3 2 3 2 8 2 3" xfId="24793" xr:uid="{6E58E92B-40E4-4B7E-AC86-83C659E68DD1}"/>
    <cellStyle name="Currency 3 2 3 2 8 2 4" xfId="33240" xr:uid="{6D50EAF9-9B66-4D03-A1C2-08C4854BD853}"/>
    <cellStyle name="Currency 3 2 3 2 8 3" xfId="12129" xr:uid="{A3827246-5073-4317-8D7E-4617C1861218}"/>
    <cellStyle name="Currency 3 2 3 2 8 4" xfId="20576" xr:uid="{0A95D70A-C843-4939-895A-BE735E26C492}"/>
    <cellStyle name="Currency 3 2 3 2 8 5" xfId="29023" xr:uid="{2A334213-6AF2-4013-9FD0-C60702C3104F}"/>
    <cellStyle name="Currency 3 2 3 2 9" xfId="4637" xr:uid="{00000000-0005-0000-0000-0000160B0000}"/>
    <cellStyle name="Currency 3 2 3 2 9 2" xfId="13963" xr:uid="{23CBEDAE-00F1-423D-87D5-64F9B304D9CA}"/>
    <cellStyle name="Currency 3 2 3 2 9 3" xfId="22410" xr:uid="{721CACFA-EF6D-4769-8F4D-A408EF959ABB}"/>
    <cellStyle name="Currency 3 2 3 2 9 4" xfId="30857" xr:uid="{CD21037F-AD83-46FD-BAD1-1BD8F1C5AE5D}"/>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16521" xr:uid="{A34F88DD-C193-405D-BAE3-D45D390BFD49}"/>
    <cellStyle name="Currency 3 2 3 3 2 2 3" xfId="24968" xr:uid="{008C86EB-8C6F-4D26-86EC-2924DF74C8D2}"/>
    <cellStyle name="Currency 3 2 3 3 2 2 4" xfId="33415" xr:uid="{E8FCE660-410C-4787-BAA9-955E74CB688C}"/>
    <cellStyle name="Currency 3 2 3 3 2 3" xfId="12304" xr:uid="{2E2FC831-50A4-46AB-A4AC-65F0426A7C97}"/>
    <cellStyle name="Currency 3 2 3 3 2 4" xfId="20751" xr:uid="{6D902642-4A66-4711-A25C-1E4C5ACB431C}"/>
    <cellStyle name="Currency 3 2 3 3 2 5" xfId="29198" xr:uid="{82B77F13-01B9-4913-9ABB-509EEECAFAE7}"/>
    <cellStyle name="Currency 3 2 3 3 3" xfId="5050" xr:uid="{00000000-0005-0000-0000-00001A0B0000}"/>
    <cellStyle name="Currency 3 2 3 3 3 2" xfId="14376" xr:uid="{64C34F1E-92A1-402B-BE90-CE3CF699D53D}"/>
    <cellStyle name="Currency 3 2 3 3 3 3" xfId="22823" xr:uid="{3630FE8F-A5E4-43E3-9F05-ED8783AC3D17}"/>
    <cellStyle name="Currency 3 2 3 3 3 4" xfId="31270" xr:uid="{14DBD9C8-A2D8-4AC4-8078-085489E8990C}"/>
    <cellStyle name="Currency 3 2 3 3 4" xfId="9318" xr:uid="{AA73873E-8E72-4FDE-A22E-F5D80E2A87B1}"/>
    <cellStyle name="Currency 3 2 3 3 5" xfId="10159" xr:uid="{BFD9E095-BDB8-4A3E-9F64-0C3641083B0B}"/>
    <cellStyle name="Currency 3 2 3 3 6" xfId="18606" xr:uid="{6F240802-C84A-4CE7-9819-45184E8C4F48}"/>
    <cellStyle name="Currency 3 2 3 3 7" xfId="27053" xr:uid="{06B1419E-66CB-489D-AA76-E9D11FE87D81}"/>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16934" xr:uid="{90410F9A-CF2A-4419-B27A-B8A2CBF7031C}"/>
    <cellStyle name="Currency 3 2 3 4 2 2 3" xfId="25381" xr:uid="{01C0CC3F-B46E-4602-9C46-14B016FF86E4}"/>
    <cellStyle name="Currency 3 2 3 4 2 2 4" xfId="33828" xr:uid="{9B904692-3A20-473E-8863-BB0B656B2B97}"/>
    <cellStyle name="Currency 3 2 3 4 2 3" xfId="12717" xr:uid="{57438778-90EB-495C-B622-14B52E77D9AF}"/>
    <cellStyle name="Currency 3 2 3 4 2 4" xfId="21164" xr:uid="{41D27C9F-AE60-4879-8597-11CC2AFA5159}"/>
    <cellStyle name="Currency 3 2 3 4 2 5" xfId="29611" xr:uid="{AB4B660A-1720-4CA4-A52F-64AD8402C08F}"/>
    <cellStyle name="Currency 3 2 3 4 3" xfId="5463" xr:uid="{00000000-0005-0000-0000-00001E0B0000}"/>
    <cellStyle name="Currency 3 2 3 4 3 2" xfId="14789" xr:uid="{C1AC81E2-0769-48DF-8639-7923BD1D7BBD}"/>
    <cellStyle name="Currency 3 2 3 4 3 3" xfId="23236" xr:uid="{1860E95D-7EC9-4FEC-9DDA-6FB1787EDEA9}"/>
    <cellStyle name="Currency 3 2 3 4 3 4" xfId="31683" xr:uid="{2431C084-5E9E-4750-B786-144693F7E2BB}"/>
    <cellStyle name="Currency 3 2 3 4 4" xfId="10572" xr:uid="{6BAE4641-2109-4033-BFB3-CBC9083A8B53}"/>
    <cellStyle name="Currency 3 2 3 4 5" xfId="19019" xr:uid="{A7BEAB6B-2458-4E85-BD37-59D1490548D2}"/>
    <cellStyle name="Currency 3 2 3 4 6" xfId="27466" xr:uid="{DE61CCED-6157-4CCB-8C71-4CE5AB8358B6}"/>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17347" xr:uid="{EC06A43F-D798-4ABC-BBAC-A5D7E928DDD8}"/>
    <cellStyle name="Currency 3 2 3 5 2 2 3" xfId="25794" xr:uid="{99882148-50BA-4F07-BB87-B573B67552B4}"/>
    <cellStyle name="Currency 3 2 3 5 2 2 4" xfId="34241" xr:uid="{9516BE0D-E7CD-43F0-8442-E7920E542D15}"/>
    <cellStyle name="Currency 3 2 3 5 2 3" xfId="13130" xr:uid="{C28217FF-D1A0-4A8B-95FC-CBB562AEF2EF}"/>
    <cellStyle name="Currency 3 2 3 5 2 4" xfId="21577" xr:uid="{5A87F24E-7CC2-4432-9E5D-5413F28B71C7}"/>
    <cellStyle name="Currency 3 2 3 5 2 5" xfId="30024" xr:uid="{16B677AE-797F-4A21-9A4E-3276074E09BE}"/>
    <cellStyle name="Currency 3 2 3 5 3" xfId="5876" xr:uid="{00000000-0005-0000-0000-0000220B0000}"/>
    <cellStyle name="Currency 3 2 3 5 3 2" xfId="15202" xr:uid="{DB1247F9-F58C-4F48-BB10-6B236346C865}"/>
    <cellStyle name="Currency 3 2 3 5 3 3" xfId="23649" xr:uid="{CBFF3CC1-9466-4438-81C9-365D6CF2AE58}"/>
    <cellStyle name="Currency 3 2 3 5 3 4" xfId="32096" xr:uid="{0A078798-9958-46D8-AEC5-548906EF6E4B}"/>
    <cellStyle name="Currency 3 2 3 5 4" xfId="10985" xr:uid="{470362D3-5643-4B63-8F80-DE9A4C16271E}"/>
    <cellStyle name="Currency 3 2 3 5 5" xfId="19432" xr:uid="{637152D3-DDEB-42F3-8655-0156C3C70DA3}"/>
    <cellStyle name="Currency 3 2 3 5 6" xfId="27879" xr:uid="{E4DDBF12-EC8A-4D56-9B92-5A3FF35B677F}"/>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17760" xr:uid="{68BC5980-C9FF-4632-95C6-A320D41D427C}"/>
    <cellStyle name="Currency 3 2 3 6 2 2 3" xfId="26207" xr:uid="{1F84E86C-9AD1-4E56-B489-9464E5168836}"/>
    <cellStyle name="Currency 3 2 3 6 2 2 4" xfId="34654" xr:uid="{A0CCC78C-E984-41DC-84B3-D6E273372A8E}"/>
    <cellStyle name="Currency 3 2 3 6 2 3" xfId="13543" xr:uid="{A7C321E1-8B73-4290-9D3E-8CC111AFDF38}"/>
    <cellStyle name="Currency 3 2 3 6 2 4" xfId="21990" xr:uid="{5A3CE98F-578E-438D-9C2E-BF9C5A1A4B07}"/>
    <cellStyle name="Currency 3 2 3 6 2 5" xfId="30437" xr:uid="{47ABBD1D-E339-47ED-A2E9-6B88D9918B14}"/>
    <cellStyle name="Currency 3 2 3 6 3" xfId="6289" xr:uid="{00000000-0005-0000-0000-0000260B0000}"/>
    <cellStyle name="Currency 3 2 3 6 3 2" xfId="15615" xr:uid="{A53E8FFC-4827-4ED2-8068-2EB7AA0B6687}"/>
    <cellStyle name="Currency 3 2 3 6 3 3" xfId="24062" xr:uid="{E8F82899-12E7-43EA-B79E-156B6F2B83DB}"/>
    <cellStyle name="Currency 3 2 3 6 3 4" xfId="32509" xr:uid="{A4B4C5C9-4BDA-4AF6-A20A-AA83CE16AB18}"/>
    <cellStyle name="Currency 3 2 3 6 4" xfId="11398" xr:uid="{45A02F88-5864-4B60-A0FE-FFB71355EBAC}"/>
    <cellStyle name="Currency 3 2 3 6 5" xfId="19845" xr:uid="{0E27061E-209B-4F0A-B738-4FD961FD0D5E}"/>
    <cellStyle name="Currency 3 2 3 6 6" xfId="28292" xr:uid="{37687BA8-A728-402B-AEEA-D1AEC2ED4C5A}"/>
    <cellStyle name="Currency 3 2 3 7" xfId="2418" xr:uid="{00000000-0005-0000-0000-0000270B0000}"/>
    <cellStyle name="Currency 3 2 3 7 2" xfId="6702" xr:uid="{00000000-0005-0000-0000-0000280B0000}"/>
    <cellStyle name="Currency 3 2 3 7 2 2" xfId="16028" xr:uid="{8C08AF0F-2693-422E-97BA-49C1195FAB38}"/>
    <cellStyle name="Currency 3 2 3 7 2 3" xfId="24475" xr:uid="{99B095C5-8B94-4453-A737-147EFE7A17CC}"/>
    <cellStyle name="Currency 3 2 3 7 2 4" xfId="32922" xr:uid="{E53467E1-211E-4EB4-B097-8F5D81B9C247}"/>
    <cellStyle name="Currency 3 2 3 7 3" xfId="11811" xr:uid="{5C47D4DB-BEC3-48A2-A8A7-44296C8D5325}"/>
    <cellStyle name="Currency 3 2 3 7 4" xfId="20258" xr:uid="{646473D3-5287-4437-8FD4-C5A7BF02D0E3}"/>
    <cellStyle name="Currency 3 2 3 7 5" xfId="28705" xr:uid="{FC64B5F6-13AD-4B26-9DC7-8EA7605944E3}"/>
    <cellStyle name="Currency 3 2 3 8" xfId="2715" xr:uid="{00000000-0005-0000-0000-0000290B0000}"/>
    <cellStyle name="Currency 3 2 3 9" xfId="2796" xr:uid="{00000000-0005-0000-0000-00002A0B0000}"/>
    <cellStyle name="Currency 3 2 3 9 2" xfId="7019" xr:uid="{00000000-0005-0000-0000-00002B0B0000}"/>
    <cellStyle name="Currency 3 2 3 9 2 2" xfId="16345" xr:uid="{5DFE4BA8-CF02-4455-B4FC-94D0F6D4969B}"/>
    <cellStyle name="Currency 3 2 3 9 2 3" xfId="24792" xr:uid="{89E9B1D8-2299-4FD3-AFEE-29233E852431}"/>
    <cellStyle name="Currency 3 2 3 9 2 4" xfId="33239" xr:uid="{828857FB-1CD3-4A4D-B616-6A363F119A10}"/>
    <cellStyle name="Currency 3 2 3 9 3" xfId="12128" xr:uid="{B7B056B2-BEFA-40A7-9AB4-AF153C0F4D60}"/>
    <cellStyle name="Currency 3 2 3 9 4" xfId="20575" xr:uid="{9091D2D1-2A4E-4313-8E82-2BC57E9146B4}"/>
    <cellStyle name="Currency 3 2 3 9 5" xfId="29022" xr:uid="{F4E1F53F-5034-456E-A790-D93B1F8983DA}"/>
    <cellStyle name="Currency 3 2 4" xfId="184" xr:uid="{00000000-0005-0000-0000-00002C0B0000}"/>
    <cellStyle name="Currency 3 2 4 10" xfId="8997" xr:uid="{DF9FC022-A382-4135-990F-F43A472E13BA}"/>
    <cellStyle name="Currency 3 2 4 11" xfId="9747" xr:uid="{7FE7B53E-1384-449C-A8A5-3A36E22ADDC8}"/>
    <cellStyle name="Currency 3 2 4 12" xfId="18194" xr:uid="{9F36E2BC-CE73-4A0F-87E1-E66FAD82C02F}"/>
    <cellStyle name="Currency 3 2 4 13" xfId="26641" xr:uid="{96554381-7DC7-43CF-9BFA-E5E87E1B2E52}"/>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16523" xr:uid="{8D4E6986-4759-4FD8-A46F-5F68A5003866}"/>
    <cellStyle name="Currency 3 2 4 2 2 2 3" xfId="24970" xr:uid="{D5936F27-0F3E-4A2F-B328-FCA7E9498E11}"/>
    <cellStyle name="Currency 3 2 4 2 2 2 4" xfId="33417" xr:uid="{42331FD1-551A-40DA-A791-0045ECDA054B}"/>
    <cellStyle name="Currency 3 2 4 2 2 3" xfId="12306" xr:uid="{769E2918-A57B-43CF-9A2F-A4077C0790E0}"/>
    <cellStyle name="Currency 3 2 4 2 2 4" xfId="20753" xr:uid="{A1928439-1DB8-4049-AB44-ED4AF3EFF517}"/>
    <cellStyle name="Currency 3 2 4 2 2 5" xfId="29200" xr:uid="{43E44A78-CAAF-4340-9D06-0EE488E25CDA}"/>
    <cellStyle name="Currency 3 2 4 2 3" xfId="5052" xr:uid="{00000000-0005-0000-0000-0000300B0000}"/>
    <cellStyle name="Currency 3 2 4 2 3 2" xfId="14378" xr:uid="{7002BA7A-CFF3-404C-A667-B7DF20010980}"/>
    <cellStyle name="Currency 3 2 4 2 3 3" xfId="22825" xr:uid="{380CA838-65E9-4793-BA26-DBE5765D22C5}"/>
    <cellStyle name="Currency 3 2 4 2 3 4" xfId="31272" xr:uid="{DA6FCB18-357B-417D-800A-A8E0D6129272}"/>
    <cellStyle name="Currency 3 2 4 2 4" xfId="9422" xr:uid="{3049B7CE-611E-437A-AD0B-2E3AA5E2E50D}"/>
    <cellStyle name="Currency 3 2 4 2 5" xfId="10161" xr:uid="{3528D317-EF35-41CE-B140-F792CE63FF9A}"/>
    <cellStyle name="Currency 3 2 4 2 6" xfId="18608" xr:uid="{35A65E47-F063-4D1B-8C7B-8B7BCAB08C81}"/>
    <cellStyle name="Currency 3 2 4 2 7" xfId="27055" xr:uid="{8B4DF0D8-D7AE-4DA8-AC5D-A9FF6EEA2495}"/>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16936" xr:uid="{B4544111-71FB-4296-B420-AEF665ACA1AD}"/>
    <cellStyle name="Currency 3 2 4 3 2 2 3" xfId="25383" xr:uid="{61918A46-F262-4364-A1E0-835AE95773B3}"/>
    <cellStyle name="Currency 3 2 4 3 2 2 4" xfId="33830" xr:uid="{5531A814-BB81-4EA9-8217-213E94A1CECD}"/>
    <cellStyle name="Currency 3 2 4 3 2 3" xfId="12719" xr:uid="{FDE5A943-6696-48E3-A527-1352CA251B3E}"/>
    <cellStyle name="Currency 3 2 4 3 2 4" xfId="21166" xr:uid="{A6C2961A-8B87-4E70-AF9C-4C2E2501AAAA}"/>
    <cellStyle name="Currency 3 2 4 3 2 5" xfId="29613" xr:uid="{E44F59E7-280E-4A57-AADB-0CCCAA48C69E}"/>
    <cellStyle name="Currency 3 2 4 3 3" xfId="5465" xr:uid="{00000000-0005-0000-0000-0000340B0000}"/>
    <cellStyle name="Currency 3 2 4 3 3 2" xfId="14791" xr:uid="{53645308-0E01-4C13-BB48-A51C8A52BD4C}"/>
    <cellStyle name="Currency 3 2 4 3 3 3" xfId="23238" xr:uid="{91226DC5-CA06-4DB5-80FB-6F04E75FD7F3}"/>
    <cellStyle name="Currency 3 2 4 3 3 4" xfId="31685" xr:uid="{8DC1DBE8-3468-4F82-A8F8-C1BF227CFD7B}"/>
    <cellStyle name="Currency 3 2 4 3 4" xfId="10574" xr:uid="{4066745D-353A-4760-A848-34BFE343E9FB}"/>
    <cellStyle name="Currency 3 2 4 3 5" xfId="19021" xr:uid="{07689A26-4386-470D-9BC6-B62A523B063A}"/>
    <cellStyle name="Currency 3 2 4 3 6" xfId="27468" xr:uid="{775BDB80-A7D4-40E5-B39C-7937B7264DD2}"/>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17349" xr:uid="{6C2056F6-BD93-4CBE-9F28-3B2A0647B7AC}"/>
    <cellStyle name="Currency 3 2 4 4 2 2 3" xfId="25796" xr:uid="{530103CF-B1EB-4789-8B88-958F05B2A86B}"/>
    <cellStyle name="Currency 3 2 4 4 2 2 4" xfId="34243" xr:uid="{137A14C8-5078-4965-8805-574925B1147F}"/>
    <cellStyle name="Currency 3 2 4 4 2 3" xfId="13132" xr:uid="{D53F2987-8D4C-4154-9238-51A6447BF6D7}"/>
    <cellStyle name="Currency 3 2 4 4 2 4" xfId="21579" xr:uid="{3283F3C7-329E-4E1E-8F00-4CC8719979CC}"/>
    <cellStyle name="Currency 3 2 4 4 2 5" xfId="30026" xr:uid="{3FD1CF45-17BB-4A8A-861D-ABAF90B268B8}"/>
    <cellStyle name="Currency 3 2 4 4 3" xfId="5878" xr:uid="{00000000-0005-0000-0000-0000380B0000}"/>
    <cellStyle name="Currency 3 2 4 4 3 2" xfId="15204" xr:uid="{69CC0D57-4537-4286-B8D4-2555AEC03030}"/>
    <cellStyle name="Currency 3 2 4 4 3 3" xfId="23651" xr:uid="{6084D55A-AACF-43D3-ADA6-4F372DFBAEA3}"/>
    <cellStyle name="Currency 3 2 4 4 3 4" xfId="32098" xr:uid="{ACA6FB56-4379-4549-9728-ABED901099F9}"/>
    <cellStyle name="Currency 3 2 4 4 4" xfId="10987" xr:uid="{A5F8F695-5951-43F2-89C8-5F212FE7843A}"/>
    <cellStyle name="Currency 3 2 4 4 5" xfId="19434" xr:uid="{11E5E276-5DD9-4CB8-AF6F-08971499F443}"/>
    <cellStyle name="Currency 3 2 4 4 6" xfId="27881" xr:uid="{E84F75A7-455B-46DF-BD7C-E84A3B53DD0D}"/>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17762" xr:uid="{589A256B-F7B5-45FA-AEF8-CA1263215BD2}"/>
    <cellStyle name="Currency 3 2 4 5 2 2 3" xfId="26209" xr:uid="{DB02BDE4-266B-4314-983C-2A38EDA3B395}"/>
    <cellStyle name="Currency 3 2 4 5 2 2 4" xfId="34656" xr:uid="{CFA7E7BC-4FF4-4F60-AC58-8030A356B58C}"/>
    <cellStyle name="Currency 3 2 4 5 2 3" xfId="13545" xr:uid="{7A3E336F-49BF-428F-B316-B067F138392A}"/>
    <cellStyle name="Currency 3 2 4 5 2 4" xfId="21992" xr:uid="{C85CE990-DE75-445B-B0BA-E4D4CE7A6CA4}"/>
    <cellStyle name="Currency 3 2 4 5 2 5" xfId="30439" xr:uid="{5EC2946B-C45E-49EB-A090-4B9EDF9FDDE6}"/>
    <cellStyle name="Currency 3 2 4 5 3" xfId="6291" xr:uid="{00000000-0005-0000-0000-00003C0B0000}"/>
    <cellStyle name="Currency 3 2 4 5 3 2" xfId="15617" xr:uid="{04C54CAB-F4CC-4374-BDC8-3362FEA8639B}"/>
    <cellStyle name="Currency 3 2 4 5 3 3" xfId="24064" xr:uid="{45DF15FE-34EC-45E4-AE68-280463699A8D}"/>
    <cellStyle name="Currency 3 2 4 5 3 4" xfId="32511" xr:uid="{C5172FF8-0908-43CB-BD1E-C5772FE80D81}"/>
    <cellStyle name="Currency 3 2 4 5 4" xfId="11400" xr:uid="{71D68E32-0ECA-4872-B2D6-B32DDDDF20A6}"/>
    <cellStyle name="Currency 3 2 4 5 5" xfId="19847" xr:uid="{3EF4FE7F-7416-401F-836A-F952A4D3D8EF}"/>
    <cellStyle name="Currency 3 2 4 5 6" xfId="28294" xr:uid="{83EEDD68-0CD4-473C-B3D7-CDFE9B5C0135}"/>
    <cellStyle name="Currency 3 2 4 6" xfId="2420" xr:uid="{00000000-0005-0000-0000-00003D0B0000}"/>
    <cellStyle name="Currency 3 2 4 6 2" xfId="6704" xr:uid="{00000000-0005-0000-0000-00003E0B0000}"/>
    <cellStyle name="Currency 3 2 4 6 2 2" xfId="16030" xr:uid="{32C8320C-4615-45AB-9EC9-65DAF8414FB1}"/>
    <cellStyle name="Currency 3 2 4 6 2 3" xfId="24477" xr:uid="{349B9CB5-4396-4D4A-8B7C-AD5434A8C583}"/>
    <cellStyle name="Currency 3 2 4 6 2 4" xfId="32924" xr:uid="{8E7C4CBE-AFEB-4758-B034-98B44CE5ED59}"/>
    <cellStyle name="Currency 3 2 4 6 3" xfId="11813" xr:uid="{90E01CDB-7568-47DC-8F0E-61D584F48BF5}"/>
    <cellStyle name="Currency 3 2 4 6 4" xfId="20260" xr:uid="{76520F77-3255-4751-AE0D-6BCC1B602A83}"/>
    <cellStyle name="Currency 3 2 4 6 5" xfId="28707" xr:uid="{B2ADC236-BAF5-4EA8-9CB8-8BE90FC434E5}"/>
    <cellStyle name="Currency 3 2 4 7" xfId="2717" xr:uid="{00000000-0005-0000-0000-00003F0B0000}"/>
    <cellStyle name="Currency 3 2 4 8" xfId="2798" xr:uid="{00000000-0005-0000-0000-0000400B0000}"/>
    <cellStyle name="Currency 3 2 4 8 2" xfId="7021" xr:uid="{00000000-0005-0000-0000-0000410B0000}"/>
    <cellStyle name="Currency 3 2 4 8 2 2" xfId="16347" xr:uid="{968C29A0-F0E4-481A-B58F-83B2BF585D37}"/>
    <cellStyle name="Currency 3 2 4 8 2 3" xfId="24794" xr:uid="{F1E81C34-3CC4-4748-AD9C-7EA38B16041D}"/>
    <cellStyle name="Currency 3 2 4 8 2 4" xfId="33241" xr:uid="{C883178B-EC67-4858-8A20-0ABF567515E4}"/>
    <cellStyle name="Currency 3 2 4 8 3" xfId="12130" xr:uid="{2FDD6CD5-CC47-46D7-8A99-D7420AD1A65C}"/>
    <cellStyle name="Currency 3 2 4 8 4" xfId="20577" xr:uid="{F487DCC3-3E06-4F8B-8358-8839865F4F7E}"/>
    <cellStyle name="Currency 3 2 4 8 5" xfId="29024" xr:uid="{1639EAC3-0091-4C2E-9628-DFB64E924DF0}"/>
    <cellStyle name="Currency 3 2 4 9" xfId="4638" xr:uid="{00000000-0005-0000-0000-0000420B0000}"/>
    <cellStyle name="Currency 3 2 4 9 2" xfId="13964" xr:uid="{4069EF65-6F4C-4029-9B50-C846EAAB1A23}"/>
    <cellStyle name="Currency 3 2 4 9 3" xfId="22411" xr:uid="{E52323D2-A28E-4A5F-83BE-FA9F2CEC20A8}"/>
    <cellStyle name="Currency 3 2 4 9 4" xfId="30858" xr:uid="{FA26C4B9-F8BB-4C30-B767-EDBFDAA15AF3}"/>
    <cellStyle name="Currency 3 2 5" xfId="185" xr:uid="{00000000-0005-0000-0000-0000430B0000}"/>
    <cellStyle name="Currency 3 2 5 10" xfId="9214" xr:uid="{3D0A867F-0B9D-4759-A509-3EC1084E197B}"/>
    <cellStyle name="Currency 3 2 5 11" xfId="9748" xr:uid="{63F9E9BA-F615-44DA-B6FF-FC1D617B298B}"/>
    <cellStyle name="Currency 3 2 5 12" xfId="18195" xr:uid="{0F4D8C4A-2B27-4E6A-A0A7-9D0C071769D1}"/>
    <cellStyle name="Currency 3 2 5 13" xfId="26642" xr:uid="{EC2BD79E-333D-45E4-899A-6638D8499F4D}"/>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16524" xr:uid="{5149DCB5-8A03-408C-AD2D-DED4BBE20CC0}"/>
    <cellStyle name="Currency 3 2 5 2 2 2 3" xfId="24971" xr:uid="{A865A15C-D97C-4DB7-B004-BA553185478B}"/>
    <cellStyle name="Currency 3 2 5 2 2 2 4" xfId="33418" xr:uid="{1C78099B-C458-4262-BC22-62339ADB8080}"/>
    <cellStyle name="Currency 3 2 5 2 2 3" xfId="12307" xr:uid="{352DD213-07D7-4EDB-B601-70F7018CD2C3}"/>
    <cellStyle name="Currency 3 2 5 2 2 4" xfId="20754" xr:uid="{2BE1B565-549D-44E4-B621-8F06929CF6D5}"/>
    <cellStyle name="Currency 3 2 5 2 2 5" xfId="29201" xr:uid="{20DD0D75-E03B-48E8-8E4E-81D37DAF1865}"/>
    <cellStyle name="Currency 3 2 5 2 3" xfId="5053" xr:uid="{00000000-0005-0000-0000-0000470B0000}"/>
    <cellStyle name="Currency 3 2 5 2 3 2" xfId="14379" xr:uid="{2DF96988-CB07-44B4-AF83-D65E7F32FC74}"/>
    <cellStyle name="Currency 3 2 5 2 3 3" xfId="22826" xr:uid="{DCAD370A-52D8-4C91-AD46-E82A7C960712}"/>
    <cellStyle name="Currency 3 2 5 2 3 4" xfId="31273" xr:uid="{082FAF71-E539-45EA-BA3C-10588B36EAEB}"/>
    <cellStyle name="Currency 3 2 5 2 4" xfId="9597" xr:uid="{6E2F978E-96E4-4AD8-B4BD-1BE9D7E96A2F}"/>
    <cellStyle name="Currency 3 2 5 2 5" xfId="10162" xr:uid="{16D2EDE2-327F-4518-B3A1-7E28AA047068}"/>
    <cellStyle name="Currency 3 2 5 2 6" xfId="18609" xr:uid="{BF999222-DD08-45F1-BF87-478DB878FD78}"/>
    <cellStyle name="Currency 3 2 5 2 7" xfId="27056" xr:uid="{DE458D2F-4319-4C76-BDE2-CD9E3A3E8527}"/>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16937" xr:uid="{A5A101FC-625E-4194-8BCC-8CA5729E5100}"/>
    <cellStyle name="Currency 3 2 5 3 2 2 3" xfId="25384" xr:uid="{4632B8CE-918B-4525-9EE3-2FBBBF15851F}"/>
    <cellStyle name="Currency 3 2 5 3 2 2 4" xfId="33831" xr:uid="{E43FA6EA-40A0-4001-B108-1887DFFF05BF}"/>
    <cellStyle name="Currency 3 2 5 3 2 3" xfId="12720" xr:uid="{71AB7B2C-A033-4B6D-A279-97232602FCBA}"/>
    <cellStyle name="Currency 3 2 5 3 2 4" xfId="21167" xr:uid="{286941A6-5FA9-4B93-8ADB-FCBEB6314D42}"/>
    <cellStyle name="Currency 3 2 5 3 2 5" xfId="29614" xr:uid="{5BF222AF-064C-498B-B9DA-34741CB0A69F}"/>
    <cellStyle name="Currency 3 2 5 3 3" xfId="5466" xr:uid="{00000000-0005-0000-0000-00004B0B0000}"/>
    <cellStyle name="Currency 3 2 5 3 3 2" xfId="14792" xr:uid="{4EB69A4F-A0F3-4844-B6E6-F9B23E14815D}"/>
    <cellStyle name="Currency 3 2 5 3 3 3" xfId="23239" xr:uid="{47BEDC2E-D9F9-455E-B80D-CB4FF64D7A76}"/>
    <cellStyle name="Currency 3 2 5 3 3 4" xfId="31686" xr:uid="{0298458F-6D3E-422B-A05D-A11495AD5C34}"/>
    <cellStyle name="Currency 3 2 5 3 4" xfId="10575" xr:uid="{CB0C279F-FB86-48D5-8F14-71F464EAB58A}"/>
    <cellStyle name="Currency 3 2 5 3 5" xfId="19022" xr:uid="{B8413E33-1F4E-4A06-B714-3E7C5A6FD117}"/>
    <cellStyle name="Currency 3 2 5 3 6" xfId="27469" xr:uid="{2342EECC-8A3B-42B5-A096-B8EBE8C65ACD}"/>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17350" xr:uid="{3EA414FA-A22E-4C5C-A6C5-FEA6FAFBAA5A}"/>
    <cellStyle name="Currency 3 2 5 4 2 2 3" xfId="25797" xr:uid="{99D38FA2-AF14-4AEA-A2DF-A80F8EEE6931}"/>
    <cellStyle name="Currency 3 2 5 4 2 2 4" xfId="34244" xr:uid="{3FB7643D-0D8E-42D3-B3FB-DA387E35B95F}"/>
    <cellStyle name="Currency 3 2 5 4 2 3" xfId="13133" xr:uid="{F9C5A33E-ED82-4472-81C4-A861D3855366}"/>
    <cellStyle name="Currency 3 2 5 4 2 4" xfId="21580" xr:uid="{98CC4E06-3C4F-4159-9271-5BB3C9F9E90B}"/>
    <cellStyle name="Currency 3 2 5 4 2 5" xfId="30027" xr:uid="{E2F64EBA-84C8-436C-B81A-F25AC06EBE6F}"/>
    <cellStyle name="Currency 3 2 5 4 3" xfId="5879" xr:uid="{00000000-0005-0000-0000-00004F0B0000}"/>
    <cellStyle name="Currency 3 2 5 4 3 2" xfId="15205" xr:uid="{762C97B7-5DD4-4233-94E8-437CCBF41E4B}"/>
    <cellStyle name="Currency 3 2 5 4 3 3" xfId="23652" xr:uid="{4D507521-AA9F-4021-885C-04BCAB94E934}"/>
    <cellStyle name="Currency 3 2 5 4 3 4" xfId="32099" xr:uid="{01ADF4BD-2159-425D-A088-59A5DDE9965E}"/>
    <cellStyle name="Currency 3 2 5 4 4" xfId="10988" xr:uid="{94E7A41F-AF63-4321-8EBD-979AFAC2E524}"/>
    <cellStyle name="Currency 3 2 5 4 5" xfId="19435" xr:uid="{C06E76B9-D996-441D-A3C7-C89038D91E3F}"/>
    <cellStyle name="Currency 3 2 5 4 6" xfId="27882" xr:uid="{069C3B17-C414-4802-A074-1B9A5DC05FDB}"/>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17763" xr:uid="{633DD7CB-2A64-4A53-A1F8-A929A1F38E61}"/>
    <cellStyle name="Currency 3 2 5 5 2 2 3" xfId="26210" xr:uid="{71CE9BFA-B34D-4E4D-A724-A4A9FAC8B0A4}"/>
    <cellStyle name="Currency 3 2 5 5 2 2 4" xfId="34657" xr:uid="{88CDD570-9F7E-443A-853B-BA45360D41F7}"/>
    <cellStyle name="Currency 3 2 5 5 2 3" xfId="13546" xr:uid="{D1432CA1-06A7-42A5-9BC2-1192D9DEB6EE}"/>
    <cellStyle name="Currency 3 2 5 5 2 4" xfId="21993" xr:uid="{72856747-80FA-4F46-82DE-09D67C1CC610}"/>
    <cellStyle name="Currency 3 2 5 5 2 5" xfId="30440" xr:uid="{148F06BB-B69B-4E4E-B064-C905A218FBEA}"/>
    <cellStyle name="Currency 3 2 5 5 3" xfId="6292" xr:uid="{00000000-0005-0000-0000-0000530B0000}"/>
    <cellStyle name="Currency 3 2 5 5 3 2" xfId="15618" xr:uid="{F4CBB281-2961-4B28-AC0E-E1DFC4E53284}"/>
    <cellStyle name="Currency 3 2 5 5 3 3" xfId="24065" xr:uid="{1B1C64E3-B524-4AD7-B83E-F9584407FDF2}"/>
    <cellStyle name="Currency 3 2 5 5 3 4" xfId="32512" xr:uid="{7D74683B-1D3C-4C32-A15C-BC1AEB8EA0E7}"/>
    <cellStyle name="Currency 3 2 5 5 4" xfId="11401" xr:uid="{22010D38-4D3B-46A9-A023-DAD6C8ABF045}"/>
    <cellStyle name="Currency 3 2 5 5 5" xfId="19848" xr:uid="{76269D51-16FC-445E-87C9-1446CC035A82}"/>
    <cellStyle name="Currency 3 2 5 5 6" xfId="28295" xr:uid="{3D587198-E349-40A4-B89A-D5FA0A880ADB}"/>
    <cellStyle name="Currency 3 2 5 6" xfId="2421" xr:uid="{00000000-0005-0000-0000-0000540B0000}"/>
    <cellStyle name="Currency 3 2 5 6 2" xfId="6705" xr:uid="{00000000-0005-0000-0000-0000550B0000}"/>
    <cellStyle name="Currency 3 2 5 6 2 2" xfId="16031" xr:uid="{7C56882F-BA60-44B0-9BE5-20821ACA8124}"/>
    <cellStyle name="Currency 3 2 5 6 2 3" xfId="24478" xr:uid="{861FA706-D0BE-4396-A1B2-BC080D400496}"/>
    <cellStyle name="Currency 3 2 5 6 2 4" xfId="32925" xr:uid="{24E8E857-F5A5-4D64-A8D5-3C795D2DD69C}"/>
    <cellStyle name="Currency 3 2 5 6 3" xfId="11814" xr:uid="{85927CF8-8291-4C25-8ED2-2E2D54420998}"/>
    <cellStyle name="Currency 3 2 5 6 4" xfId="20261" xr:uid="{77D3CD4F-D27D-47CE-903D-5B9EAD45C713}"/>
    <cellStyle name="Currency 3 2 5 6 5" xfId="28708" xr:uid="{9C416213-8BCF-419C-B69B-BF71DC233FEC}"/>
    <cellStyle name="Currency 3 2 5 7" xfId="2718" xr:uid="{00000000-0005-0000-0000-0000560B0000}"/>
    <cellStyle name="Currency 3 2 5 8" xfId="2799" xr:uid="{00000000-0005-0000-0000-0000570B0000}"/>
    <cellStyle name="Currency 3 2 5 8 2" xfId="7022" xr:uid="{00000000-0005-0000-0000-0000580B0000}"/>
    <cellStyle name="Currency 3 2 5 8 2 2" xfId="16348" xr:uid="{F2DBBAE3-B2F4-4CE1-891A-AF94DA8A7BE8}"/>
    <cellStyle name="Currency 3 2 5 8 2 3" xfId="24795" xr:uid="{6A728F0A-C3A1-4ED8-AAF0-D2A9B1CAEFAC}"/>
    <cellStyle name="Currency 3 2 5 8 2 4" xfId="33242" xr:uid="{E1C2D1EB-4467-40A8-9618-39549F23CC54}"/>
    <cellStyle name="Currency 3 2 5 8 3" xfId="12131" xr:uid="{B5752142-B2ED-4E7F-8F99-C572E5DFF2D1}"/>
    <cellStyle name="Currency 3 2 5 8 4" xfId="20578" xr:uid="{1485A8D5-CA66-43B7-99C9-438706DB9609}"/>
    <cellStyle name="Currency 3 2 5 8 5" xfId="29025" xr:uid="{475B133F-64DB-4917-8E79-3D16D94F797B}"/>
    <cellStyle name="Currency 3 2 5 9" xfId="4639" xr:uid="{00000000-0005-0000-0000-0000590B0000}"/>
    <cellStyle name="Currency 3 2 5 9 2" xfId="13965" xr:uid="{7EAA0105-2252-4873-AED9-38632D8BDA38}"/>
    <cellStyle name="Currency 3 2 5 9 3" xfId="22412" xr:uid="{DBD4F2D4-9AD7-4FFE-9F85-314C60FA88EB}"/>
    <cellStyle name="Currency 3 2 5 9 4" xfId="30859" xr:uid="{139A7987-8633-4F2A-B650-EE78ACFCBA5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16349" xr:uid="{2BD37610-B918-4C0C-ADC4-C023FB40E31F}"/>
    <cellStyle name="Currency 5 2 2 2 10 2 3" xfId="24796" xr:uid="{F02C4DC6-BBEC-4A4A-9009-BC8C868FC7A0}"/>
    <cellStyle name="Currency 5 2 2 2 10 2 4" xfId="33243" xr:uid="{09E3CD60-8D17-4ED5-BB4A-E1BC61B856B3}"/>
    <cellStyle name="Currency 5 2 2 2 10 3" xfId="12132" xr:uid="{580223D8-CE22-46C5-93DB-83FBB2774CE2}"/>
    <cellStyle name="Currency 5 2 2 2 10 4" xfId="20579" xr:uid="{E067B14A-E248-41D4-A8EC-0550C2E84593}"/>
    <cellStyle name="Currency 5 2 2 2 10 5" xfId="29026" xr:uid="{68A0185E-225C-4EB0-9368-CD06E7D23994}"/>
    <cellStyle name="Currency 5 2 2 2 11" xfId="4640" xr:uid="{00000000-0005-0000-0000-00006C0B0000}"/>
    <cellStyle name="Currency 5 2 2 2 11 2" xfId="13966" xr:uid="{B6EE44DB-9753-481C-86C5-52EFA55F59D1}"/>
    <cellStyle name="Currency 5 2 2 2 11 3" xfId="22413" xr:uid="{01565AF9-F9CC-439F-86BF-A5DAFEF0E69A}"/>
    <cellStyle name="Currency 5 2 2 2 11 4" xfId="30860" xr:uid="{970F2D63-484A-49A9-A6A3-17FC9706204C}"/>
    <cellStyle name="Currency 5 2 2 2 12" xfId="8809" xr:uid="{6E2B58BA-BC61-49BF-A0FE-5BC79A050654}"/>
    <cellStyle name="Currency 5 2 2 2 13" xfId="9749" xr:uid="{5120CDFC-CBE0-46D4-8755-40424E05A68A}"/>
    <cellStyle name="Currency 5 2 2 2 14" xfId="18196" xr:uid="{D580D493-572D-4DA8-91F9-2989DDE29400}"/>
    <cellStyle name="Currency 5 2 2 2 15" xfId="26643" xr:uid="{D8F88EB1-546C-4117-830E-9D428D080317}"/>
    <cellStyle name="Currency 5 2 2 2 2" xfId="197" xr:uid="{00000000-0005-0000-0000-00006D0B0000}"/>
    <cellStyle name="Currency 5 2 2 2 2 10" xfId="4641" xr:uid="{00000000-0005-0000-0000-00006E0B0000}"/>
    <cellStyle name="Currency 5 2 2 2 2 10 2" xfId="13967" xr:uid="{4BFC5530-4DED-4290-BC2F-1CF4284BB5D2}"/>
    <cellStyle name="Currency 5 2 2 2 2 10 3" xfId="22414" xr:uid="{80893DFB-9352-415C-BF35-99694E564D23}"/>
    <cellStyle name="Currency 5 2 2 2 2 10 4" xfId="30861" xr:uid="{C2AF0550-E51E-4B1B-94A1-DAC980C3CDFB}"/>
    <cellStyle name="Currency 5 2 2 2 2 11" xfId="8912" xr:uid="{4079D27E-F98B-4445-AE20-FFD848158756}"/>
    <cellStyle name="Currency 5 2 2 2 2 12" xfId="9750" xr:uid="{87B08001-FF27-4E6F-9C48-7F16A104E9BC}"/>
    <cellStyle name="Currency 5 2 2 2 2 13" xfId="18197" xr:uid="{1F34319D-1357-4042-B03B-4D468B8E431B}"/>
    <cellStyle name="Currency 5 2 2 2 2 14" xfId="26644" xr:uid="{BCFF7A99-E37F-439B-A770-3981E6C1B637}"/>
    <cellStyle name="Currency 5 2 2 2 2 2" xfId="198" xr:uid="{00000000-0005-0000-0000-00006F0B0000}"/>
    <cellStyle name="Currency 5 2 2 2 2 2 10" xfId="9119" xr:uid="{2B97CFE9-E9FD-476D-A341-C695293642F3}"/>
    <cellStyle name="Currency 5 2 2 2 2 2 11" xfId="9751" xr:uid="{AE0FDFBC-F1C0-4348-BC6E-EF3CB07A91B9}"/>
    <cellStyle name="Currency 5 2 2 2 2 2 12" xfId="18198" xr:uid="{8584F98E-3AE5-432C-9917-CFDD74F54350}"/>
    <cellStyle name="Currency 5 2 2 2 2 2 13" xfId="26645" xr:uid="{50BF2930-C975-4C66-834C-4865F0DE4A5A}"/>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16527" xr:uid="{A558548B-4FF6-46ED-A22B-35FE9F0D088A}"/>
    <cellStyle name="Currency 5 2 2 2 2 2 2 2 2 3" xfId="24974" xr:uid="{A73401AC-A095-46D1-A22B-DF673CFAF2BF}"/>
    <cellStyle name="Currency 5 2 2 2 2 2 2 2 2 4" xfId="33421" xr:uid="{89A76370-3AAF-4CA6-BB68-182A0E11AAD0}"/>
    <cellStyle name="Currency 5 2 2 2 2 2 2 2 3" xfId="12310" xr:uid="{8C73B776-4707-4CBB-BE4E-2AD1B11EFE76}"/>
    <cellStyle name="Currency 5 2 2 2 2 2 2 2 4" xfId="20757" xr:uid="{31ACC952-C4CC-4D3F-BDB0-D70596E76F1E}"/>
    <cellStyle name="Currency 5 2 2 2 2 2 2 2 5" xfId="29204" xr:uid="{3E236D18-1FE4-4D0A-9245-5394AA0C413B}"/>
    <cellStyle name="Currency 5 2 2 2 2 2 2 3" xfId="5056" xr:uid="{00000000-0005-0000-0000-0000730B0000}"/>
    <cellStyle name="Currency 5 2 2 2 2 2 2 3 2" xfId="14382" xr:uid="{2AA911D9-7CF3-4700-B7CE-0C2386D72CC3}"/>
    <cellStyle name="Currency 5 2 2 2 2 2 2 3 3" xfId="22829" xr:uid="{F49853B9-04E5-41AB-8172-F0726404C53F}"/>
    <cellStyle name="Currency 5 2 2 2 2 2 2 3 4" xfId="31276" xr:uid="{E4A18FC5-8048-4263-8E70-DEB1C51C3A55}"/>
    <cellStyle name="Currency 5 2 2 2 2 2 2 4" xfId="9544" xr:uid="{77881B28-843C-4677-B92C-D2A5804BDB97}"/>
    <cellStyle name="Currency 5 2 2 2 2 2 2 5" xfId="10165" xr:uid="{FF5E1637-7233-4D41-B810-40A0E4310A58}"/>
    <cellStyle name="Currency 5 2 2 2 2 2 2 6" xfId="18612" xr:uid="{0DD27567-2832-4A9B-8B20-1FECDE8E4593}"/>
    <cellStyle name="Currency 5 2 2 2 2 2 2 7" xfId="27059" xr:uid="{8DA505E4-42DC-4C4D-B940-A77286739458}"/>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16940" xr:uid="{8888B69B-E1A1-4F2D-8D51-E782D7B334F1}"/>
    <cellStyle name="Currency 5 2 2 2 2 2 3 2 2 3" xfId="25387" xr:uid="{B35A5A81-B429-4264-A009-DDEB77B1AD9E}"/>
    <cellStyle name="Currency 5 2 2 2 2 2 3 2 2 4" xfId="33834" xr:uid="{C9D0CD0C-80FA-4FEF-80B8-1167096194B7}"/>
    <cellStyle name="Currency 5 2 2 2 2 2 3 2 3" xfId="12723" xr:uid="{C2AF4AA4-65A5-42A8-A141-D83A8A0DE8B7}"/>
    <cellStyle name="Currency 5 2 2 2 2 2 3 2 4" xfId="21170" xr:uid="{ADA61349-80D4-4E08-9527-10FCF99BB125}"/>
    <cellStyle name="Currency 5 2 2 2 2 2 3 2 5" xfId="29617" xr:uid="{61075AE4-FB51-4287-8EDE-FA702D8EA8EC}"/>
    <cellStyle name="Currency 5 2 2 2 2 2 3 3" xfId="5469" xr:uid="{00000000-0005-0000-0000-0000770B0000}"/>
    <cellStyle name="Currency 5 2 2 2 2 2 3 3 2" xfId="14795" xr:uid="{8BB25B43-193D-48E3-B1C5-136A1656AB0B}"/>
    <cellStyle name="Currency 5 2 2 2 2 2 3 3 3" xfId="23242" xr:uid="{0B3FD353-5108-450C-9EB5-028AF46952B9}"/>
    <cellStyle name="Currency 5 2 2 2 2 2 3 3 4" xfId="31689" xr:uid="{53253A73-6D5E-42A0-BBF8-F01C1177D960}"/>
    <cellStyle name="Currency 5 2 2 2 2 2 3 4" xfId="10578" xr:uid="{45DA5933-9579-4ACD-99B8-116C4FA510EF}"/>
    <cellStyle name="Currency 5 2 2 2 2 2 3 5" xfId="19025" xr:uid="{8FC500FE-AF43-48F3-B9B6-F2CA217976EF}"/>
    <cellStyle name="Currency 5 2 2 2 2 2 3 6" xfId="27472" xr:uid="{C32ED2B5-8B5C-4510-BA73-560FCECDC0D5}"/>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17353" xr:uid="{FC2927FB-9660-4106-85A7-2C3B87EEABFE}"/>
    <cellStyle name="Currency 5 2 2 2 2 2 4 2 2 3" xfId="25800" xr:uid="{9AAA43A9-57AA-4C96-B2E7-8E8D2EA39D8C}"/>
    <cellStyle name="Currency 5 2 2 2 2 2 4 2 2 4" xfId="34247" xr:uid="{0BCE03C5-09CA-4D33-A543-62D65D724009}"/>
    <cellStyle name="Currency 5 2 2 2 2 2 4 2 3" xfId="13136" xr:uid="{C508DF42-9F3E-466C-B518-A71B1A1C40A2}"/>
    <cellStyle name="Currency 5 2 2 2 2 2 4 2 4" xfId="21583" xr:uid="{87B2653C-6A0B-43BB-8AA7-833D3933D3A4}"/>
    <cellStyle name="Currency 5 2 2 2 2 2 4 2 5" xfId="30030" xr:uid="{A83D446E-DC3D-4583-BF93-A380333B8133}"/>
    <cellStyle name="Currency 5 2 2 2 2 2 4 3" xfId="5882" xr:uid="{00000000-0005-0000-0000-00007B0B0000}"/>
    <cellStyle name="Currency 5 2 2 2 2 2 4 3 2" xfId="15208" xr:uid="{F30D1CF9-B581-4AC9-9F9C-16694D72B2DE}"/>
    <cellStyle name="Currency 5 2 2 2 2 2 4 3 3" xfId="23655" xr:uid="{61933C7A-E347-4443-B1B0-DC7CDA8002B9}"/>
    <cellStyle name="Currency 5 2 2 2 2 2 4 3 4" xfId="32102" xr:uid="{BAF77F4D-36C8-47ED-A9A5-01E473DAB430}"/>
    <cellStyle name="Currency 5 2 2 2 2 2 4 4" xfId="10991" xr:uid="{A03C59AA-5F1D-4206-9947-999C0CA48D80}"/>
    <cellStyle name="Currency 5 2 2 2 2 2 4 5" xfId="19438" xr:uid="{3D814036-FB87-4682-9E75-D0D323A69424}"/>
    <cellStyle name="Currency 5 2 2 2 2 2 4 6" xfId="27885" xr:uid="{0624CE8B-1C16-4219-8DBB-0D59DC6B3BBC}"/>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17766" xr:uid="{7678AC32-1CD4-4983-AFDF-556ACBD10B8D}"/>
    <cellStyle name="Currency 5 2 2 2 2 2 5 2 2 3" xfId="26213" xr:uid="{8F5B9ECD-7C73-4759-B929-66EEDF39342E}"/>
    <cellStyle name="Currency 5 2 2 2 2 2 5 2 2 4" xfId="34660" xr:uid="{F57C3967-104D-4EE1-8608-77D9DD04DD41}"/>
    <cellStyle name="Currency 5 2 2 2 2 2 5 2 3" xfId="13549" xr:uid="{D342A851-F208-4CDB-BF6D-88A81D253000}"/>
    <cellStyle name="Currency 5 2 2 2 2 2 5 2 4" xfId="21996" xr:uid="{8043FF16-220C-408B-AFDC-96E358BF688A}"/>
    <cellStyle name="Currency 5 2 2 2 2 2 5 2 5" xfId="30443" xr:uid="{A2EDCCC1-3A2A-4492-9235-D2B5FAF55AB4}"/>
    <cellStyle name="Currency 5 2 2 2 2 2 5 3" xfId="6295" xr:uid="{00000000-0005-0000-0000-00007F0B0000}"/>
    <cellStyle name="Currency 5 2 2 2 2 2 5 3 2" xfId="15621" xr:uid="{F6F0A6C7-6096-4869-AA15-6F03BAAA22F9}"/>
    <cellStyle name="Currency 5 2 2 2 2 2 5 3 3" xfId="24068" xr:uid="{28331878-BE0B-47CD-8A36-4555BCC1E89E}"/>
    <cellStyle name="Currency 5 2 2 2 2 2 5 3 4" xfId="32515" xr:uid="{C1C36BA7-3797-47E0-B683-D252862CF832}"/>
    <cellStyle name="Currency 5 2 2 2 2 2 5 4" xfId="11404" xr:uid="{412F131A-2899-422F-8927-110868B56A00}"/>
    <cellStyle name="Currency 5 2 2 2 2 2 5 5" xfId="19851" xr:uid="{C5DDE3FA-6F4D-45BA-B077-A955767D18D8}"/>
    <cellStyle name="Currency 5 2 2 2 2 2 5 6" xfId="28298" xr:uid="{F54AA2F5-37AB-4D7C-82A5-470DC09A9172}"/>
    <cellStyle name="Currency 5 2 2 2 2 2 6" xfId="2424" xr:uid="{00000000-0005-0000-0000-0000800B0000}"/>
    <cellStyle name="Currency 5 2 2 2 2 2 6 2" xfId="6708" xr:uid="{00000000-0005-0000-0000-0000810B0000}"/>
    <cellStyle name="Currency 5 2 2 2 2 2 6 2 2" xfId="16034" xr:uid="{3AA9B5D3-DA8A-4A4A-AE7E-9B8DD9B655CC}"/>
    <cellStyle name="Currency 5 2 2 2 2 2 6 2 3" xfId="24481" xr:uid="{77C36CF4-2D30-4204-A88F-22E8BB9DDA9D}"/>
    <cellStyle name="Currency 5 2 2 2 2 2 6 2 4" xfId="32928" xr:uid="{14D949ED-B3E4-4C82-B343-876E5365F8DC}"/>
    <cellStyle name="Currency 5 2 2 2 2 2 6 3" xfId="11817" xr:uid="{1BC64916-4ED5-4C05-8C84-ED4C5E7ECA0E}"/>
    <cellStyle name="Currency 5 2 2 2 2 2 6 4" xfId="20264" xr:uid="{836BEB63-CBBD-463A-B020-ACB26676962F}"/>
    <cellStyle name="Currency 5 2 2 2 2 2 6 5" xfId="28711" xr:uid="{02177D32-74BC-4FCA-87BC-5017FDF5820E}"/>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16351" xr:uid="{DEC7479D-1DE4-45C7-B5D6-E61F5AE72074}"/>
    <cellStyle name="Currency 5 2 2 2 2 2 8 2 3" xfId="24798" xr:uid="{64D66037-7AF5-472C-B4F6-C064CDADBD57}"/>
    <cellStyle name="Currency 5 2 2 2 2 2 8 2 4" xfId="33245" xr:uid="{F60D4623-7A25-42F8-A2B1-698D898F37ED}"/>
    <cellStyle name="Currency 5 2 2 2 2 2 8 3" xfId="12134" xr:uid="{C9A838E3-4CF3-4AE2-A9F0-2A67722FFB63}"/>
    <cellStyle name="Currency 5 2 2 2 2 2 8 4" xfId="20581" xr:uid="{7FB19215-BC78-4D36-A3C7-E833D28AFE0F}"/>
    <cellStyle name="Currency 5 2 2 2 2 2 8 5" xfId="29028" xr:uid="{412B36D7-7A3C-4E2F-A0E3-A458E9CFE873}"/>
    <cellStyle name="Currency 5 2 2 2 2 2 9" xfId="4642" xr:uid="{00000000-0005-0000-0000-0000850B0000}"/>
    <cellStyle name="Currency 5 2 2 2 2 2 9 2" xfId="13968" xr:uid="{CB7CE5B6-F247-4AD6-A8AB-6127420FDF81}"/>
    <cellStyle name="Currency 5 2 2 2 2 2 9 3" xfId="22415" xr:uid="{B2A274E0-79AB-4841-95BC-C0819AA4FA87}"/>
    <cellStyle name="Currency 5 2 2 2 2 2 9 4" xfId="30862" xr:uid="{6D00F36E-A817-4179-AA6D-4AF58CBFEDFE}"/>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16526" xr:uid="{5490F067-0556-4F95-BD52-D39E9726FC47}"/>
    <cellStyle name="Currency 5 2 2 2 2 3 2 2 3" xfId="24973" xr:uid="{9D1F4FA4-2B36-46AF-A3D6-73C5EEF802A8}"/>
    <cellStyle name="Currency 5 2 2 2 2 3 2 2 4" xfId="33420" xr:uid="{1E841998-B49D-43D3-8FF1-FEFDE6D48BA3}"/>
    <cellStyle name="Currency 5 2 2 2 2 3 2 3" xfId="12309" xr:uid="{742B8F3B-3D0C-413F-9BB8-ADD147B7CB49}"/>
    <cellStyle name="Currency 5 2 2 2 2 3 2 4" xfId="20756" xr:uid="{3CA48952-B13F-43F8-9526-0AA59209C140}"/>
    <cellStyle name="Currency 5 2 2 2 2 3 2 5" xfId="29203" xr:uid="{FA8EDFBC-1E0E-4C8A-A29A-A91160567BF5}"/>
    <cellStyle name="Currency 5 2 2 2 2 3 3" xfId="5055" xr:uid="{00000000-0005-0000-0000-0000890B0000}"/>
    <cellStyle name="Currency 5 2 2 2 2 3 3 2" xfId="14381" xr:uid="{6EC04DE0-90B4-41EA-AA4C-048034C08A0D}"/>
    <cellStyle name="Currency 5 2 2 2 2 3 3 3" xfId="22828" xr:uid="{880257FA-BE4D-431B-94B4-4407625BA994}"/>
    <cellStyle name="Currency 5 2 2 2 2 3 3 4" xfId="31275" xr:uid="{71D48FF5-24D6-4D27-8F07-D0F765B185F0}"/>
    <cellStyle name="Currency 5 2 2 2 2 3 4" xfId="9337" xr:uid="{A1FF44B9-A8E0-4A4E-9BE9-DA7FD7E326AE}"/>
    <cellStyle name="Currency 5 2 2 2 2 3 5" xfId="10164" xr:uid="{1F171A44-33A7-4008-A4F2-19245FD64389}"/>
    <cellStyle name="Currency 5 2 2 2 2 3 6" xfId="18611" xr:uid="{6919FE39-7D91-4E18-85B1-095F8CB974F7}"/>
    <cellStyle name="Currency 5 2 2 2 2 3 7" xfId="27058" xr:uid="{2BBD2062-FD6D-4813-8806-A523D5F56B67}"/>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16939" xr:uid="{EFF73392-BC18-4ECB-B4F7-7139C2B1935E}"/>
    <cellStyle name="Currency 5 2 2 2 2 4 2 2 3" xfId="25386" xr:uid="{F1FC3318-7A04-441D-8295-DE6A7ECC1B5A}"/>
    <cellStyle name="Currency 5 2 2 2 2 4 2 2 4" xfId="33833" xr:uid="{9D4D80BD-A153-4C62-8D26-122C3A0F8849}"/>
    <cellStyle name="Currency 5 2 2 2 2 4 2 3" xfId="12722" xr:uid="{B9B5E4FE-DF42-4F1E-9F22-1F64D98FD0A9}"/>
    <cellStyle name="Currency 5 2 2 2 2 4 2 4" xfId="21169" xr:uid="{291F03AE-DC67-4C27-A21E-D96ECA1E0BC0}"/>
    <cellStyle name="Currency 5 2 2 2 2 4 2 5" xfId="29616" xr:uid="{BCA0BBD0-148D-405B-B25C-51ADC2492AFE}"/>
    <cellStyle name="Currency 5 2 2 2 2 4 3" xfId="5468" xr:uid="{00000000-0005-0000-0000-00008D0B0000}"/>
    <cellStyle name="Currency 5 2 2 2 2 4 3 2" xfId="14794" xr:uid="{7C18BB17-A0B9-496F-B165-C9712FE6085C}"/>
    <cellStyle name="Currency 5 2 2 2 2 4 3 3" xfId="23241" xr:uid="{7566D1E6-EDDF-4D4F-99CD-16D402FE739B}"/>
    <cellStyle name="Currency 5 2 2 2 2 4 3 4" xfId="31688" xr:uid="{7151E68B-4D9D-43A2-AA4C-E7F87212C35F}"/>
    <cellStyle name="Currency 5 2 2 2 2 4 4" xfId="10577" xr:uid="{D2990BB0-3155-4C1D-826E-3BE624896CC9}"/>
    <cellStyle name="Currency 5 2 2 2 2 4 5" xfId="19024" xr:uid="{8A9038B3-652D-4222-B81C-96373EE11712}"/>
    <cellStyle name="Currency 5 2 2 2 2 4 6" xfId="27471" xr:uid="{0D1786BA-C629-4C6F-8564-1AF357018248}"/>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17352" xr:uid="{951842A6-6E0F-4A80-B24E-E31E29513EC0}"/>
    <cellStyle name="Currency 5 2 2 2 2 5 2 2 3" xfId="25799" xr:uid="{D9EE0B57-0DF5-4938-981C-69949CED2F7A}"/>
    <cellStyle name="Currency 5 2 2 2 2 5 2 2 4" xfId="34246" xr:uid="{D8506234-9494-4E97-B854-524EA1F16A45}"/>
    <cellStyle name="Currency 5 2 2 2 2 5 2 3" xfId="13135" xr:uid="{DB22BD5E-95B5-4DB2-A5FD-89A04F6447A5}"/>
    <cellStyle name="Currency 5 2 2 2 2 5 2 4" xfId="21582" xr:uid="{2CCCE53A-76DB-41C0-9C9C-E4F33F650643}"/>
    <cellStyle name="Currency 5 2 2 2 2 5 2 5" xfId="30029" xr:uid="{7CDDE144-32C6-47D7-9FD4-2D65BDE29467}"/>
    <cellStyle name="Currency 5 2 2 2 2 5 3" xfId="5881" xr:uid="{00000000-0005-0000-0000-0000910B0000}"/>
    <cellStyle name="Currency 5 2 2 2 2 5 3 2" xfId="15207" xr:uid="{B8D02824-A4ED-458B-B49A-AB011E9A9D9E}"/>
    <cellStyle name="Currency 5 2 2 2 2 5 3 3" xfId="23654" xr:uid="{66FBD8D4-C30E-49DF-B235-311A45AAD9D8}"/>
    <cellStyle name="Currency 5 2 2 2 2 5 3 4" xfId="32101" xr:uid="{F676DFB0-68AE-41C9-ADE5-25ECF4194EE2}"/>
    <cellStyle name="Currency 5 2 2 2 2 5 4" xfId="10990" xr:uid="{D27E0CB2-C941-40C7-838B-09A251DB17BD}"/>
    <cellStyle name="Currency 5 2 2 2 2 5 5" xfId="19437" xr:uid="{E62E4E44-2A24-4642-8DBE-95E89CCE58B9}"/>
    <cellStyle name="Currency 5 2 2 2 2 5 6" xfId="27884" xr:uid="{8B24188B-5C30-4D90-A52E-3F65664429F7}"/>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17765" xr:uid="{0A4767A2-CBB3-4171-AFBB-CB72D3BF79F6}"/>
    <cellStyle name="Currency 5 2 2 2 2 6 2 2 3" xfId="26212" xr:uid="{94006E82-2751-4C0B-B39A-154EB3B9FC13}"/>
    <cellStyle name="Currency 5 2 2 2 2 6 2 2 4" xfId="34659" xr:uid="{F92E6F80-424D-4E30-BA35-24FADDC8139D}"/>
    <cellStyle name="Currency 5 2 2 2 2 6 2 3" xfId="13548" xr:uid="{87B867E2-38C1-4EB9-8B9B-800EED930849}"/>
    <cellStyle name="Currency 5 2 2 2 2 6 2 4" xfId="21995" xr:uid="{B5F7DA8C-4D22-4005-B700-DC839BE0A806}"/>
    <cellStyle name="Currency 5 2 2 2 2 6 2 5" xfId="30442" xr:uid="{DBACE4A6-6ECF-4A49-89D6-DF33F336A594}"/>
    <cellStyle name="Currency 5 2 2 2 2 6 3" xfId="6294" xr:uid="{00000000-0005-0000-0000-0000950B0000}"/>
    <cellStyle name="Currency 5 2 2 2 2 6 3 2" xfId="15620" xr:uid="{5BBBB7E8-1B60-44C9-A034-7B639916AD93}"/>
    <cellStyle name="Currency 5 2 2 2 2 6 3 3" xfId="24067" xr:uid="{D59DE7A7-7E8D-4944-A3BD-978FA5A6DC7C}"/>
    <cellStyle name="Currency 5 2 2 2 2 6 3 4" xfId="32514" xr:uid="{46099EC8-6A35-49B4-9D19-80DB158DB710}"/>
    <cellStyle name="Currency 5 2 2 2 2 6 4" xfId="11403" xr:uid="{B743EC21-5280-4502-8918-C0D6D0329E50}"/>
    <cellStyle name="Currency 5 2 2 2 2 6 5" xfId="19850" xr:uid="{95D083B4-059A-4C45-B1BB-23AE16EBCA39}"/>
    <cellStyle name="Currency 5 2 2 2 2 6 6" xfId="28297" xr:uid="{83E47AA4-D9F8-42FB-8F11-F61B1A6943D6}"/>
    <cellStyle name="Currency 5 2 2 2 2 7" xfId="2423" xr:uid="{00000000-0005-0000-0000-0000960B0000}"/>
    <cellStyle name="Currency 5 2 2 2 2 7 2" xfId="6707" xr:uid="{00000000-0005-0000-0000-0000970B0000}"/>
    <cellStyle name="Currency 5 2 2 2 2 7 2 2" xfId="16033" xr:uid="{060609B1-8E59-4595-8D9C-34F80695550A}"/>
    <cellStyle name="Currency 5 2 2 2 2 7 2 3" xfId="24480" xr:uid="{B007BBA1-E29A-471C-895F-1A96AB710B6E}"/>
    <cellStyle name="Currency 5 2 2 2 2 7 2 4" xfId="32927" xr:uid="{A530C547-4C91-453D-B4AC-D26C36437BEA}"/>
    <cellStyle name="Currency 5 2 2 2 2 7 3" xfId="11816" xr:uid="{C5769F17-E329-46D7-9E53-D073BCCFB03C}"/>
    <cellStyle name="Currency 5 2 2 2 2 7 4" xfId="20263" xr:uid="{A408A2AB-3EA8-4AB0-BFE3-85A6FC6F4058}"/>
    <cellStyle name="Currency 5 2 2 2 2 7 5" xfId="28710" xr:uid="{C85E5D88-26CB-4F3A-AA5E-3515A9C4E34B}"/>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16350" xr:uid="{E46DD041-F409-4693-A343-F1F54E65C070}"/>
    <cellStyle name="Currency 5 2 2 2 2 9 2 3" xfId="24797" xr:uid="{C3B75E9F-53A6-4654-9542-8F017A7428F3}"/>
    <cellStyle name="Currency 5 2 2 2 2 9 2 4" xfId="33244" xr:uid="{9FBBCA7B-5C4B-4700-AD83-7E3BFC0C88AF}"/>
    <cellStyle name="Currency 5 2 2 2 2 9 3" xfId="12133" xr:uid="{E7826C11-0D1D-475D-BBDB-86B54C194528}"/>
    <cellStyle name="Currency 5 2 2 2 2 9 4" xfId="20580" xr:uid="{03506DA2-F3AC-46BF-B311-AB202F08965D}"/>
    <cellStyle name="Currency 5 2 2 2 2 9 5" xfId="29027" xr:uid="{81799A6D-8F1E-428F-8966-4FBF479971ED}"/>
    <cellStyle name="Currency 5 2 2 2 3" xfId="199" xr:uid="{00000000-0005-0000-0000-00009B0B0000}"/>
    <cellStyle name="Currency 5 2 2 2 3 10" xfId="9016" xr:uid="{706F9706-E49D-4995-B402-A842C879DBC8}"/>
    <cellStyle name="Currency 5 2 2 2 3 11" xfId="9752" xr:uid="{CFB77E42-EF8F-4AB8-94B1-6C18EC8880DA}"/>
    <cellStyle name="Currency 5 2 2 2 3 12" xfId="18199" xr:uid="{7E208DFF-D6DD-498B-9550-628358B8B6C4}"/>
    <cellStyle name="Currency 5 2 2 2 3 13" xfId="26646" xr:uid="{B8C81E9B-C065-4E40-A57A-B7678F23B28B}"/>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16528" xr:uid="{7E3D39B1-3808-4796-B06F-2D60E8209892}"/>
    <cellStyle name="Currency 5 2 2 2 3 2 2 2 3" xfId="24975" xr:uid="{56750674-BAFF-43E7-A748-125F28FEA5CE}"/>
    <cellStyle name="Currency 5 2 2 2 3 2 2 2 4" xfId="33422" xr:uid="{93AA9415-47FA-40AA-A37D-811682BCF3BE}"/>
    <cellStyle name="Currency 5 2 2 2 3 2 2 3" xfId="12311" xr:uid="{F8E6E349-5CCF-4536-8C1D-F84ADAF029AC}"/>
    <cellStyle name="Currency 5 2 2 2 3 2 2 4" xfId="20758" xr:uid="{8A867CBC-9B39-4260-AAC4-C92F1CF1E91F}"/>
    <cellStyle name="Currency 5 2 2 2 3 2 2 5" xfId="29205" xr:uid="{742C8869-BA29-4D04-B932-CF919BF19F3B}"/>
    <cellStyle name="Currency 5 2 2 2 3 2 3" xfId="5057" xr:uid="{00000000-0005-0000-0000-00009F0B0000}"/>
    <cellStyle name="Currency 5 2 2 2 3 2 3 2" xfId="14383" xr:uid="{BB302D5F-95DD-4224-B398-E19BAE94A1FA}"/>
    <cellStyle name="Currency 5 2 2 2 3 2 3 3" xfId="22830" xr:uid="{68C978AD-7841-4CCC-AF3B-CCBFBDB4544C}"/>
    <cellStyle name="Currency 5 2 2 2 3 2 3 4" xfId="31277" xr:uid="{22C385EF-321E-4DBF-93C5-E225089B9116}"/>
    <cellStyle name="Currency 5 2 2 2 3 2 4" xfId="9441" xr:uid="{B7048274-E02F-4E6A-9C9A-FAD4299F19B1}"/>
    <cellStyle name="Currency 5 2 2 2 3 2 5" xfId="10166" xr:uid="{ACCF3D4C-F7E1-4574-B11D-2C92FB3EFB45}"/>
    <cellStyle name="Currency 5 2 2 2 3 2 6" xfId="18613" xr:uid="{B295EB51-DC61-4DBC-A3E4-8723D020DF42}"/>
    <cellStyle name="Currency 5 2 2 2 3 2 7" xfId="27060" xr:uid="{AE263AB5-94F7-4850-9AA2-12A5A35AB3E9}"/>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16941" xr:uid="{5C4AD116-743A-4971-A860-98B990870728}"/>
    <cellStyle name="Currency 5 2 2 2 3 3 2 2 3" xfId="25388" xr:uid="{A5BC108E-2D49-4991-A01D-E35094B0B878}"/>
    <cellStyle name="Currency 5 2 2 2 3 3 2 2 4" xfId="33835" xr:uid="{4A416C3C-B14C-49BC-B2FE-EE1631CC2F16}"/>
    <cellStyle name="Currency 5 2 2 2 3 3 2 3" xfId="12724" xr:uid="{686DA0A1-5548-4EF2-A25D-43C1054277B4}"/>
    <cellStyle name="Currency 5 2 2 2 3 3 2 4" xfId="21171" xr:uid="{1582B2D9-8899-4ABB-9532-BDCCB0499930}"/>
    <cellStyle name="Currency 5 2 2 2 3 3 2 5" xfId="29618" xr:uid="{ED84D984-6B81-4D20-9E2A-3A4ABE668D87}"/>
    <cellStyle name="Currency 5 2 2 2 3 3 3" xfId="5470" xr:uid="{00000000-0005-0000-0000-0000A30B0000}"/>
    <cellStyle name="Currency 5 2 2 2 3 3 3 2" xfId="14796" xr:uid="{36373395-588F-4DC9-B830-AE6C29B8FAD2}"/>
    <cellStyle name="Currency 5 2 2 2 3 3 3 3" xfId="23243" xr:uid="{3EC780AB-C403-4ECF-BA5F-08CFC7284CAC}"/>
    <cellStyle name="Currency 5 2 2 2 3 3 3 4" xfId="31690" xr:uid="{8BA3C26C-FA5D-48F1-BA9A-E23DD3F4DF61}"/>
    <cellStyle name="Currency 5 2 2 2 3 3 4" xfId="10579" xr:uid="{026B0F66-3C28-41B7-80C5-8B24FBFFF664}"/>
    <cellStyle name="Currency 5 2 2 2 3 3 5" xfId="19026" xr:uid="{02888618-97F5-4CE8-800D-1BDBAE425B8D}"/>
    <cellStyle name="Currency 5 2 2 2 3 3 6" xfId="27473" xr:uid="{830763B9-DD54-46A8-A745-77743F4D34AB}"/>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17354" xr:uid="{CE88D3C7-CAD4-4D4A-9B42-76B316578519}"/>
    <cellStyle name="Currency 5 2 2 2 3 4 2 2 3" xfId="25801" xr:uid="{43C1E94F-155D-429E-9FB4-22DAE6EB7783}"/>
    <cellStyle name="Currency 5 2 2 2 3 4 2 2 4" xfId="34248" xr:uid="{5CCD016A-0A32-43F4-9FE7-E48EE92CF194}"/>
    <cellStyle name="Currency 5 2 2 2 3 4 2 3" xfId="13137" xr:uid="{2A99CFDC-3693-4D56-A113-12673A41D65C}"/>
    <cellStyle name="Currency 5 2 2 2 3 4 2 4" xfId="21584" xr:uid="{85A9D8DC-8F82-4EC7-AE82-0F4416DA2916}"/>
    <cellStyle name="Currency 5 2 2 2 3 4 2 5" xfId="30031" xr:uid="{AD63DD69-364D-4E50-B4DB-36FC4A7B3401}"/>
    <cellStyle name="Currency 5 2 2 2 3 4 3" xfId="5883" xr:uid="{00000000-0005-0000-0000-0000A70B0000}"/>
    <cellStyle name="Currency 5 2 2 2 3 4 3 2" xfId="15209" xr:uid="{35ED87A5-E3FF-4C86-8E87-73EC74FF5467}"/>
    <cellStyle name="Currency 5 2 2 2 3 4 3 3" xfId="23656" xr:uid="{A340C79E-70AB-4350-9796-B8851794839A}"/>
    <cellStyle name="Currency 5 2 2 2 3 4 3 4" xfId="32103" xr:uid="{97172372-D536-4EA2-B8BE-5CE5AA4D63D3}"/>
    <cellStyle name="Currency 5 2 2 2 3 4 4" xfId="10992" xr:uid="{F61B8F5F-A362-42B1-80D9-D4134EE8F22B}"/>
    <cellStyle name="Currency 5 2 2 2 3 4 5" xfId="19439" xr:uid="{6B75B265-FA38-4AB5-B71C-88C0B2DCF039}"/>
    <cellStyle name="Currency 5 2 2 2 3 4 6" xfId="27886" xr:uid="{DDA3AC84-526D-4F57-BB61-A58B88050263}"/>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17767" xr:uid="{3B2B72D7-207B-4874-B95C-4084A41D8428}"/>
    <cellStyle name="Currency 5 2 2 2 3 5 2 2 3" xfId="26214" xr:uid="{8616D4F8-41EF-4B39-8A39-08A0C86EF91E}"/>
    <cellStyle name="Currency 5 2 2 2 3 5 2 2 4" xfId="34661" xr:uid="{B16AEF3B-7112-4A49-8FF6-654DBB3BCCB2}"/>
    <cellStyle name="Currency 5 2 2 2 3 5 2 3" xfId="13550" xr:uid="{29D3E0C1-BB2C-438A-A6AE-6411200ACC9F}"/>
    <cellStyle name="Currency 5 2 2 2 3 5 2 4" xfId="21997" xr:uid="{1D757DCB-C279-40C8-BD68-248CCCC3E6B7}"/>
    <cellStyle name="Currency 5 2 2 2 3 5 2 5" xfId="30444" xr:uid="{DF3E5B1C-5492-4F5D-8801-8986F77D5E34}"/>
    <cellStyle name="Currency 5 2 2 2 3 5 3" xfId="6296" xr:uid="{00000000-0005-0000-0000-0000AB0B0000}"/>
    <cellStyle name="Currency 5 2 2 2 3 5 3 2" xfId="15622" xr:uid="{01A10BFE-FB28-4DB2-8C09-8C13D7FFC864}"/>
    <cellStyle name="Currency 5 2 2 2 3 5 3 3" xfId="24069" xr:uid="{E686ACA2-7AA4-4CA6-ACDA-17895D794C57}"/>
    <cellStyle name="Currency 5 2 2 2 3 5 3 4" xfId="32516" xr:uid="{EA5EE2F3-C3C4-4238-B2CB-5F8928BC29F3}"/>
    <cellStyle name="Currency 5 2 2 2 3 5 4" xfId="11405" xr:uid="{6A618BA2-C1ED-492D-829C-5CDFFA16DA6C}"/>
    <cellStyle name="Currency 5 2 2 2 3 5 5" xfId="19852" xr:uid="{00BB5A87-0D09-408F-AD50-0149491FBD89}"/>
    <cellStyle name="Currency 5 2 2 2 3 5 6" xfId="28299" xr:uid="{04DFC2CC-C314-4721-9809-7F1E369E6C38}"/>
    <cellStyle name="Currency 5 2 2 2 3 6" xfId="2425" xr:uid="{00000000-0005-0000-0000-0000AC0B0000}"/>
    <cellStyle name="Currency 5 2 2 2 3 6 2" xfId="6709" xr:uid="{00000000-0005-0000-0000-0000AD0B0000}"/>
    <cellStyle name="Currency 5 2 2 2 3 6 2 2" xfId="16035" xr:uid="{F5E238EA-3FD7-4740-98BB-735F07806305}"/>
    <cellStyle name="Currency 5 2 2 2 3 6 2 3" xfId="24482" xr:uid="{86621F23-6C61-46A9-B626-B3D63E0B43C4}"/>
    <cellStyle name="Currency 5 2 2 2 3 6 2 4" xfId="32929" xr:uid="{88E4EF3B-F463-4B25-9853-AE5FE21871F8}"/>
    <cellStyle name="Currency 5 2 2 2 3 6 3" xfId="11818" xr:uid="{AFC10815-7EE0-4621-B5EB-27050A4F3FAC}"/>
    <cellStyle name="Currency 5 2 2 2 3 6 4" xfId="20265" xr:uid="{C97A49F4-5648-495A-A5D8-855B03B6C6D5}"/>
    <cellStyle name="Currency 5 2 2 2 3 6 5" xfId="28712" xr:uid="{F8E6D3F6-B610-4E0C-9862-3E92B0679719}"/>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16352" xr:uid="{B784E8F0-DB73-4551-A61A-DCC414201FF9}"/>
    <cellStyle name="Currency 5 2 2 2 3 8 2 3" xfId="24799" xr:uid="{E1487E4D-3E9A-40D7-8900-05F20F183064}"/>
    <cellStyle name="Currency 5 2 2 2 3 8 2 4" xfId="33246" xr:uid="{81941B82-261E-41D4-98DA-AE5629D5E90A}"/>
    <cellStyle name="Currency 5 2 2 2 3 8 3" xfId="12135" xr:uid="{83B68DF5-59E2-4B51-8FC6-D286D18A37F2}"/>
    <cellStyle name="Currency 5 2 2 2 3 8 4" xfId="20582" xr:uid="{F70EAA08-9B02-4690-B46B-476913BCCA43}"/>
    <cellStyle name="Currency 5 2 2 2 3 8 5" xfId="29029" xr:uid="{65E12015-47F2-4085-A56C-D555759E6EB0}"/>
    <cellStyle name="Currency 5 2 2 2 3 9" xfId="4643" xr:uid="{00000000-0005-0000-0000-0000B10B0000}"/>
    <cellStyle name="Currency 5 2 2 2 3 9 2" xfId="13969" xr:uid="{2C75DAFC-9C94-4459-AED5-771796F72507}"/>
    <cellStyle name="Currency 5 2 2 2 3 9 3" xfId="22416" xr:uid="{948982D7-CA28-4150-92CD-347DB4A6B2F8}"/>
    <cellStyle name="Currency 5 2 2 2 3 9 4" xfId="30863" xr:uid="{21281093-3CFC-4641-9A96-6D3AFD4C7E4C}"/>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16525" xr:uid="{6BDB7407-469B-42E9-971F-559A8B47E2A8}"/>
    <cellStyle name="Currency 5 2 2 2 4 2 2 3" xfId="24972" xr:uid="{446CD8EF-CE54-4362-B7AE-789330846649}"/>
    <cellStyle name="Currency 5 2 2 2 4 2 2 4" xfId="33419" xr:uid="{E9C3A524-E2F8-457C-A94A-8C7D92055199}"/>
    <cellStyle name="Currency 5 2 2 2 4 2 3" xfId="12308" xr:uid="{A21EFBDF-8476-4F9E-8764-018233069B2E}"/>
    <cellStyle name="Currency 5 2 2 2 4 2 4" xfId="20755" xr:uid="{87A2345B-98F0-4A88-9178-C037FFFACF0A}"/>
    <cellStyle name="Currency 5 2 2 2 4 2 5" xfId="29202" xr:uid="{E48CBBAD-C4B9-4C9F-A3D6-4036E8B06197}"/>
    <cellStyle name="Currency 5 2 2 2 4 3" xfId="5054" xr:uid="{00000000-0005-0000-0000-0000B50B0000}"/>
    <cellStyle name="Currency 5 2 2 2 4 3 2" xfId="14380" xr:uid="{AE222085-5F3A-43D2-AF03-45EE1958FADD}"/>
    <cellStyle name="Currency 5 2 2 2 4 3 3" xfId="22827" xr:uid="{47B12EB3-BF73-4546-8A1B-CCA7A8776109}"/>
    <cellStyle name="Currency 5 2 2 2 4 3 4" xfId="31274" xr:uid="{416D7B59-CB02-4282-81C1-0BA41D344E8B}"/>
    <cellStyle name="Currency 5 2 2 2 4 4" xfId="9234" xr:uid="{AAF147FE-13D8-48BD-A722-062B96166D61}"/>
    <cellStyle name="Currency 5 2 2 2 4 5" xfId="10163" xr:uid="{EE240159-383E-40EC-A8E8-016FC74417E8}"/>
    <cellStyle name="Currency 5 2 2 2 4 6" xfId="18610" xr:uid="{EEA993F8-5D25-493F-A187-8B5B9E5B0A41}"/>
    <cellStyle name="Currency 5 2 2 2 4 7" xfId="27057" xr:uid="{0DD8F926-74FF-4F50-9994-E057CE03479F}"/>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16938" xr:uid="{78243EAD-2B2A-4258-BBAD-26CACD582582}"/>
    <cellStyle name="Currency 5 2 2 2 5 2 2 3" xfId="25385" xr:uid="{1E65891A-A683-4012-A397-32FA7D17A3B6}"/>
    <cellStyle name="Currency 5 2 2 2 5 2 2 4" xfId="33832" xr:uid="{508E4770-7DBA-4CFD-A1F3-705973103685}"/>
    <cellStyle name="Currency 5 2 2 2 5 2 3" xfId="12721" xr:uid="{2567DFCC-A03E-4CB9-B63A-806DF48F5151}"/>
    <cellStyle name="Currency 5 2 2 2 5 2 4" xfId="21168" xr:uid="{9B16EE54-8534-4AC1-84D7-F6A71554ABD5}"/>
    <cellStyle name="Currency 5 2 2 2 5 2 5" xfId="29615" xr:uid="{1E9B4B18-D1E0-4C9C-9C42-5E18B03D5093}"/>
    <cellStyle name="Currency 5 2 2 2 5 3" xfId="5467" xr:uid="{00000000-0005-0000-0000-0000B90B0000}"/>
    <cellStyle name="Currency 5 2 2 2 5 3 2" xfId="14793" xr:uid="{C71AA90E-3A0D-45E7-9675-18CF7C88C97D}"/>
    <cellStyle name="Currency 5 2 2 2 5 3 3" xfId="23240" xr:uid="{9ED7874E-90A5-48D3-839B-C8AD09817890}"/>
    <cellStyle name="Currency 5 2 2 2 5 3 4" xfId="31687" xr:uid="{648CE7BF-F089-43FA-BE60-EA781F39A341}"/>
    <cellStyle name="Currency 5 2 2 2 5 4" xfId="10576" xr:uid="{5B4152E6-C694-4C8B-9209-6EC4E1719339}"/>
    <cellStyle name="Currency 5 2 2 2 5 5" xfId="19023" xr:uid="{61FA1555-D298-43CA-9671-C2C0180F12DC}"/>
    <cellStyle name="Currency 5 2 2 2 5 6" xfId="27470" xr:uid="{2E3AD6C5-DA8A-4E25-BCD6-4519167C76EE}"/>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17351" xr:uid="{4E453E45-64F7-4149-83C9-A02E8B7EDD4F}"/>
    <cellStyle name="Currency 5 2 2 2 6 2 2 3" xfId="25798" xr:uid="{C71CB9B9-C423-48DC-BD6E-6EDFC4DB7550}"/>
    <cellStyle name="Currency 5 2 2 2 6 2 2 4" xfId="34245" xr:uid="{697CC719-8D8A-476C-90E4-2D38BC2F8A0A}"/>
    <cellStyle name="Currency 5 2 2 2 6 2 3" xfId="13134" xr:uid="{2A2EFD92-8466-407F-859C-F06919B4D381}"/>
    <cellStyle name="Currency 5 2 2 2 6 2 4" xfId="21581" xr:uid="{6219D999-17E6-4358-A2D0-974242661A10}"/>
    <cellStyle name="Currency 5 2 2 2 6 2 5" xfId="30028" xr:uid="{433BD5B8-BF85-46C6-A355-370A10964503}"/>
    <cellStyle name="Currency 5 2 2 2 6 3" xfId="5880" xr:uid="{00000000-0005-0000-0000-0000BD0B0000}"/>
    <cellStyle name="Currency 5 2 2 2 6 3 2" xfId="15206" xr:uid="{CE57F856-695E-455B-B494-049DFA9F4E79}"/>
    <cellStyle name="Currency 5 2 2 2 6 3 3" xfId="23653" xr:uid="{C822F46C-AF3C-4DFC-AE1A-BFF90DAA2D82}"/>
    <cellStyle name="Currency 5 2 2 2 6 3 4" xfId="32100" xr:uid="{597E546C-B4B8-4B39-8BBF-5BDF1BD2E42E}"/>
    <cellStyle name="Currency 5 2 2 2 6 4" xfId="10989" xr:uid="{98BCE6DE-28D8-4550-A88B-DE90FA96BDE7}"/>
    <cellStyle name="Currency 5 2 2 2 6 5" xfId="19436" xr:uid="{C0C3DEB2-F77B-49A9-A587-7BD505FC04BC}"/>
    <cellStyle name="Currency 5 2 2 2 6 6" xfId="27883" xr:uid="{47A33C6D-5E9A-433A-B3AF-4316ADC44AC6}"/>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17764" xr:uid="{A33E8F3F-D1D2-4CD1-8DEF-6CABF280054C}"/>
    <cellStyle name="Currency 5 2 2 2 7 2 2 3" xfId="26211" xr:uid="{3C56BB64-9AEB-4994-B35E-1B9185CB33E8}"/>
    <cellStyle name="Currency 5 2 2 2 7 2 2 4" xfId="34658" xr:uid="{0A3B6756-E1BE-4AD9-8566-C8557EC3BDAF}"/>
    <cellStyle name="Currency 5 2 2 2 7 2 3" xfId="13547" xr:uid="{33D1071C-5178-45A9-92CA-A4CE2511DD93}"/>
    <cellStyle name="Currency 5 2 2 2 7 2 4" xfId="21994" xr:uid="{C696B15D-794B-4D62-BC1B-450FFBC991AF}"/>
    <cellStyle name="Currency 5 2 2 2 7 2 5" xfId="30441" xr:uid="{4C46BBF1-9FA6-40BC-8D5E-0A9AEA157D02}"/>
    <cellStyle name="Currency 5 2 2 2 7 3" xfId="6293" xr:uid="{00000000-0005-0000-0000-0000C10B0000}"/>
    <cellStyle name="Currency 5 2 2 2 7 3 2" xfId="15619" xr:uid="{7DCCF33D-69DF-4436-B552-B778016D48CA}"/>
    <cellStyle name="Currency 5 2 2 2 7 3 3" xfId="24066" xr:uid="{3F92BC16-35E5-433F-8D18-FF7FA3A4FA98}"/>
    <cellStyle name="Currency 5 2 2 2 7 3 4" xfId="32513" xr:uid="{61964926-CF2D-4260-B1E3-2AEF2A345241}"/>
    <cellStyle name="Currency 5 2 2 2 7 4" xfId="11402" xr:uid="{777D39BE-CA45-42FA-9154-00AC3A5CF98E}"/>
    <cellStyle name="Currency 5 2 2 2 7 5" xfId="19849" xr:uid="{C9A6D660-7442-48BA-8FA6-A632BD806B2F}"/>
    <cellStyle name="Currency 5 2 2 2 7 6" xfId="28296" xr:uid="{8B76212F-5127-4FEF-BBD1-168F4407D16B}"/>
    <cellStyle name="Currency 5 2 2 2 8" xfId="2422" xr:uid="{00000000-0005-0000-0000-0000C20B0000}"/>
    <cellStyle name="Currency 5 2 2 2 8 2" xfId="6706" xr:uid="{00000000-0005-0000-0000-0000C30B0000}"/>
    <cellStyle name="Currency 5 2 2 2 8 2 2" xfId="16032" xr:uid="{B299975B-2813-4630-AC3B-0119911B1CD8}"/>
    <cellStyle name="Currency 5 2 2 2 8 2 3" xfId="24479" xr:uid="{8032CA09-F840-4B23-98DC-E1BB3B65B7EC}"/>
    <cellStyle name="Currency 5 2 2 2 8 2 4" xfId="32926" xr:uid="{5BAEAA77-60BB-4585-85A5-70C4A830E201}"/>
    <cellStyle name="Currency 5 2 2 2 8 3" xfId="11815" xr:uid="{DF19BF2F-8A27-4BF8-BCED-1004776AC80C}"/>
    <cellStyle name="Currency 5 2 2 2 8 4" xfId="20262" xr:uid="{74EB19C8-6F5F-491D-ABDB-7C6E44093800}"/>
    <cellStyle name="Currency 5 2 2 2 8 5" xfId="28709" xr:uid="{1EE6736B-2C74-44E2-B7BB-67FE194FEA3E}"/>
    <cellStyle name="Currency 5 2 2 2 9" xfId="2719" xr:uid="{00000000-0005-0000-0000-0000C40B0000}"/>
    <cellStyle name="Currency 5 2 2 3" xfId="200" xr:uid="{00000000-0005-0000-0000-0000C50B0000}"/>
    <cellStyle name="Currency 5 2 2 3 10" xfId="4644" xr:uid="{00000000-0005-0000-0000-0000C60B0000}"/>
    <cellStyle name="Currency 5 2 2 3 10 2" xfId="13970" xr:uid="{2101CB10-8ED2-4793-A25E-92575FD94A0D}"/>
    <cellStyle name="Currency 5 2 2 3 10 3" xfId="22417" xr:uid="{2CBD1FA2-821E-47F8-9077-C54055E297DC}"/>
    <cellStyle name="Currency 5 2 2 3 10 4" xfId="30864" xr:uid="{24CF996E-860B-4F3B-8E76-17E5878C29AA}"/>
    <cellStyle name="Currency 5 2 2 3 11" xfId="8890" xr:uid="{F313D4EC-7666-4BAA-9452-39176957C213}"/>
    <cellStyle name="Currency 5 2 2 3 12" xfId="9753" xr:uid="{D9F4CFB7-1183-4E79-8BE2-79905F54959B}"/>
    <cellStyle name="Currency 5 2 2 3 13" xfId="18200" xr:uid="{ECC9DACC-7993-4366-B368-2092C8129157}"/>
    <cellStyle name="Currency 5 2 2 3 14" xfId="26647" xr:uid="{DB2D7C51-81F0-48FA-ACC3-DC4E3D2EE983}"/>
    <cellStyle name="Currency 5 2 2 3 2" xfId="201" xr:uid="{00000000-0005-0000-0000-0000C70B0000}"/>
    <cellStyle name="Currency 5 2 2 3 2 10" xfId="9097" xr:uid="{74199D2F-F17A-42DD-AC8B-D958FBFFCA8B}"/>
    <cellStyle name="Currency 5 2 2 3 2 11" xfId="9754" xr:uid="{4AB1A8B3-4B79-40C5-9310-704BB1C219CC}"/>
    <cellStyle name="Currency 5 2 2 3 2 12" xfId="18201" xr:uid="{FE723804-355B-4EBD-934A-D64EFFD15EC3}"/>
    <cellStyle name="Currency 5 2 2 3 2 13" xfId="26648" xr:uid="{6E95C260-B777-47C9-8F04-6ECB74FF7AC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16530" xr:uid="{5913ECD9-DB6E-4482-B5DF-92DF72A29F1D}"/>
    <cellStyle name="Currency 5 2 2 3 2 2 2 2 3" xfId="24977" xr:uid="{48261CF8-4754-4DAE-B7AF-17F7AA7B8FEF}"/>
    <cellStyle name="Currency 5 2 2 3 2 2 2 2 4" xfId="33424" xr:uid="{CD021021-8883-4597-AAC0-DFBF23A20B5E}"/>
    <cellStyle name="Currency 5 2 2 3 2 2 2 3" xfId="12313" xr:uid="{398215F6-E8C2-4B5C-AC33-682BB643D326}"/>
    <cellStyle name="Currency 5 2 2 3 2 2 2 4" xfId="20760" xr:uid="{7BDE1B48-8B89-42DE-89A9-23DE5B233ED9}"/>
    <cellStyle name="Currency 5 2 2 3 2 2 2 5" xfId="29207" xr:uid="{78036148-2A8B-488F-98D8-73FF189742B1}"/>
    <cellStyle name="Currency 5 2 2 3 2 2 3" xfId="5059" xr:uid="{00000000-0005-0000-0000-0000CB0B0000}"/>
    <cellStyle name="Currency 5 2 2 3 2 2 3 2" xfId="14385" xr:uid="{E8D94AAD-848A-4B38-99CF-8FC1BF4F4A1C}"/>
    <cellStyle name="Currency 5 2 2 3 2 2 3 3" xfId="22832" xr:uid="{30451100-B4D2-4BEF-8E99-AA544C038328}"/>
    <cellStyle name="Currency 5 2 2 3 2 2 3 4" xfId="31279" xr:uid="{83D230EC-3E71-4AAB-BCCA-AAD79B149CAA}"/>
    <cellStyle name="Currency 5 2 2 3 2 2 4" xfId="9522" xr:uid="{58EAFCD4-DA5B-47CB-A637-29DA003AA3FD}"/>
    <cellStyle name="Currency 5 2 2 3 2 2 5" xfId="10168" xr:uid="{1A981914-502B-4267-984F-51D3FE04B8EF}"/>
    <cellStyle name="Currency 5 2 2 3 2 2 6" xfId="18615" xr:uid="{C85961A3-DBCA-4574-9B8C-41246D5AF4A1}"/>
    <cellStyle name="Currency 5 2 2 3 2 2 7" xfId="27062" xr:uid="{C52D5C65-59CD-4CBA-B2FA-F9102DC2E50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16943" xr:uid="{E0EF87C2-1DC2-4C12-BF16-BF69FEDB7446}"/>
    <cellStyle name="Currency 5 2 2 3 2 3 2 2 3" xfId="25390" xr:uid="{7442BAFD-E9A4-406F-BAEE-299CBA1951E0}"/>
    <cellStyle name="Currency 5 2 2 3 2 3 2 2 4" xfId="33837" xr:uid="{1D549C92-9C92-4C32-9CA9-7B1BB07A80A2}"/>
    <cellStyle name="Currency 5 2 2 3 2 3 2 3" xfId="12726" xr:uid="{8DD497AB-DAAB-414F-BA18-5A22F475CFD2}"/>
    <cellStyle name="Currency 5 2 2 3 2 3 2 4" xfId="21173" xr:uid="{2A68D4EC-F0C6-48D6-B30C-16E7D498750C}"/>
    <cellStyle name="Currency 5 2 2 3 2 3 2 5" xfId="29620" xr:uid="{129A3729-7109-4A7A-8EC5-F20028F49C28}"/>
    <cellStyle name="Currency 5 2 2 3 2 3 3" xfId="5472" xr:uid="{00000000-0005-0000-0000-0000CF0B0000}"/>
    <cellStyle name="Currency 5 2 2 3 2 3 3 2" xfId="14798" xr:uid="{5B775CA0-3B83-43D8-80E7-BADA07C91438}"/>
    <cellStyle name="Currency 5 2 2 3 2 3 3 3" xfId="23245" xr:uid="{C7630876-FF06-4B36-BF67-8F4F45EADB70}"/>
    <cellStyle name="Currency 5 2 2 3 2 3 3 4" xfId="31692" xr:uid="{23A3B448-4A10-4046-B350-9DCF16C68D27}"/>
    <cellStyle name="Currency 5 2 2 3 2 3 4" xfId="10581" xr:uid="{DA56D2A0-B12F-471C-9B8D-9071CA5B1C62}"/>
    <cellStyle name="Currency 5 2 2 3 2 3 5" xfId="19028" xr:uid="{F25BD426-4AC5-4122-B6E1-53E574C50DB0}"/>
    <cellStyle name="Currency 5 2 2 3 2 3 6" xfId="27475" xr:uid="{925A209F-9315-4D54-9D0F-B33FC3155827}"/>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17356" xr:uid="{6B25AFCB-6FBB-4653-B156-A3F7403F294A}"/>
    <cellStyle name="Currency 5 2 2 3 2 4 2 2 3" xfId="25803" xr:uid="{F3F9F867-8743-49AE-B7A9-FA458BA3924D}"/>
    <cellStyle name="Currency 5 2 2 3 2 4 2 2 4" xfId="34250" xr:uid="{5123AC07-9B41-48D1-9956-5C5261B6C154}"/>
    <cellStyle name="Currency 5 2 2 3 2 4 2 3" xfId="13139" xr:uid="{5805C0E0-8D09-4CAB-9E7D-D4FA2E198720}"/>
    <cellStyle name="Currency 5 2 2 3 2 4 2 4" xfId="21586" xr:uid="{B38153C9-408E-4E37-AF80-D0B38750AB6E}"/>
    <cellStyle name="Currency 5 2 2 3 2 4 2 5" xfId="30033" xr:uid="{C52A6799-8D5F-490F-B23A-5983556E3875}"/>
    <cellStyle name="Currency 5 2 2 3 2 4 3" xfId="5885" xr:uid="{00000000-0005-0000-0000-0000D30B0000}"/>
    <cellStyle name="Currency 5 2 2 3 2 4 3 2" xfId="15211" xr:uid="{5EB15C7F-B889-40C5-813F-99DA064D04F8}"/>
    <cellStyle name="Currency 5 2 2 3 2 4 3 3" xfId="23658" xr:uid="{8A5C65AA-CF51-434E-86A8-8106295682D6}"/>
    <cellStyle name="Currency 5 2 2 3 2 4 3 4" xfId="32105" xr:uid="{9CCD78C6-FFAC-41BE-8501-063AFD5D1284}"/>
    <cellStyle name="Currency 5 2 2 3 2 4 4" xfId="10994" xr:uid="{FF3566F5-3097-4969-94A9-B5A6D0BFB45F}"/>
    <cellStyle name="Currency 5 2 2 3 2 4 5" xfId="19441" xr:uid="{20626BAA-EAB2-4ACE-8602-62946EFB3F69}"/>
    <cellStyle name="Currency 5 2 2 3 2 4 6" xfId="27888" xr:uid="{95EF6E91-66A1-40AF-8389-E74401D0EBAA}"/>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17769" xr:uid="{A94BD0AF-754A-48F2-ABBC-DF7CD45F4207}"/>
    <cellStyle name="Currency 5 2 2 3 2 5 2 2 3" xfId="26216" xr:uid="{EBD18353-3004-4EC3-8DA7-E2EB24D4A17B}"/>
    <cellStyle name="Currency 5 2 2 3 2 5 2 2 4" xfId="34663" xr:uid="{9DC4DB34-D302-451B-9895-63BB80CD3C93}"/>
    <cellStyle name="Currency 5 2 2 3 2 5 2 3" xfId="13552" xr:uid="{BA5DCB64-AE1B-4CE7-84F2-47A927BB2C59}"/>
    <cellStyle name="Currency 5 2 2 3 2 5 2 4" xfId="21999" xr:uid="{45C00679-B200-48C2-9715-46B289154D22}"/>
    <cellStyle name="Currency 5 2 2 3 2 5 2 5" xfId="30446" xr:uid="{C33DE1F0-1AF6-43B4-A476-7E8E4C0B3100}"/>
    <cellStyle name="Currency 5 2 2 3 2 5 3" xfId="6298" xr:uid="{00000000-0005-0000-0000-0000D70B0000}"/>
    <cellStyle name="Currency 5 2 2 3 2 5 3 2" xfId="15624" xr:uid="{88604AA6-81AF-4EDE-B6ED-A8EC849C9CD7}"/>
    <cellStyle name="Currency 5 2 2 3 2 5 3 3" xfId="24071" xr:uid="{CC8AD7F5-56B8-4809-85E2-B3F417E8DD2C}"/>
    <cellStyle name="Currency 5 2 2 3 2 5 3 4" xfId="32518" xr:uid="{254F7834-75E7-480A-99A3-58133B8CC940}"/>
    <cellStyle name="Currency 5 2 2 3 2 5 4" xfId="11407" xr:uid="{B0209A30-BBDD-432D-92E5-29B3158588D9}"/>
    <cellStyle name="Currency 5 2 2 3 2 5 5" xfId="19854" xr:uid="{CF68B720-2164-4FF5-A4E8-67DBFAD9BBAC}"/>
    <cellStyle name="Currency 5 2 2 3 2 5 6" xfId="28301" xr:uid="{B7298E86-23F4-4016-9EE5-A048C685F0B5}"/>
    <cellStyle name="Currency 5 2 2 3 2 6" xfId="2427" xr:uid="{00000000-0005-0000-0000-0000D80B0000}"/>
    <cellStyle name="Currency 5 2 2 3 2 6 2" xfId="6711" xr:uid="{00000000-0005-0000-0000-0000D90B0000}"/>
    <cellStyle name="Currency 5 2 2 3 2 6 2 2" xfId="16037" xr:uid="{5F85581A-7FCF-4BA9-91E4-FE2B089AC7AD}"/>
    <cellStyle name="Currency 5 2 2 3 2 6 2 3" xfId="24484" xr:uid="{D29ABC01-5C46-4609-8345-D090835D199E}"/>
    <cellStyle name="Currency 5 2 2 3 2 6 2 4" xfId="32931" xr:uid="{38D572D6-B724-40AD-AAFC-3FD8C02B10FC}"/>
    <cellStyle name="Currency 5 2 2 3 2 6 3" xfId="11820" xr:uid="{9ACB82C1-0B30-4242-86CB-F2BC073341F6}"/>
    <cellStyle name="Currency 5 2 2 3 2 6 4" xfId="20267" xr:uid="{0C2AB99E-347F-4F42-B510-2A4172F4E6DD}"/>
    <cellStyle name="Currency 5 2 2 3 2 6 5" xfId="28714" xr:uid="{B6F786ED-C92A-4BB9-BF97-50ADF8F7998D}"/>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16354" xr:uid="{1D0C20F6-ABED-4151-A62A-74F7FE562C2F}"/>
    <cellStyle name="Currency 5 2 2 3 2 8 2 3" xfId="24801" xr:uid="{D9342642-2FD8-4220-868E-F9E21AFC442E}"/>
    <cellStyle name="Currency 5 2 2 3 2 8 2 4" xfId="33248" xr:uid="{22E1615E-60B8-4DA1-A1E5-6170062C158F}"/>
    <cellStyle name="Currency 5 2 2 3 2 8 3" xfId="12137" xr:uid="{385ED096-D3F6-49BC-A17C-53B7D8F1E071}"/>
    <cellStyle name="Currency 5 2 2 3 2 8 4" xfId="20584" xr:uid="{B5E3AD99-CF13-4B06-B9D0-D9036A55084B}"/>
    <cellStyle name="Currency 5 2 2 3 2 8 5" xfId="29031" xr:uid="{F31D9EE0-CA6B-45CA-83D1-389403E0A82B}"/>
    <cellStyle name="Currency 5 2 2 3 2 9" xfId="4645" xr:uid="{00000000-0005-0000-0000-0000DD0B0000}"/>
    <cellStyle name="Currency 5 2 2 3 2 9 2" xfId="13971" xr:uid="{05138B10-0538-41C7-8E7A-EAD53A5AB3A5}"/>
    <cellStyle name="Currency 5 2 2 3 2 9 3" xfId="22418" xr:uid="{CF547933-67C8-4113-9B2A-398280515353}"/>
    <cellStyle name="Currency 5 2 2 3 2 9 4" xfId="30865" xr:uid="{A4B6EB8E-E80A-44B8-ABF0-F4E1FAFD8443}"/>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16529" xr:uid="{8F00F2A1-B5F3-407B-BE5A-1549CCD0C8D8}"/>
    <cellStyle name="Currency 5 2 2 3 3 2 2 3" xfId="24976" xr:uid="{339C9A8D-4699-40C8-BD0F-7389FB1D29FE}"/>
    <cellStyle name="Currency 5 2 2 3 3 2 2 4" xfId="33423" xr:uid="{36BA62CC-7FC4-4C3B-90A1-EA46A4EB3F4E}"/>
    <cellStyle name="Currency 5 2 2 3 3 2 3" xfId="12312" xr:uid="{021F705D-37BA-423C-98F0-2C341A6E9210}"/>
    <cellStyle name="Currency 5 2 2 3 3 2 4" xfId="20759" xr:uid="{A872C0FF-0C9D-4943-8971-630A8DBB86D2}"/>
    <cellStyle name="Currency 5 2 2 3 3 2 5" xfId="29206" xr:uid="{2077D450-7304-4F37-BD81-33E5FAC6F612}"/>
    <cellStyle name="Currency 5 2 2 3 3 3" xfId="5058" xr:uid="{00000000-0005-0000-0000-0000E10B0000}"/>
    <cellStyle name="Currency 5 2 2 3 3 3 2" xfId="14384" xr:uid="{AC79BBEE-6986-4EFF-8A05-DD8D616F1EC5}"/>
    <cellStyle name="Currency 5 2 2 3 3 3 3" xfId="22831" xr:uid="{6652B401-CE68-4902-99A4-7D65D8FA7D63}"/>
    <cellStyle name="Currency 5 2 2 3 3 3 4" xfId="31278" xr:uid="{9E03D70B-865E-4016-9D48-61AA17356100}"/>
    <cellStyle name="Currency 5 2 2 3 3 4" xfId="9315" xr:uid="{A76EC348-1CDB-41C1-B9B8-9215FF30C619}"/>
    <cellStyle name="Currency 5 2 2 3 3 5" xfId="10167" xr:uid="{07E91F04-8D12-49DB-A62C-F17A3FC99498}"/>
    <cellStyle name="Currency 5 2 2 3 3 6" xfId="18614" xr:uid="{000AAF27-2612-4A8A-B064-51FCAE7DD868}"/>
    <cellStyle name="Currency 5 2 2 3 3 7" xfId="27061" xr:uid="{9954E29E-7E4A-485F-A0F8-4999741CB4C7}"/>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16942" xr:uid="{D6229736-2E6E-4C3A-ACA0-0DADA3DDF31B}"/>
    <cellStyle name="Currency 5 2 2 3 4 2 2 3" xfId="25389" xr:uid="{D30201EB-A04F-4404-9A1C-8F16B1ABD37B}"/>
    <cellStyle name="Currency 5 2 2 3 4 2 2 4" xfId="33836" xr:uid="{AD008C6B-F75A-42E1-9E35-71254229031B}"/>
    <cellStyle name="Currency 5 2 2 3 4 2 3" xfId="12725" xr:uid="{02258D29-9D42-426E-9E9D-7DD7FAFF49EE}"/>
    <cellStyle name="Currency 5 2 2 3 4 2 4" xfId="21172" xr:uid="{1C16BF5E-8D2E-4CBD-B6B1-E103FE8E4061}"/>
    <cellStyle name="Currency 5 2 2 3 4 2 5" xfId="29619" xr:uid="{C504A3D0-1481-4246-9E68-37FB21D11B86}"/>
    <cellStyle name="Currency 5 2 2 3 4 3" xfId="5471" xr:uid="{00000000-0005-0000-0000-0000E50B0000}"/>
    <cellStyle name="Currency 5 2 2 3 4 3 2" xfId="14797" xr:uid="{EC1B9AE0-977C-4A2B-9DA5-8C0D20AE87AE}"/>
    <cellStyle name="Currency 5 2 2 3 4 3 3" xfId="23244" xr:uid="{184423C7-5612-4484-92C9-CADF847843CD}"/>
    <cellStyle name="Currency 5 2 2 3 4 3 4" xfId="31691" xr:uid="{611A9D25-6FB7-40A8-B5AF-0795BE6BF610}"/>
    <cellStyle name="Currency 5 2 2 3 4 4" xfId="10580" xr:uid="{F69D75D0-83A4-45EC-9A9C-9D1C854F655A}"/>
    <cellStyle name="Currency 5 2 2 3 4 5" xfId="19027" xr:uid="{31579E3E-FFD5-4848-AD6D-5B7ED1A9771A}"/>
    <cellStyle name="Currency 5 2 2 3 4 6" xfId="27474" xr:uid="{92BF6C29-262C-48AE-8A2C-1439A9723DBF}"/>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17355" xr:uid="{D959B97D-9E0C-4A05-A627-E03FD214BA82}"/>
    <cellStyle name="Currency 5 2 2 3 5 2 2 3" xfId="25802" xr:uid="{B22AE2C0-7029-4B14-B92F-EADE901898EC}"/>
    <cellStyle name="Currency 5 2 2 3 5 2 2 4" xfId="34249" xr:uid="{FEF22783-AF27-499D-B51E-4131840BE787}"/>
    <cellStyle name="Currency 5 2 2 3 5 2 3" xfId="13138" xr:uid="{9B52193E-0516-4910-9343-10FF621C1B0D}"/>
    <cellStyle name="Currency 5 2 2 3 5 2 4" xfId="21585" xr:uid="{19B9550A-16FB-4821-A21B-8ABEAA8182DB}"/>
    <cellStyle name="Currency 5 2 2 3 5 2 5" xfId="30032" xr:uid="{647A9B04-54CD-4DF4-AF18-F0E61FEE2F51}"/>
    <cellStyle name="Currency 5 2 2 3 5 3" xfId="5884" xr:uid="{00000000-0005-0000-0000-0000E90B0000}"/>
    <cellStyle name="Currency 5 2 2 3 5 3 2" xfId="15210" xr:uid="{56BEAA97-572D-4C92-ACC8-B90F0FDF5595}"/>
    <cellStyle name="Currency 5 2 2 3 5 3 3" xfId="23657" xr:uid="{26ADAE96-4954-49A3-93D5-A366D8DD836E}"/>
    <cellStyle name="Currency 5 2 2 3 5 3 4" xfId="32104" xr:uid="{08684CE3-7782-4FA3-927B-6C06F30A7FCF}"/>
    <cellStyle name="Currency 5 2 2 3 5 4" xfId="10993" xr:uid="{EFC421B7-A6C9-4193-870B-A9CB2ABA416E}"/>
    <cellStyle name="Currency 5 2 2 3 5 5" xfId="19440" xr:uid="{26C46BB1-67A4-418F-AD85-334FD4BBC0A6}"/>
    <cellStyle name="Currency 5 2 2 3 5 6" xfId="27887" xr:uid="{7C9B1FE0-1DF5-4DDC-9DAB-65BC0BEFF001}"/>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17768" xr:uid="{2711738C-B207-4BF3-9AD9-8AA49EDDDBBF}"/>
    <cellStyle name="Currency 5 2 2 3 6 2 2 3" xfId="26215" xr:uid="{28604981-4426-4C63-8EEE-8631DC79D1C8}"/>
    <cellStyle name="Currency 5 2 2 3 6 2 2 4" xfId="34662" xr:uid="{0B9BEE3D-4930-4F60-9EB3-022434483DC7}"/>
    <cellStyle name="Currency 5 2 2 3 6 2 3" xfId="13551" xr:uid="{81CACCD4-1BCA-4268-A6A3-58B420CA8FBB}"/>
    <cellStyle name="Currency 5 2 2 3 6 2 4" xfId="21998" xr:uid="{9D1FE681-0AD0-466B-9D5A-4E73ADEDFABE}"/>
    <cellStyle name="Currency 5 2 2 3 6 2 5" xfId="30445" xr:uid="{E1E803AE-01B5-4049-8F04-1C41D72082A6}"/>
    <cellStyle name="Currency 5 2 2 3 6 3" xfId="6297" xr:uid="{00000000-0005-0000-0000-0000ED0B0000}"/>
    <cellStyle name="Currency 5 2 2 3 6 3 2" xfId="15623" xr:uid="{EA512C9F-178D-421D-8995-99A6CA539999}"/>
    <cellStyle name="Currency 5 2 2 3 6 3 3" xfId="24070" xr:uid="{AC0DC4FC-A600-4A88-8EBE-6CD944F83A01}"/>
    <cellStyle name="Currency 5 2 2 3 6 3 4" xfId="32517" xr:uid="{89A42F6D-1DB6-4D0F-B96B-9C63402EF6D4}"/>
    <cellStyle name="Currency 5 2 2 3 6 4" xfId="11406" xr:uid="{C68BFC0F-B0FF-475B-8388-267BC6484AF0}"/>
    <cellStyle name="Currency 5 2 2 3 6 5" xfId="19853" xr:uid="{E53587ED-5A77-4DEA-A242-B40193F9CD62}"/>
    <cellStyle name="Currency 5 2 2 3 6 6" xfId="28300" xr:uid="{11243153-BF04-4B10-B1EF-CD8C435ED711}"/>
    <cellStyle name="Currency 5 2 2 3 7" xfId="2426" xr:uid="{00000000-0005-0000-0000-0000EE0B0000}"/>
    <cellStyle name="Currency 5 2 2 3 7 2" xfId="6710" xr:uid="{00000000-0005-0000-0000-0000EF0B0000}"/>
    <cellStyle name="Currency 5 2 2 3 7 2 2" xfId="16036" xr:uid="{997AA37E-56D8-4CA5-81B9-112CEC20B77C}"/>
    <cellStyle name="Currency 5 2 2 3 7 2 3" xfId="24483" xr:uid="{A6B196D0-C777-4EBB-AA56-B83F75F9A1E3}"/>
    <cellStyle name="Currency 5 2 2 3 7 2 4" xfId="32930" xr:uid="{A3FD8F98-1DCD-480A-BCB3-A5C848FDCCED}"/>
    <cellStyle name="Currency 5 2 2 3 7 3" xfId="11819" xr:uid="{D9C585F2-C9C4-4D45-A5B4-CFE56BDA6A9A}"/>
    <cellStyle name="Currency 5 2 2 3 7 4" xfId="20266" xr:uid="{71100242-40A5-4346-8782-CDB843652F1A}"/>
    <cellStyle name="Currency 5 2 2 3 7 5" xfId="28713" xr:uid="{D2649956-14FC-460A-987A-A7D77303A9C7}"/>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16353" xr:uid="{39A2F2B6-8256-4A79-BD9C-0D5B2DA024FF}"/>
    <cellStyle name="Currency 5 2 2 3 9 2 3" xfId="24800" xr:uid="{5E0661C8-560D-4D04-9C85-719A9B5DD5B1}"/>
    <cellStyle name="Currency 5 2 2 3 9 2 4" xfId="33247" xr:uid="{D37A564C-6497-4919-9860-BC04782F1C01}"/>
    <cellStyle name="Currency 5 2 2 3 9 3" xfId="12136" xr:uid="{D4484DF1-908D-4635-95E2-CADC9953FDC4}"/>
    <cellStyle name="Currency 5 2 2 3 9 4" xfId="20583" xr:uid="{6CFE76D8-CFE5-42B4-96E3-8EF856950BDA}"/>
    <cellStyle name="Currency 5 2 2 3 9 5" xfId="29030" xr:uid="{C2FF4E5B-3B01-4179-ABC8-1268D06F7A37}"/>
    <cellStyle name="Currency 5 2 2 4" xfId="202" xr:uid="{00000000-0005-0000-0000-0000F30B0000}"/>
    <cellStyle name="Currency 5 2 2 4 10" xfId="8994" xr:uid="{484CCE7A-1288-4C7F-ABD6-C45948DC4EC0}"/>
    <cellStyle name="Currency 5 2 2 4 11" xfId="9755" xr:uid="{99FD54D8-E5F1-44F3-8308-4B90F3EBDA89}"/>
    <cellStyle name="Currency 5 2 2 4 12" xfId="18202" xr:uid="{37418276-E354-4C63-BEB4-E7821465AEA3}"/>
    <cellStyle name="Currency 5 2 2 4 13" xfId="26649" xr:uid="{6A168582-EC61-4504-AFBF-3F814169E02E}"/>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16531" xr:uid="{1DD2C744-7C5C-4701-8DF9-AD809DFB110E}"/>
    <cellStyle name="Currency 5 2 2 4 2 2 2 3" xfId="24978" xr:uid="{3F64C6A2-A393-46DA-A323-926F6E29794A}"/>
    <cellStyle name="Currency 5 2 2 4 2 2 2 4" xfId="33425" xr:uid="{B430275A-5D35-42C1-9A6F-97E0F592AC78}"/>
    <cellStyle name="Currency 5 2 2 4 2 2 3" xfId="12314" xr:uid="{DE9CA34F-D29E-4B01-B6C3-4DB411FE2513}"/>
    <cellStyle name="Currency 5 2 2 4 2 2 4" xfId="20761" xr:uid="{72C42BB7-D26F-4A67-983E-1C896A8A07A6}"/>
    <cellStyle name="Currency 5 2 2 4 2 2 5" xfId="29208" xr:uid="{696B9A01-E40B-44DB-844C-D578EE4D0F66}"/>
    <cellStyle name="Currency 5 2 2 4 2 3" xfId="5060" xr:uid="{00000000-0005-0000-0000-0000F70B0000}"/>
    <cellStyle name="Currency 5 2 2 4 2 3 2" xfId="14386" xr:uid="{163737B7-4406-4946-9CB2-EB8959179DF4}"/>
    <cellStyle name="Currency 5 2 2 4 2 3 3" xfId="22833" xr:uid="{94AEFA9A-EF21-4E60-91CC-108C068D7E74}"/>
    <cellStyle name="Currency 5 2 2 4 2 3 4" xfId="31280" xr:uid="{29E8E482-69B5-4C3C-97EA-318A6B459F8C}"/>
    <cellStyle name="Currency 5 2 2 4 2 4" xfId="9419" xr:uid="{F03E4D2E-3BA9-4D5B-9C35-959DB128CBAE}"/>
    <cellStyle name="Currency 5 2 2 4 2 5" xfId="10169" xr:uid="{E9D35E45-7162-45C3-A758-766D20852883}"/>
    <cellStyle name="Currency 5 2 2 4 2 6" xfId="18616" xr:uid="{0A12CF07-567D-44AF-9518-75C681713671}"/>
    <cellStyle name="Currency 5 2 2 4 2 7" xfId="27063" xr:uid="{EF237901-446B-4AA6-BD4B-90C18B17A8FA}"/>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16944" xr:uid="{D889B8DF-4181-4D27-9FD3-EB7FE8A52EF8}"/>
    <cellStyle name="Currency 5 2 2 4 3 2 2 3" xfId="25391" xr:uid="{AA570C49-2464-48DD-863C-814F74039034}"/>
    <cellStyle name="Currency 5 2 2 4 3 2 2 4" xfId="33838" xr:uid="{0653DFD9-109F-475C-A4EA-D896C4F9E93A}"/>
    <cellStyle name="Currency 5 2 2 4 3 2 3" xfId="12727" xr:uid="{64166859-FAA1-4417-96BE-EEEEBF5FD63B}"/>
    <cellStyle name="Currency 5 2 2 4 3 2 4" xfId="21174" xr:uid="{4679D5C8-C0CE-4721-B00E-675743D0DBD0}"/>
    <cellStyle name="Currency 5 2 2 4 3 2 5" xfId="29621" xr:uid="{2A8AC075-ADBC-46A2-814B-E83BA9D7CFA3}"/>
    <cellStyle name="Currency 5 2 2 4 3 3" xfId="5473" xr:uid="{00000000-0005-0000-0000-0000FB0B0000}"/>
    <cellStyle name="Currency 5 2 2 4 3 3 2" xfId="14799" xr:uid="{FDD7EB00-55FA-4AC8-BC5C-4E3CC6A22259}"/>
    <cellStyle name="Currency 5 2 2 4 3 3 3" xfId="23246" xr:uid="{77298164-6D54-4995-B8D0-EA6A42174A24}"/>
    <cellStyle name="Currency 5 2 2 4 3 3 4" xfId="31693" xr:uid="{8103A3DC-220D-416D-BFAA-151DBC3ADAAA}"/>
    <cellStyle name="Currency 5 2 2 4 3 4" xfId="10582" xr:uid="{FE876BBC-7862-4D42-A609-998AC9268A04}"/>
    <cellStyle name="Currency 5 2 2 4 3 5" xfId="19029" xr:uid="{2E272638-9ACE-423C-AFB0-8EC64AC257F3}"/>
    <cellStyle name="Currency 5 2 2 4 3 6" xfId="27476" xr:uid="{5094D950-705D-460E-B212-27F1F910B2FF}"/>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17357" xr:uid="{743F4333-1B5C-4988-8092-CC76DD29ACC7}"/>
    <cellStyle name="Currency 5 2 2 4 4 2 2 3" xfId="25804" xr:uid="{6E36ABF5-4AC1-4D36-B8C1-F0256C7EBA47}"/>
    <cellStyle name="Currency 5 2 2 4 4 2 2 4" xfId="34251" xr:uid="{63C598AA-AD51-4D1F-A52A-A7C9BDA67EC9}"/>
    <cellStyle name="Currency 5 2 2 4 4 2 3" xfId="13140" xr:uid="{9ED4AC9B-3547-4C1E-98C6-70AB4D482A94}"/>
    <cellStyle name="Currency 5 2 2 4 4 2 4" xfId="21587" xr:uid="{5738DBCA-2358-41F7-AD22-4039C2CD2F85}"/>
    <cellStyle name="Currency 5 2 2 4 4 2 5" xfId="30034" xr:uid="{D627348E-A477-4CEE-92C9-790DF97A92DE}"/>
    <cellStyle name="Currency 5 2 2 4 4 3" xfId="5886" xr:uid="{00000000-0005-0000-0000-0000FF0B0000}"/>
    <cellStyle name="Currency 5 2 2 4 4 3 2" xfId="15212" xr:uid="{155F0595-08BE-4CED-B658-BCBC2E80B36A}"/>
    <cellStyle name="Currency 5 2 2 4 4 3 3" xfId="23659" xr:uid="{76DD037F-6F3F-4ED3-879E-98DB2DACCDDB}"/>
    <cellStyle name="Currency 5 2 2 4 4 3 4" xfId="32106" xr:uid="{3FDCB3DC-8494-4083-82A8-6FB0D954078C}"/>
    <cellStyle name="Currency 5 2 2 4 4 4" xfId="10995" xr:uid="{10A40113-E947-44F6-9927-CE645242474B}"/>
    <cellStyle name="Currency 5 2 2 4 4 5" xfId="19442" xr:uid="{EB1148F9-48E6-4477-81BB-3EDD2286B9F2}"/>
    <cellStyle name="Currency 5 2 2 4 4 6" xfId="27889" xr:uid="{24B06059-FE3E-4AD3-8D54-9D582555326E}"/>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17770" xr:uid="{EEE5E5A4-846B-4328-A043-F03639058A28}"/>
    <cellStyle name="Currency 5 2 2 4 5 2 2 3" xfId="26217" xr:uid="{415F5D3C-19EE-43B1-89AF-864A80B2406E}"/>
    <cellStyle name="Currency 5 2 2 4 5 2 2 4" xfId="34664" xr:uid="{FC762465-233D-47E3-9997-8911C4CEA4F4}"/>
    <cellStyle name="Currency 5 2 2 4 5 2 3" xfId="13553" xr:uid="{66B55BE0-6B14-4040-86EA-C7B256493152}"/>
    <cellStyle name="Currency 5 2 2 4 5 2 4" xfId="22000" xr:uid="{C6E466B5-7C13-419B-B3DF-9A1F5AA326D0}"/>
    <cellStyle name="Currency 5 2 2 4 5 2 5" xfId="30447" xr:uid="{32BE51C3-E7E5-484F-A050-AC392358AC07}"/>
    <cellStyle name="Currency 5 2 2 4 5 3" xfId="6299" xr:uid="{00000000-0005-0000-0000-0000030C0000}"/>
    <cellStyle name="Currency 5 2 2 4 5 3 2" xfId="15625" xr:uid="{CE62D342-5E09-49E6-A808-18E3C9E0F0E2}"/>
    <cellStyle name="Currency 5 2 2 4 5 3 3" xfId="24072" xr:uid="{11A41544-9FC4-4769-B101-0D34A3450F1D}"/>
    <cellStyle name="Currency 5 2 2 4 5 3 4" xfId="32519" xr:uid="{AFA2AEBE-9403-40EA-80C3-1A1B24CDB2A8}"/>
    <cellStyle name="Currency 5 2 2 4 5 4" xfId="11408" xr:uid="{0E8F7D75-55C9-4849-A166-41768014BB57}"/>
    <cellStyle name="Currency 5 2 2 4 5 5" xfId="19855" xr:uid="{70081FB4-02A6-4BE5-8141-C4CD13978852}"/>
    <cellStyle name="Currency 5 2 2 4 5 6" xfId="28302" xr:uid="{EFAEDACF-271F-44E4-81C1-84C030DF6937}"/>
    <cellStyle name="Currency 5 2 2 4 6" xfId="2428" xr:uid="{00000000-0005-0000-0000-0000040C0000}"/>
    <cellStyle name="Currency 5 2 2 4 6 2" xfId="6712" xr:uid="{00000000-0005-0000-0000-0000050C0000}"/>
    <cellStyle name="Currency 5 2 2 4 6 2 2" xfId="16038" xr:uid="{41E1AC02-A7BC-4D56-92C4-19FEC18F96B3}"/>
    <cellStyle name="Currency 5 2 2 4 6 2 3" xfId="24485" xr:uid="{862D7BAA-C801-4A4D-91E6-90738F84DCE8}"/>
    <cellStyle name="Currency 5 2 2 4 6 2 4" xfId="32932" xr:uid="{606C976B-E691-42C9-B6B5-DDF3FC60180F}"/>
    <cellStyle name="Currency 5 2 2 4 6 3" xfId="11821" xr:uid="{2233403F-E374-4B5A-8017-F1B4818193B9}"/>
    <cellStyle name="Currency 5 2 2 4 6 4" xfId="20268" xr:uid="{F6A0C08D-7519-4D1B-B82E-B54B42F47E45}"/>
    <cellStyle name="Currency 5 2 2 4 6 5" xfId="28715" xr:uid="{7028C684-E78E-485F-A922-1C287BCCE81B}"/>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16355" xr:uid="{764086E9-21DD-4399-B108-19F1A244E230}"/>
    <cellStyle name="Currency 5 2 2 4 8 2 3" xfId="24802" xr:uid="{98EB2E7E-F9E0-406B-A3DF-2C5A38F8AE97}"/>
    <cellStyle name="Currency 5 2 2 4 8 2 4" xfId="33249" xr:uid="{B85BE786-B55F-48BB-969D-75A0CF20BBA8}"/>
    <cellStyle name="Currency 5 2 2 4 8 3" xfId="12138" xr:uid="{0FE0DC1A-C15B-4D5F-A9D0-904F0CD8C422}"/>
    <cellStyle name="Currency 5 2 2 4 8 4" xfId="20585" xr:uid="{3BE7441D-3671-4546-9D08-9F3B47F98F96}"/>
    <cellStyle name="Currency 5 2 2 4 8 5" xfId="29032" xr:uid="{7A0542C6-947A-41F8-8BF6-FD033095D763}"/>
    <cellStyle name="Currency 5 2 2 4 9" xfId="4646" xr:uid="{00000000-0005-0000-0000-0000090C0000}"/>
    <cellStyle name="Currency 5 2 2 4 9 2" xfId="13972" xr:uid="{9C71FE1F-D8AE-48D4-9E2D-B12F09126C7D}"/>
    <cellStyle name="Currency 5 2 2 4 9 3" xfId="22419" xr:uid="{B79A1382-8254-4789-B823-1B77CA0EAA9D}"/>
    <cellStyle name="Currency 5 2 2 4 9 4" xfId="30866" xr:uid="{E9C72F20-8A61-4A00-8CC0-39183EA58624}"/>
    <cellStyle name="Currency 5 2 2 5" xfId="203" xr:uid="{00000000-0005-0000-0000-00000A0C0000}"/>
    <cellStyle name="Currency 5 2 2 5 10" xfId="9211" xr:uid="{586E1D8D-A72F-44A2-BAB5-A0BAD4827F6D}"/>
    <cellStyle name="Currency 5 2 2 5 11" xfId="9756" xr:uid="{927DF4E6-5963-42AD-93EF-2B895BBDFF03}"/>
    <cellStyle name="Currency 5 2 2 5 12" xfId="18203" xr:uid="{001F68B6-45D8-4BE1-95B6-F820EA91102D}"/>
    <cellStyle name="Currency 5 2 2 5 13" xfId="26650" xr:uid="{66C35FA7-88F9-4564-A90C-FBB58BAA1449}"/>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16532" xr:uid="{29E5A500-8DCA-4141-A2C7-B6916AECD920}"/>
    <cellStyle name="Currency 5 2 2 5 2 2 2 3" xfId="24979" xr:uid="{561E0522-6CB0-45A7-8D3F-23E4ACE6CDD9}"/>
    <cellStyle name="Currency 5 2 2 5 2 2 2 4" xfId="33426" xr:uid="{6E8E099B-ABF7-4675-9538-479D3CD74C32}"/>
    <cellStyle name="Currency 5 2 2 5 2 2 3" xfId="12315" xr:uid="{E1DEC65B-85A9-4917-BAAE-0AF92147E13F}"/>
    <cellStyle name="Currency 5 2 2 5 2 2 4" xfId="20762" xr:uid="{4C06025F-EDEB-42D7-80A0-EE2E9989DAC6}"/>
    <cellStyle name="Currency 5 2 2 5 2 2 5" xfId="29209" xr:uid="{13DEAA62-76ED-4710-8C76-FBD59CE00CC0}"/>
    <cellStyle name="Currency 5 2 2 5 2 3" xfId="5061" xr:uid="{00000000-0005-0000-0000-00000E0C0000}"/>
    <cellStyle name="Currency 5 2 2 5 2 3 2" xfId="14387" xr:uid="{1FD1BA8F-4FF2-4225-AFC4-2B23049015C3}"/>
    <cellStyle name="Currency 5 2 2 5 2 3 3" xfId="22834" xr:uid="{DAEB1008-7947-4084-BD53-7D1BCA4C0A64}"/>
    <cellStyle name="Currency 5 2 2 5 2 3 4" xfId="31281" xr:uid="{7C7D5B15-A259-4ECA-BA65-F62418C53626}"/>
    <cellStyle name="Currency 5 2 2 5 2 4" xfId="9598" xr:uid="{EBD3270B-608E-49E1-8A20-C5ADF81FBC1B}"/>
    <cellStyle name="Currency 5 2 2 5 2 5" xfId="10170" xr:uid="{E1199717-8231-41D2-9B8D-3575AC795524}"/>
    <cellStyle name="Currency 5 2 2 5 2 6" xfId="18617" xr:uid="{FE97282E-1D61-46F9-9E16-F03795C60797}"/>
    <cellStyle name="Currency 5 2 2 5 2 7" xfId="27064" xr:uid="{DCCE0D63-EA16-4BC9-AB60-E084E3DC23A7}"/>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16945" xr:uid="{6AE7862C-4673-43B3-BF71-2F81EBE38C49}"/>
    <cellStyle name="Currency 5 2 2 5 3 2 2 3" xfId="25392" xr:uid="{29FB0F4B-E209-4ED3-940A-E168D4397BE8}"/>
    <cellStyle name="Currency 5 2 2 5 3 2 2 4" xfId="33839" xr:uid="{FCAE73F2-F038-4E2A-B0DA-C8E8F3C3C60C}"/>
    <cellStyle name="Currency 5 2 2 5 3 2 3" xfId="12728" xr:uid="{CAB07920-0DEF-41D8-B946-3E83AF6054D6}"/>
    <cellStyle name="Currency 5 2 2 5 3 2 4" xfId="21175" xr:uid="{991B6BA8-0B43-4800-BF94-6C8448B446C4}"/>
    <cellStyle name="Currency 5 2 2 5 3 2 5" xfId="29622" xr:uid="{2B5C3C34-FA3D-4069-B397-3BD4BC4B7CDC}"/>
    <cellStyle name="Currency 5 2 2 5 3 3" xfId="5474" xr:uid="{00000000-0005-0000-0000-0000120C0000}"/>
    <cellStyle name="Currency 5 2 2 5 3 3 2" xfId="14800" xr:uid="{95705ACF-560A-4A4F-903D-CD6EBBA61AB8}"/>
    <cellStyle name="Currency 5 2 2 5 3 3 3" xfId="23247" xr:uid="{2FB908D3-FDE9-4CBC-8B5C-F5C0D2440F4A}"/>
    <cellStyle name="Currency 5 2 2 5 3 3 4" xfId="31694" xr:uid="{DE2429A7-990F-46AD-9DDC-3289D3BA5D94}"/>
    <cellStyle name="Currency 5 2 2 5 3 4" xfId="10583" xr:uid="{FDFEF6EC-4F5A-465E-AC88-69BB4034DDB3}"/>
    <cellStyle name="Currency 5 2 2 5 3 5" xfId="19030" xr:uid="{8032E9F7-BAF8-4A68-A5FC-6C0B1243D832}"/>
    <cellStyle name="Currency 5 2 2 5 3 6" xfId="27477" xr:uid="{B7F119AA-17FB-4371-BCD6-9A353C987EB3}"/>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17358" xr:uid="{90778968-8D44-4CF4-9C8D-744F2A7E8A3E}"/>
    <cellStyle name="Currency 5 2 2 5 4 2 2 3" xfId="25805" xr:uid="{0045FB04-10D7-4B03-B9EF-A20F7C01AA9E}"/>
    <cellStyle name="Currency 5 2 2 5 4 2 2 4" xfId="34252" xr:uid="{1A09A631-35EC-4C89-BDF6-78A462CCC919}"/>
    <cellStyle name="Currency 5 2 2 5 4 2 3" xfId="13141" xr:uid="{8D40150C-3137-4E0B-BFC3-A265FD9E7244}"/>
    <cellStyle name="Currency 5 2 2 5 4 2 4" xfId="21588" xr:uid="{520F4C4C-05D2-408F-B434-CA09ADA44F56}"/>
    <cellStyle name="Currency 5 2 2 5 4 2 5" xfId="30035" xr:uid="{0578C3DA-8992-428C-B0C4-DD2736F9BB80}"/>
    <cellStyle name="Currency 5 2 2 5 4 3" xfId="5887" xr:uid="{00000000-0005-0000-0000-0000160C0000}"/>
    <cellStyle name="Currency 5 2 2 5 4 3 2" xfId="15213" xr:uid="{3FD9B5D6-C0CB-476F-91E6-EE6DCFD5CC78}"/>
    <cellStyle name="Currency 5 2 2 5 4 3 3" xfId="23660" xr:uid="{B2C269FB-47F1-4FF2-8A6E-170D607556CC}"/>
    <cellStyle name="Currency 5 2 2 5 4 3 4" xfId="32107" xr:uid="{6640703E-25C5-4BFA-A62E-40967E23FDC2}"/>
    <cellStyle name="Currency 5 2 2 5 4 4" xfId="10996" xr:uid="{8621BCBB-BCD6-4EAF-B8CD-3C0F347C5061}"/>
    <cellStyle name="Currency 5 2 2 5 4 5" xfId="19443" xr:uid="{D5216CCF-8C68-4AD3-8359-63A2D2633EAD}"/>
    <cellStyle name="Currency 5 2 2 5 4 6" xfId="27890" xr:uid="{AAAEC1C7-46D3-45CC-A300-FA0C3F8E1B77}"/>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17771" xr:uid="{B19C0E79-E53E-43A8-A3DE-33C943F37D5D}"/>
    <cellStyle name="Currency 5 2 2 5 5 2 2 3" xfId="26218" xr:uid="{4B9434B9-4445-4C9A-854E-004FF53B122C}"/>
    <cellStyle name="Currency 5 2 2 5 5 2 2 4" xfId="34665" xr:uid="{150C6DC7-A942-4759-8022-87E40C6E937C}"/>
    <cellStyle name="Currency 5 2 2 5 5 2 3" xfId="13554" xr:uid="{1D856624-FCB0-4C46-B3AE-C808CAB51463}"/>
    <cellStyle name="Currency 5 2 2 5 5 2 4" xfId="22001" xr:uid="{735CE8E7-9DE3-47BF-AF7A-6F68906D6FAC}"/>
    <cellStyle name="Currency 5 2 2 5 5 2 5" xfId="30448" xr:uid="{B1D503FA-B804-460A-8DAF-308B7389393E}"/>
    <cellStyle name="Currency 5 2 2 5 5 3" xfId="6300" xr:uid="{00000000-0005-0000-0000-00001A0C0000}"/>
    <cellStyle name="Currency 5 2 2 5 5 3 2" xfId="15626" xr:uid="{5283A972-3190-4D03-8DB1-035D8592A907}"/>
    <cellStyle name="Currency 5 2 2 5 5 3 3" xfId="24073" xr:uid="{047DC9AB-DFD1-4E8C-93EB-973D5B293F10}"/>
    <cellStyle name="Currency 5 2 2 5 5 3 4" xfId="32520" xr:uid="{F0C768DA-8976-4275-9789-E9E8D3F3BD21}"/>
    <cellStyle name="Currency 5 2 2 5 5 4" xfId="11409" xr:uid="{885F4C34-6A95-448D-B985-400B1FBDAB2E}"/>
    <cellStyle name="Currency 5 2 2 5 5 5" xfId="19856" xr:uid="{0B780EAB-2A36-4EAD-8B57-CE815144D7E7}"/>
    <cellStyle name="Currency 5 2 2 5 5 6" xfId="28303" xr:uid="{081714C2-1F04-4EA9-A4BE-A26334510A40}"/>
    <cellStyle name="Currency 5 2 2 5 6" xfId="2429" xr:uid="{00000000-0005-0000-0000-00001B0C0000}"/>
    <cellStyle name="Currency 5 2 2 5 6 2" xfId="6713" xr:uid="{00000000-0005-0000-0000-00001C0C0000}"/>
    <cellStyle name="Currency 5 2 2 5 6 2 2" xfId="16039" xr:uid="{F6228DE3-E1A4-4413-AE1E-D758D64E7889}"/>
    <cellStyle name="Currency 5 2 2 5 6 2 3" xfId="24486" xr:uid="{89840AE4-0095-40C6-9A2D-7FD38FEB0C21}"/>
    <cellStyle name="Currency 5 2 2 5 6 2 4" xfId="32933" xr:uid="{9C38D24F-7822-4D74-8E44-985D6413D44D}"/>
    <cellStyle name="Currency 5 2 2 5 6 3" xfId="11822" xr:uid="{6D6514AE-966F-49D5-A8FD-D8D995BBA7ED}"/>
    <cellStyle name="Currency 5 2 2 5 6 4" xfId="20269" xr:uid="{91EE3687-F65A-4A07-963A-F48A82A5D4BE}"/>
    <cellStyle name="Currency 5 2 2 5 6 5" xfId="28716" xr:uid="{97215D31-5877-46E5-AC43-0387425FDA65}"/>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16356" xr:uid="{B8356B03-357D-4EF6-A391-E393B504763A}"/>
    <cellStyle name="Currency 5 2 2 5 8 2 3" xfId="24803" xr:uid="{C4D59C0F-4EDC-438F-BE8E-666D38FFC3B5}"/>
    <cellStyle name="Currency 5 2 2 5 8 2 4" xfId="33250" xr:uid="{7ABBC2D1-FB6A-41BC-9F56-842D6DDBDB7D}"/>
    <cellStyle name="Currency 5 2 2 5 8 3" xfId="12139" xr:uid="{9F453907-FC23-498C-83B8-051C18D109B9}"/>
    <cellStyle name="Currency 5 2 2 5 8 4" xfId="20586" xr:uid="{177394FB-0C65-4444-9D99-B5937DABEF0E}"/>
    <cellStyle name="Currency 5 2 2 5 8 5" xfId="29033" xr:uid="{DE495848-B27F-49DD-8C2B-33FB666A9402}"/>
    <cellStyle name="Currency 5 2 2 5 9" xfId="4647" xr:uid="{00000000-0005-0000-0000-0000200C0000}"/>
    <cellStyle name="Currency 5 2 2 5 9 2" xfId="13973" xr:uid="{A3B813B4-4AE7-4996-A9CC-CAE7B472EC03}"/>
    <cellStyle name="Currency 5 2 2 5 9 3" xfId="22420" xr:uid="{B11A510C-A665-4219-9AD7-E6803486BD45}"/>
    <cellStyle name="Currency 5 2 2 5 9 4" xfId="30867" xr:uid="{1D56B3FE-094E-4811-B4C9-EB0A4EABB695}"/>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13974" xr:uid="{BC8B7E49-A7AE-4E34-9B01-9FAF7B989FC8}"/>
    <cellStyle name="Currency 5 2 4 10 3" xfId="22421" xr:uid="{C1392C81-EA4E-4C46-9D5F-5B35801508A4}"/>
    <cellStyle name="Currency 5 2 4 10 4" xfId="30868" xr:uid="{36D70F11-71BB-4BAA-953E-5562DFAF1815}"/>
    <cellStyle name="Currency 5 2 4 11" xfId="8859" xr:uid="{D3A5F8AD-5F4E-4BEA-A9B4-9A705A015524}"/>
    <cellStyle name="Currency 5 2 4 12" xfId="9757" xr:uid="{691AFC38-218B-4F13-99F4-804F8CB66845}"/>
    <cellStyle name="Currency 5 2 4 13" xfId="18204" xr:uid="{129513F0-B1BF-4F9A-BC74-B08996E1DA7A}"/>
    <cellStyle name="Currency 5 2 4 14" xfId="26651" xr:uid="{319A2F4C-48C0-4CE4-9446-559FAB89C37C}"/>
    <cellStyle name="Currency 5 2 4 2" xfId="206" xr:uid="{00000000-0005-0000-0000-0000250C0000}"/>
    <cellStyle name="Currency 5 2 4 2 10" xfId="9066" xr:uid="{2F7A28AF-2120-4AAF-A58B-33C2E07F597D}"/>
    <cellStyle name="Currency 5 2 4 2 11" xfId="9758" xr:uid="{B09C6B31-B470-4BBF-9781-E092A00261F7}"/>
    <cellStyle name="Currency 5 2 4 2 12" xfId="18205" xr:uid="{A38834B7-EB12-40CE-B586-001C67049B77}"/>
    <cellStyle name="Currency 5 2 4 2 13" xfId="26652" xr:uid="{0041A910-C946-4245-AB05-8944EB3E9AF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16534" xr:uid="{D223101F-1114-483C-9559-85D4D3D75078}"/>
    <cellStyle name="Currency 5 2 4 2 2 2 2 3" xfId="24981" xr:uid="{6AF2216D-0800-4425-9B72-F17DE910F1A0}"/>
    <cellStyle name="Currency 5 2 4 2 2 2 2 4" xfId="33428" xr:uid="{BE303499-26EC-48A2-B691-58FA6A011A32}"/>
    <cellStyle name="Currency 5 2 4 2 2 2 3" xfId="12317" xr:uid="{AB67A6F4-CBAD-4FEE-867C-CB46456B4F4F}"/>
    <cellStyle name="Currency 5 2 4 2 2 2 4" xfId="20764" xr:uid="{3A653704-F770-4ABB-8510-D9F4C0612958}"/>
    <cellStyle name="Currency 5 2 4 2 2 2 5" xfId="29211" xr:uid="{1987B351-1167-4A85-BF4C-BC36123BA706}"/>
    <cellStyle name="Currency 5 2 4 2 2 3" xfId="5063" xr:uid="{00000000-0005-0000-0000-0000290C0000}"/>
    <cellStyle name="Currency 5 2 4 2 2 3 2" xfId="14389" xr:uid="{1DA86677-1731-4B14-AA97-A50060757385}"/>
    <cellStyle name="Currency 5 2 4 2 2 3 3" xfId="22836" xr:uid="{B4DA3E6C-A4A4-4C82-B64D-8ABE6C641AEF}"/>
    <cellStyle name="Currency 5 2 4 2 2 3 4" xfId="31283" xr:uid="{87DA8379-C992-43D6-BF09-74E010F43693}"/>
    <cellStyle name="Currency 5 2 4 2 2 4" xfId="9491" xr:uid="{64B868C7-9024-4970-9E74-7DF82417BD7A}"/>
    <cellStyle name="Currency 5 2 4 2 2 5" xfId="10172" xr:uid="{A7BA913D-11CC-4158-9C99-B3DFE66F36DB}"/>
    <cellStyle name="Currency 5 2 4 2 2 6" xfId="18619" xr:uid="{371234D7-AB1E-4372-8DD1-1548D307ADBA}"/>
    <cellStyle name="Currency 5 2 4 2 2 7" xfId="27066" xr:uid="{58C26A6E-C8BE-4ED4-9AAD-FE14776928C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16947" xr:uid="{B8DED5C0-C7B3-4AC1-A6E2-B03798DDCF83}"/>
    <cellStyle name="Currency 5 2 4 2 3 2 2 3" xfId="25394" xr:uid="{3351D021-1C1D-457B-A931-768F1E89F3FF}"/>
    <cellStyle name="Currency 5 2 4 2 3 2 2 4" xfId="33841" xr:uid="{C8FEE078-6599-4A4D-A86A-93044C3AA914}"/>
    <cellStyle name="Currency 5 2 4 2 3 2 3" xfId="12730" xr:uid="{89F7C8D1-56CB-46D0-B371-E269909850D9}"/>
    <cellStyle name="Currency 5 2 4 2 3 2 4" xfId="21177" xr:uid="{9E09DEC0-3797-4FAE-9F6C-07EDFA533ABB}"/>
    <cellStyle name="Currency 5 2 4 2 3 2 5" xfId="29624" xr:uid="{EF1D958D-847D-4D76-921D-89D9814751DC}"/>
    <cellStyle name="Currency 5 2 4 2 3 3" xfId="5476" xr:uid="{00000000-0005-0000-0000-00002D0C0000}"/>
    <cellStyle name="Currency 5 2 4 2 3 3 2" xfId="14802" xr:uid="{FF1CF693-9EAF-48D5-8739-6A9097D19B06}"/>
    <cellStyle name="Currency 5 2 4 2 3 3 3" xfId="23249" xr:uid="{6DD4FA76-E6EE-41A6-9C7D-5963D2007719}"/>
    <cellStyle name="Currency 5 2 4 2 3 3 4" xfId="31696" xr:uid="{9C891A69-ECE6-413C-BC12-7464068E896C}"/>
    <cellStyle name="Currency 5 2 4 2 3 4" xfId="10585" xr:uid="{6050F98A-A3B8-4E43-8031-F19E2333E01A}"/>
    <cellStyle name="Currency 5 2 4 2 3 5" xfId="19032" xr:uid="{4DD88AAA-5460-4BA4-8F03-897FE874D744}"/>
    <cellStyle name="Currency 5 2 4 2 3 6" xfId="27479" xr:uid="{7B7A5C83-C210-4379-9FFE-A67C8F980D85}"/>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17360" xr:uid="{4C6176D3-1BB9-46DF-888E-B8FA93D15DFE}"/>
    <cellStyle name="Currency 5 2 4 2 4 2 2 3" xfId="25807" xr:uid="{7FE1D5FE-6686-4D02-A3D2-FC06267DE8F5}"/>
    <cellStyle name="Currency 5 2 4 2 4 2 2 4" xfId="34254" xr:uid="{967F8011-83E4-4B6D-84C6-AA1D4DBC6EAA}"/>
    <cellStyle name="Currency 5 2 4 2 4 2 3" xfId="13143" xr:uid="{8B27CD4B-49C3-4588-B5A3-EB175ABC4AA6}"/>
    <cellStyle name="Currency 5 2 4 2 4 2 4" xfId="21590" xr:uid="{BC6831B3-D0F7-448E-B53B-03727B7F2AF8}"/>
    <cellStyle name="Currency 5 2 4 2 4 2 5" xfId="30037" xr:uid="{47E74B8D-8221-4457-B92F-2D448FB725AD}"/>
    <cellStyle name="Currency 5 2 4 2 4 3" xfId="5889" xr:uid="{00000000-0005-0000-0000-0000310C0000}"/>
    <cellStyle name="Currency 5 2 4 2 4 3 2" xfId="15215" xr:uid="{D4623138-36BA-4F59-9394-7A8FFCE8D14D}"/>
    <cellStyle name="Currency 5 2 4 2 4 3 3" xfId="23662" xr:uid="{86C9C85A-DF30-45CE-ADA9-7FB337BA20C2}"/>
    <cellStyle name="Currency 5 2 4 2 4 3 4" xfId="32109" xr:uid="{01886E99-4DA4-47DB-93C7-DF2B7AC02AEA}"/>
    <cellStyle name="Currency 5 2 4 2 4 4" xfId="10998" xr:uid="{0D41258A-19AA-455D-A917-3130B5F7BA5A}"/>
    <cellStyle name="Currency 5 2 4 2 4 5" xfId="19445" xr:uid="{1E64113F-0F9B-4532-9465-B25A5F2AF3F5}"/>
    <cellStyle name="Currency 5 2 4 2 4 6" xfId="27892" xr:uid="{00C22707-71C2-4F63-984F-8A2490E3A5DB}"/>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17773" xr:uid="{9948D4A9-4A88-4BF9-A61D-8A03230A1446}"/>
    <cellStyle name="Currency 5 2 4 2 5 2 2 3" xfId="26220" xr:uid="{3CED634F-1E1B-4BC8-AFBF-10680AA0BBD9}"/>
    <cellStyle name="Currency 5 2 4 2 5 2 2 4" xfId="34667" xr:uid="{9095179F-162A-4649-B798-A18EAEF266B5}"/>
    <cellStyle name="Currency 5 2 4 2 5 2 3" xfId="13556" xr:uid="{97D395C6-74DE-4802-A321-36079F052A39}"/>
    <cellStyle name="Currency 5 2 4 2 5 2 4" xfId="22003" xr:uid="{93C240F6-7DD8-420D-9224-B57F6998E935}"/>
    <cellStyle name="Currency 5 2 4 2 5 2 5" xfId="30450" xr:uid="{C08A1B30-C599-494B-86D9-F7CA7388CF7A}"/>
    <cellStyle name="Currency 5 2 4 2 5 3" xfId="6302" xr:uid="{00000000-0005-0000-0000-0000350C0000}"/>
    <cellStyle name="Currency 5 2 4 2 5 3 2" xfId="15628" xr:uid="{70EB6214-4091-4A31-902F-8693B66DF6B1}"/>
    <cellStyle name="Currency 5 2 4 2 5 3 3" xfId="24075" xr:uid="{93F41226-A9A3-4EE4-B112-E13F7CFC88DE}"/>
    <cellStyle name="Currency 5 2 4 2 5 3 4" xfId="32522" xr:uid="{989F207B-EA07-4961-B87A-0F998ABAE5D1}"/>
    <cellStyle name="Currency 5 2 4 2 5 4" xfId="11411" xr:uid="{2163EF4E-A96B-4430-A083-34D0C6D1B776}"/>
    <cellStyle name="Currency 5 2 4 2 5 5" xfId="19858" xr:uid="{951C3CDC-450A-4B9B-83DC-3789B41BC824}"/>
    <cellStyle name="Currency 5 2 4 2 5 6" xfId="28305" xr:uid="{AEE82DE2-4F3C-4357-AD11-86DD6D175E7C}"/>
    <cellStyle name="Currency 5 2 4 2 6" xfId="2431" xr:uid="{00000000-0005-0000-0000-0000360C0000}"/>
    <cellStyle name="Currency 5 2 4 2 6 2" xfId="6715" xr:uid="{00000000-0005-0000-0000-0000370C0000}"/>
    <cellStyle name="Currency 5 2 4 2 6 2 2" xfId="16041" xr:uid="{728B1E9B-208D-4AF7-A684-4245E6746A74}"/>
    <cellStyle name="Currency 5 2 4 2 6 2 3" xfId="24488" xr:uid="{7E0B525F-C2C6-4F0B-B077-3547491B315F}"/>
    <cellStyle name="Currency 5 2 4 2 6 2 4" xfId="32935" xr:uid="{5DE3AEB1-AB60-4D06-8504-AFAEEE32A31D}"/>
    <cellStyle name="Currency 5 2 4 2 6 3" xfId="11824" xr:uid="{232E6F13-639F-4745-9F55-B82A6770FA81}"/>
    <cellStyle name="Currency 5 2 4 2 6 4" xfId="20271" xr:uid="{76C133E7-30D0-4F00-A0EC-432A9CF03059}"/>
    <cellStyle name="Currency 5 2 4 2 6 5" xfId="28718" xr:uid="{BBB230D5-4B50-443C-B27B-070273E72B00}"/>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16358" xr:uid="{8DE5875D-9AE0-4301-AE70-097862A1F1D4}"/>
    <cellStyle name="Currency 5 2 4 2 8 2 3" xfId="24805" xr:uid="{A3301124-D5A3-4DAC-B0EF-EF010948D117}"/>
    <cellStyle name="Currency 5 2 4 2 8 2 4" xfId="33252" xr:uid="{F67382D7-3310-4E28-9830-1C57193658C9}"/>
    <cellStyle name="Currency 5 2 4 2 8 3" xfId="12141" xr:uid="{948EBD0E-94BC-4142-B03C-B0A9A2CFE4D4}"/>
    <cellStyle name="Currency 5 2 4 2 8 4" xfId="20588" xr:uid="{DFADAB5E-2345-4FB2-9012-0DC173F7CF65}"/>
    <cellStyle name="Currency 5 2 4 2 8 5" xfId="29035" xr:uid="{F82B0972-9B13-4DC0-BE2D-13A099B441B7}"/>
    <cellStyle name="Currency 5 2 4 2 9" xfId="4649" xr:uid="{00000000-0005-0000-0000-00003B0C0000}"/>
    <cellStyle name="Currency 5 2 4 2 9 2" xfId="13975" xr:uid="{54B309C0-8463-47F7-B604-14E6B3C9C369}"/>
    <cellStyle name="Currency 5 2 4 2 9 3" xfId="22422" xr:uid="{CDFA3F84-7F8A-4A5A-AEC6-654004C1DA1D}"/>
    <cellStyle name="Currency 5 2 4 2 9 4" xfId="30869" xr:uid="{93CC21BD-A67B-43B3-81F0-B3F21B1C3230}"/>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16533" xr:uid="{7B800FB6-9803-4476-9883-42D2AC917D7E}"/>
    <cellStyle name="Currency 5 2 4 3 2 2 3" xfId="24980" xr:uid="{F4F2FA3B-AF3D-4D21-A0ED-42AC1A78D73A}"/>
    <cellStyle name="Currency 5 2 4 3 2 2 4" xfId="33427" xr:uid="{86E535A9-0814-4DB4-A302-C054DACA96C5}"/>
    <cellStyle name="Currency 5 2 4 3 2 3" xfId="12316" xr:uid="{DDBD21E6-17E2-4401-B7EC-57A2A2285500}"/>
    <cellStyle name="Currency 5 2 4 3 2 4" xfId="20763" xr:uid="{6588ABDA-B516-4A7A-AF42-C20E340FF3DC}"/>
    <cellStyle name="Currency 5 2 4 3 2 5" xfId="29210" xr:uid="{BDE7F7BB-54EA-4332-A1B7-77884D0E02DE}"/>
    <cellStyle name="Currency 5 2 4 3 3" xfId="5062" xr:uid="{00000000-0005-0000-0000-00003F0C0000}"/>
    <cellStyle name="Currency 5 2 4 3 3 2" xfId="14388" xr:uid="{DCDB16A9-BFB8-4E5A-9AC4-33D2764068BA}"/>
    <cellStyle name="Currency 5 2 4 3 3 3" xfId="22835" xr:uid="{138B6DEE-CBAB-47E5-9913-CD6F3B612703}"/>
    <cellStyle name="Currency 5 2 4 3 3 4" xfId="31282" xr:uid="{D142E488-1BB1-4F8B-A12E-166A081B46C5}"/>
    <cellStyle name="Currency 5 2 4 3 4" xfId="9284" xr:uid="{1D0B72AC-AFAC-428F-8BF0-6DFF9565613D}"/>
    <cellStyle name="Currency 5 2 4 3 5" xfId="10171" xr:uid="{C5931A1D-9644-4104-93F1-3A785BF4423A}"/>
    <cellStyle name="Currency 5 2 4 3 6" xfId="18618" xr:uid="{665FDEF2-300C-4968-9D7C-25CD211B0F6E}"/>
    <cellStyle name="Currency 5 2 4 3 7" xfId="27065" xr:uid="{0E2B7ADD-4042-4A11-BFF9-0D7DDB738ACF}"/>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16946" xr:uid="{9C95372E-3EC5-4162-949A-001BC00CC752}"/>
    <cellStyle name="Currency 5 2 4 4 2 2 3" xfId="25393" xr:uid="{4D43B24B-8A53-4DE8-AF7E-D3928EAA1A53}"/>
    <cellStyle name="Currency 5 2 4 4 2 2 4" xfId="33840" xr:uid="{D19E5B23-09D0-40FD-BAE1-2BB1EC29F6AE}"/>
    <cellStyle name="Currency 5 2 4 4 2 3" xfId="12729" xr:uid="{9996B933-B3A0-419E-BEC4-08107F330716}"/>
    <cellStyle name="Currency 5 2 4 4 2 4" xfId="21176" xr:uid="{C9EE9759-A6E3-4BD5-B24D-3BAFB1FF5011}"/>
    <cellStyle name="Currency 5 2 4 4 2 5" xfId="29623" xr:uid="{29428F4E-FC64-4CEF-8E38-298A189543C9}"/>
    <cellStyle name="Currency 5 2 4 4 3" xfId="5475" xr:uid="{00000000-0005-0000-0000-0000430C0000}"/>
    <cellStyle name="Currency 5 2 4 4 3 2" xfId="14801" xr:uid="{57118965-1267-4487-BB8D-D46BDE305747}"/>
    <cellStyle name="Currency 5 2 4 4 3 3" xfId="23248" xr:uid="{94D79D7A-7C49-47C1-B7B1-C43E50D8C64A}"/>
    <cellStyle name="Currency 5 2 4 4 3 4" xfId="31695" xr:uid="{7CDA5095-B7A0-4A7C-816A-2BBE108B6502}"/>
    <cellStyle name="Currency 5 2 4 4 4" xfId="10584" xr:uid="{8DC8A4D4-82EC-4475-93A4-35A84413AA0A}"/>
    <cellStyle name="Currency 5 2 4 4 5" xfId="19031" xr:uid="{62CA5381-B1F1-4A40-8C1E-01D2C22C826A}"/>
    <cellStyle name="Currency 5 2 4 4 6" xfId="27478" xr:uid="{C34B7E04-C54E-41FC-B45B-315A6D36D351}"/>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17359" xr:uid="{32B28542-D1E7-49A6-9E98-DA670FE96E52}"/>
    <cellStyle name="Currency 5 2 4 5 2 2 3" xfId="25806" xr:uid="{7231A1B8-8AE2-4BF2-A1A5-90CCAA846B26}"/>
    <cellStyle name="Currency 5 2 4 5 2 2 4" xfId="34253" xr:uid="{E06ACE38-D0DF-4D31-932B-D0E16E94B66C}"/>
    <cellStyle name="Currency 5 2 4 5 2 3" xfId="13142" xr:uid="{C5826885-2BAD-4889-BC46-8191CBACD0C3}"/>
    <cellStyle name="Currency 5 2 4 5 2 4" xfId="21589" xr:uid="{309F6D8C-166D-4110-AB3D-931B260A9A00}"/>
    <cellStyle name="Currency 5 2 4 5 2 5" xfId="30036" xr:uid="{8D2F6666-D265-4B1E-9BBD-FE02DCB2667D}"/>
    <cellStyle name="Currency 5 2 4 5 3" xfId="5888" xr:uid="{00000000-0005-0000-0000-0000470C0000}"/>
    <cellStyle name="Currency 5 2 4 5 3 2" xfId="15214" xr:uid="{90674D85-3A1D-4616-9D4B-9626F5DE3295}"/>
    <cellStyle name="Currency 5 2 4 5 3 3" xfId="23661" xr:uid="{E1B348D1-C540-448C-A108-D3E8FADAF8B2}"/>
    <cellStyle name="Currency 5 2 4 5 3 4" xfId="32108" xr:uid="{F7D6E445-1926-42B4-B60C-A65B97FE0B33}"/>
    <cellStyle name="Currency 5 2 4 5 4" xfId="10997" xr:uid="{A3E2632C-D478-4FB5-9CC8-022FA895674E}"/>
    <cellStyle name="Currency 5 2 4 5 5" xfId="19444" xr:uid="{9EB991E1-2D31-4FB8-A895-6AB0850D466E}"/>
    <cellStyle name="Currency 5 2 4 5 6" xfId="27891" xr:uid="{4FECBC77-34DA-416C-AB93-DBC98F976D63}"/>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17772" xr:uid="{BB40D5A3-7E77-45E3-8F38-EBBA10B33F4E}"/>
    <cellStyle name="Currency 5 2 4 6 2 2 3" xfId="26219" xr:uid="{B2FCC046-E5CD-4F3E-AB61-8E538E0DE8EF}"/>
    <cellStyle name="Currency 5 2 4 6 2 2 4" xfId="34666" xr:uid="{5269FE92-010D-42F7-A8BD-756B3A2BD2CC}"/>
    <cellStyle name="Currency 5 2 4 6 2 3" xfId="13555" xr:uid="{9585EDFF-0D3F-426A-BFFA-581583B7FFB6}"/>
    <cellStyle name="Currency 5 2 4 6 2 4" xfId="22002" xr:uid="{684DA6F9-62D4-4CBB-B265-6F92F7F23A12}"/>
    <cellStyle name="Currency 5 2 4 6 2 5" xfId="30449" xr:uid="{3F3DC06D-0D02-442A-9504-D7472E520F33}"/>
    <cellStyle name="Currency 5 2 4 6 3" xfId="6301" xr:uid="{00000000-0005-0000-0000-00004B0C0000}"/>
    <cellStyle name="Currency 5 2 4 6 3 2" xfId="15627" xr:uid="{BD9D2858-BDC1-4F2E-96F1-A94FB5E2182E}"/>
    <cellStyle name="Currency 5 2 4 6 3 3" xfId="24074" xr:uid="{A648FAE0-751E-4E30-B9C3-62A9F1F88FF1}"/>
    <cellStyle name="Currency 5 2 4 6 3 4" xfId="32521" xr:uid="{943CF7FB-9F63-4801-A5EF-569B8F26FAC3}"/>
    <cellStyle name="Currency 5 2 4 6 4" xfId="11410" xr:uid="{6921C772-3B2A-4B60-AB62-85B867A14B77}"/>
    <cellStyle name="Currency 5 2 4 6 5" xfId="19857" xr:uid="{9F185D8D-8CCB-48A8-924A-DC1E1474C74B}"/>
    <cellStyle name="Currency 5 2 4 6 6" xfId="28304" xr:uid="{B225F8D8-6944-4965-8665-0367A0855E72}"/>
    <cellStyle name="Currency 5 2 4 7" xfId="2430" xr:uid="{00000000-0005-0000-0000-00004C0C0000}"/>
    <cellStyle name="Currency 5 2 4 7 2" xfId="6714" xr:uid="{00000000-0005-0000-0000-00004D0C0000}"/>
    <cellStyle name="Currency 5 2 4 7 2 2" xfId="16040" xr:uid="{16877F10-9686-48BE-A91F-0D9FC80942F4}"/>
    <cellStyle name="Currency 5 2 4 7 2 3" xfId="24487" xr:uid="{8701924E-095C-4C2E-B03C-1AFBB12A32D0}"/>
    <cellStyle name="Currency 5 2 4 7 2 4" xfId="32934" xr:uid="{EACFB5FC-921A-4E24-9472-6CDBFBDC3422}"/>
    <cellStyle name="Currency 5 2 4 7 3" xfId="11823" xr:uid="{5ABC3B1B-DB71-4695-A24D-CAF693624541}"/>
    <cellStyle name="Currency 5 2 4 7 4" xfId="20270" xr:uid="{078A896C-A87F-440F-8290-363F58A130BD}"/>
    <cellStyle name="Currency 5 2 4 7 5" xfId="28717" xr:uid="{639D5694-3CBB-4811-BE73-C22FF322A727}"/>
    <cellStyle name="Currency 5 2 4 8" xfId="2727" xr:uid="{00000000-0005-0000-0000-00004E0C0000}"/>
    <cellStyle name="Currency 5 2 4 9" xfId="2808" xr:uid="{00000000-0005-0000-0000-00004F0C0000}"/>
    <cellStyle name="Currency 5 2 4 9 2" xfId="7031" xr:uid="{00000000-0005-0000-0000-0000500C0000}"/>
    <cellStyle name="Currency 5 2 4 9 2 2" xfId="16357" xr:uid="{5C34554C-56B0-4669-86C9-949933B75AF3}"/>
    <cellStyle name="Currency 5 2 4 9 2 3" xfId="24804" xr:uid="{5E1B101F-136E-49E9-8517-2E63BA3EBE0E}"/>
    <cellStyle name="Currency 5 2 4 9 2 4" xfId="33251" xr:uid="{239D0A34-A82F-4F9F-BDD0-AEDB300E7040}"/>
    <cellStyle name="Currency 5 2 4 9 3" xfId="12140" xr:uid="{1A584B92-926B-467F-8BDA-1C75F97E220E}"/>
    <cellStyle name="Currency 5 2 4 9 4" xfId="20587" xr:uid="{996DD286-924D-4107-B9D4-52CDE6F36C0D}"/>
    <cellStyle name="Currency 5 2 4 9 5" xfId="29034" xr:uid="{1BC69A06-6AC0-4435-B21F-545314A436C9}"/>
    <cellStyle name="Currency 5 2 5" xfId="207" xr:uid="{00000000-0005-0000-0000-0000510C0000}"/>
    <cellStyle name="Currency 5 2 5 10" xfId="8975" xr:uid="{3422EC31-C47F-46E0-A50C-FE05B1979387}"/>
    <cellStyle name="Currency 5 2 5 11" xfId="9759" xr:uid="{5BDBFF50-1086-42E5-9A86-AA0A9B8DDD0F}"/>
    <cellStyle name="Currency 5 2 5 12" xfId="18206" xr:uid="{F80FF947-DC5F-4F90-852B-393ED8F61BD4}"/>
    <cellStyle name="Currency 5 2 5 13" xfId="26653" xr:uid="{9F13D48C-E799-4918-9EFD-A5C25C720226}"/>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16535" xr:uid="{C73C58E6-9FAB-47E6-9083-E020159ACBB8}"/>
    <cellStyle name="Currency 5 2 5 2 2 2 3" xfId="24982" xr:uid="{A970A656-8B60-4CC6-86A7-75EEC67C03D4}"/>
    <cellStyle name="Currency 5 2 5 2 2 2 4" xfId="33429" xr:uid="{DC6DA7E1-8453-410F-AEE7-B4D7DD855445}"/>
    <cellStyle name="Currency 5 2 5 2 2 3" xfId="12318" xr:uid="{70B80669-DA97-467D-A3DB-4FEB24821CF6}"/>
    <cellStyle name="Currency 5 2 5 2 2 4" xfId="20765" xr:uid="{34E10412-6822-4CA4-863D-4269BBDA4C79}"/>
    <cellStyle name="Currency 5 2 5 2 2 5" xfId="29212" xr:uid="{6AF1AFF2-90F2-491C-A9B8-240B86B520DF}"/>
    <cellStyle name="Currency 5 2 5 2 3" xfId="5064" xr:uid="{00000000-0005-0000-0000-0000550C0000}"/>
    <cellStyle name="Currency 5 2 5 2 3 2" xfId="14390" xr:uid="{226A9373-EFB8-4C09-B184-78E7DA8AA5D3}"/>
    <cellStyle name="Currency 5 2 5 2 3 3" xfId="22837" xr:uid="{55C3DDA7-5FBD-448B-BA86-0AE2A59FCBB8}"/>
    <cellStyle name="Currency 5 2 5 2 3 4" xfId="31284" xr:uid="{AACD41B3-029C-4250-A0EA-AE4B7B1D0DA6}"/>
    <cellStyle name="Currency 5 2 5 2 4" xfId="9400" xr:uid="{6620DDCD-05C0-4AFD-8A83-F1190101CCB3}"/>
    <cellStyle name="Currency 5 2 5 2 5" xfId="10173" xr:uid="{9D9CAF94-A0AA-4179-89E5-CAB0CAF81B0B}"/>
    <cellStyle name="Currency 5 2 5 2 6" xfId="18620" xr:uid="{15A710CD-4489-4B91-B868-200411495C31}"/>
    <cellStyle name="Currency 5 2 5 2 7" xfId="27067" xr:uid="{9636D6D1-C60D-49BB-B629-6D304F72D612}"/>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16948" xr:uid="{7FD8EC20-1B65-4179-9AEF-0F4F13C71BC7}"/>
    <cellStyle name="Currency 5 2 5 3 2 2 3" xfId="25395" xr:uid="{2E61F350-B424-436C-AC3B-14A5DA00D86C}"/>
    <cellStyle name="Currency 5 2 5 3 2 2 4" xfId="33842" xr:uid="{E0448428-65FD-4982-8CAD-22009BF73B42}"/>
    <cellStyle name="Currency 5 2 5 3 2 3" xfId="12731" xr:uid="{808C9735-3D7C-42EC-A387-2AB5C1542D67}"/>
    <cellStyle name="Currency 5 2 5 3 2 4" xfId="21178" xr:uid="{0A78597B-9076-4D65-9BB7-D4F7E1EA27CA}"/>
    <cellStyle name="Currency 5 2 5 3 2 5" xfId="29625" xr:uid="{1AB56379-B8A8-4C26-872F-90A88BD6928B}"/>
    <cellStyle name="Currency 5 2 5 3 3" xfId="5477" xr:uid="{00000000-0005-0000-0000-0000590C0000}"/>
    <cellStyle name="Currency 5 2 5 3 3 2" xfId="14803" xr:uid="{FD3D8AD4-6EDC-47B9-BD82-28EEB8C78602}"/>
    <cellStyle name="Currency 5 2 5 3 3 3" xfId="23250" xr:uid="{B52B9BAB-62F4-4CCF-9AEB-DA7F96821F2F}"/>
    <cellStyle name="Currency 5 2 5 3 3 4" xfId="31697" xr:uid="{C2CE685F-3AA0-4BA9-9E03-7AEC9E94BE6A}"/>
    <cellStyle name="Currency 5 2 5 3 4" xfId="10586" xr:uid="{E60EAAC9-9875-477B-9385-D9E25BFF705A}"/>
    <cellStyle name="Currency 5 2 5 3 5" xfId="19033" xr:uid="{6C67BE05-C9B7-4509-9BBF-F9FAF743D9D5}"/>
    <cellStyle name="Currency 5 2 5 3 6" xfId="27480" xr:uid="{1191BD4C-FD34-4EB5-8806-10CD618F918A}"/>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17361" xr:uid="{DD9A0AD3-CE24-40A5-A1C3-9E9692FFC65D}"/>
    <cellStyle name="Currency 5 2 5 4 2 2 3" xfId="25808" xr:uid="{07E4192F-0A00-4558-95D1-25BC71CF87FF}"/>
    <cellStyle name="Currency 5 2 5 4 2 2 4" xfId="34255" xr:uid="{C5B3F093-AEB6-4241-A128-A725F3AE1B9F}"/>
    <cellStyle name="Currency 5 2 5 4 2 3" xfId="13144" xr:uid="{1D39C56A-B0A7-450D-8B8E-0E3C6CACE07D}"/>
    <cellStyle name="Currency 5 2 5 4 2 4" xfId="21591" xr:uid="{77BFA8C9-FF09-4FC0-A8AA-A7A2BDCC4D7F}"/>
    <cellStyle name="Currency 5 2 5 4 2 5" xfId="30038" xr:uid="{1EC9DD0C-7BBD-4CEC-BDAF-7F5001D9207A}"/>
    <cellStyle name="Currency 5 2 5 4 3" xfId="5890" xr:uid="{00000000-0005-0000-0000-00005D0C0000}"/>
    <cellStyle name="Currency 5 2 5 4 3 2" xfId="15216" xr:uid="{2D57D3E3-64F3-4224-A3A0-A289A8805266}"/>
    <cellStyle name="Currency 5 2 5 4 3 3" xfId="23663" xr:uid="{2E579363-4CA4-4A57-8315-5F8619280898}"/>
    <cellStyle name="Currency 5 2 5 4 3 4" xfId="32110" xr:uid="{BC534225-6ADA-4CAB-A1BA-0F9B9A648598}"/>
    <cellStyle name="Currency 5 2 5 4 4" xfId="10999" xr:uid="{0EA9B036-BA5E-4A20-AA3D-41E1F68790EE}"/>
    <cellStyle name="Currency 5 2 5 4 5" xfId="19446" xr:uid="{3D4D89A4-3731-47F3-B43E-13AE77629219}"/>
    <cellStyle name="Currency 5 2 5 4 6" xfId="27893" xr:uid="{16EC4E77-7297-4BE2-8E25-CE2D70C4684F}"/>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17774" xr:uid="{89FA467F-928F-4A60-AE27-5C72253BEDB6}"/>
    <cellStyle name="Currency 5 2 5 5 2 2 3" xfId="26221" xr:uid="{0E83F51F-9FE5-47EB-8321-7266C1C0A5CC}"/>
    <cellStyle name="Currency 5 2 5 5 2 2 4" xfId="34668" xr:uid="{34E864B1-01AD-433A-8E1B-09CF1BCF1DD9}"/>
    <cellStyle name="Currency 5 2 5 5 2 3" xfId="13557" xr:uid="{8FA894DB-F638-415C-BD5E-86B061068F44}"/>
    <cellStyle name="Currency 5 2 5 5 2 4" xfId="22004" xr:uid="{5FB54B1C-1EB2-419C-A54E-FD14899DA035}"/>
    <cellStyle name="Currency 5 2 5 5 2 5" xfId="30451" xr:uid="{788DD750-1474-4A5B-9A1E-0DAD9A511218}"/>
    <cellStyle name="Currency 5 2 5 5 3" xfId="6303" xr:uid="{00000000-0005-0000-0000-0000610C0000}"/>
    <cellStyle name="Currency 5 2 5 5 3 2" xfId="15629" xr:uid="{95E288D2-3A41-42E8-A4F9-16AACED0D5FF}"/>
    <cellStyle name="Currency 5 2 5 5 3 3" xfId="24076" xr:uid="{26014CD9-64E0-42CB-992E-4161ED14F114}"/>
    <cellStyle name="Currency 5 2 5 5 3 4" xfId="32523" xr:uid="{145541C4-4FB8-46C9-B94B-727079B1925D}"/>
    <cellStyle name="Currency 5 2 5 5 4" xfId="11412" xr:uid="{263FC956-DFFB-4E55-9E96-01A00E618370}"/>
    <cellStyle name="Currency 5 2 5 5 5" xfId="19859" xr:uid="{D39449AF-0883-41C5-98C2-9691CC6389C7}"/>
    <cellStyle name="Currency 5 2 5 5 6" xfId="28306" xr:uid="{5F17F76D-66CF-4C19-B188-DF1E073005D5}"/>
    <cellStyle name="Currency 5 2 5 6" xfId="2432" xr:uid="{00000000-0005-0000-0000-0000620C0000}"/>
    <cellStyle name="Currency 5 2 5 6 2" xfId="6716" xr:uid="{00000000-0005-0000-0000-0000630C0000}"/>
    <cellStyle name="Currency 5 2 5 6 2 2" xfId="16042" xr:uid="{8C84B336-D5F4-4273-A747-60B22B6EF230}"/>
    <cellStyle name="Currency 5 2 5 6 2 3" xfId="24489" xr:uid="{8FD9EFAE-9ACD-4CDC-B075-DA23F95CAE26}"/>
    <cellStyle name="Currency 5 2 5 6 2 4" xfId="32936" xr:uid="{2D361948-1815-47B2-9166-6D2802E60DBF}"/>
    <cellStyle name="Currency 5 2 5 6 3" xfId="11825" xr:uid="{926CFB42-47A1-4454-9B11-AE68742E4E6F}"/>
    <cellStyle name="Currency 5 2 5 6 4" xfId="20272" xr:uid="{4708EE72-C906-498F-9BBB-5D3377BC9283}"/>
    <cellStyle name="Currency 5 2 5 6 5" xfId="28719" xr:uid="{6D0922E8-1C9A-42B6-A46A-AF5A95E46194}"/>
    <cellStyle name="Currency 5 2 5 7" xfId="2729" xr:uid="{00000000-0005-0000-0000-0000640C0000}"/>
    <cellStyle name="Currency 5 2 5 8" xfId="2810" xr:uid="{00000000-0005-0000-0000-0000650C0000}"/>
    <cellStyle name="Currency 5 2 5 8 2" xfId="7033" xr:uid="{00000000-0005-0000-0000-0000660C0000}"/>
    <cellStyle name="Currency 5 2 5 8 2 2" xfId="16359" xr:uid="{79BB7CE7-2FA1-44B2-BA21-5B7DC570AEF4}"/>
    <cellStyle name="Currency 5 2 5 8 2 3" xfId="24806" xr:uid="{1C0345A4-93C1-4555-8758-210BC79C5213}"/>
    <cellStyle name="Currency 5 2 5 8 2 4" xfId="33253" xr:uid="{FCE57113-14F0-48C8-BEC3-B022A1295846}"/>
    <cellStyle name="Currency 5 2 5 8 3" xfId="12142" xr:uid="{79771887-6772-4CB9-A5B9-3B959E858016}"/>
    <cellStyle name="Currency 5 2 5 8 4" xfId="20589" xr:uid="{48F49D0F-1A32-46F5-8A11-7AC6EA86E409}"/>
    <cellStyle name="Currency 5 2 5 8 5" xfId="29036" xr:uid="{90370F9F-ABBD-42BB-9C0E-F1AB54972F1C}"/>
    <cellStyle name="Currency 5 2 5 9" xfId="4650" xr:uid="{00000000-0005-0000-0000-0000670C0000}"/>
    <cellStyle name="Currency 5 2 5 9 2" xfId="13976" xr:uid="{39A648A8-BDAF-4038-A314-63008E9290EC}"/>
    <cellStyle name="Currency 5 2 5 9 3" xfId="22423" xr:uid="{60B7A916-A545-4002-95BB-6B9BADAFFE75}"/>
    <cellStyle name="Currency 5 2 5 9 4" xfId="30870" xr:uid="{C9CEB88F-C812-4D50-A68A-17985A88D7AF}"/>
    <cellStyle name="Currency 5 2 6" xfId="208" xr:uid="{00000000-0005-0000-0000-0000680C0000}"/>
    <cellStyle name="Currency 5 2 6 10" xfId="9178" xr:uid="{19F6D70E-88E4-4E39-A1A9-3FF3D840E2F9}"/>
    <cellStyle name="Currency 5 2 6 11" xfId="9760" xr:uid="{B0A67E7B-E4CE-495C-B02F-84A57AD4D214}"/>
    <cellStyle name="Currency 5 2 6 12" xfId="18207" xr:uid="{33D44D2D-B16D-4E87-9C06-01AD57430877}"/>
    <cellStyle name="Currency 5 2 6 13" xfId="26654" xr:uid="{783CD1A5-9237-4077-AFFF-4CC8848781E5}"/>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16536" xr:uid="{9E84661C-9D54-43AF-B207-D6120E31DAAC}"/>
    <cellStyle name="Currency 5 2 6 2 2 2 3" xfId="24983" xr:uid="{0B7C9D6A-3D5F-48E8-AC81-C9D6197B2EC8}"/>
    <cellStyle name="Currency 5 2 6 2 2 2 4" xfId="33430" xr:uid="{8E241468-B7C3-4167-ADAE-8A3480DCBC9E}"/>
    <cellStyle name="Currency 5 2 6 2 2 3" xfId="12319" xr:uid="{73CF9CC9-0C2C-4845-BA79-B3696E07B630}"/>
    <cellStyle name="Currency 5 2 6 2 2 4" xfId="20766" xr:uid="{8A0B7CA5-2D9E-4BB4-B6CC-5C60BF65D179}"/>
    <cellStyle name="Currency 5 2 6 2 2 5" xfId="29213" xr:uid="{27788B72-F2C1-4CFB-8D4A-12F0AEDB51E3}"/>
    <cellStyle name="Currency 5 2 6 2 3" xfId="5065" xr:uid="{00000000-0005-0000-0000-00006C0C0000}"/>
    <cellStyle name="Currency 5 2 6 2 3 2" xfId="14391" xr:uid="{85179024-139F-4FDD-9D0C-3EF0C84B855C}"/>
    <cellStyle name="Currency 5 2 6 2 3 3" xfId="22838" xr:uid="{55070627-2ECC-4E29-A4C5-486840340DC4}"/>
    <cellStyle name="Currency 5 2 6 2 3 4" xfId="31285" xr:uid="{5A1AB517-CC4A-4A90-A2DA-ADCC6C4939BB}"/>
    <cellStyle name="Currency 5 2 6 2 4" xfId="9599" xr:uid="{C2EE182C-D73D-4E6C-9671-0484CB4E8D68}"/>
    <cellStyle name="Currency 5 2 6 2 5" xfId="10174" xr:uid="{60C3BFEF-8CE6-432B-8B2F-63D6A55CCC6D}"/>
    <cellStyle name="Currency 5 2 6 2 6" xfId="18621" xr:uid="{67B7CD31-A3CD-4841-862B-384561530CA0}"/>
    <cellStyle name="Currency 5 2 6 2 7" xfId="27068" xr:uid="{5F4B59B1-31EA-4B99-B562-A18CD3CBAD4E}"/>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16949" xr:uid="{7F14C900-D265-4683-AC12-D817C02F96F2}"/>
    <cellStyle name="Currency 5 2 6 3 2 2 3" xfId="25396" xr:uid="{F92394F7-B033-479C-BDF3-B7BC5A6F2CFC}"/>
    <cellStyle name="Currency 5 2 6 3 2 2 4" xfId="33843" xr:uid="{C27691E3-73C3-4CE9-BB70-9B5B8468347B}"/>
    <cellStyle name="Currency 5 2 6 3 2 3" xfId="12732" xr:uid="{60B68837-1F14-4C59-A3BE-482904C62AD5}"/>
    <cellStyle name="Currency 5 2 6 3 2 4" xfId="21179" xr:uid="{5ABAB7B2-F609-4048-8F00-0A39C601156F}"/>
    <cellStyle name="Currency 5 2 6 3 2 5" xfId="29626" xr:uid="{6C1B9B6A-4F03-4AE1-9B9F-31F38FAAAFE9}"/>
    <cellStyle name="Currency 5 2 6 3 3" xfId="5478" xr:uid="{00000000-0005-0000-0000-0000700C0000}"/>
    <cellStyle name="Currency 5 2 6 3 3 2" xfId="14804" xr:uid="{2966EBCE-81BF-49D0-9A9F-82B7B3269623}"/>
    <cellStyle name="Currency 5 2 6 3 3 3" xfId="23251" xr:uid="{8E78BB0A-9FF7-4D77-BAE1-9C4EEA914063}"/>
    <cellStyle name="Currency 5 2 6 3 3 4" xfId="31698" xr:uid="{FC0A8F00-A52E-4571-87D9-5CC17FE57172}"/>
    <cellStyle name="Currency 5 2 6 3 4" xfId="10587" xr:uid="{583744E6-E48B-4A1F-B7DB-4CB3C65001DA}"/>
    <cellStyle name="Currency 5 2 6 3 5" xfId="19034" xr:uid="{8080DB3C-DCA6-44D2-BA2D-55896A218038}"/>
    <cellStyle name="Currency 5 2 6 3 6" xfId="27481" xr:uid="{B050657E-CABD-4DB0-BDEB-39453F7BA04E}"/>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17362" xr:uid="{AFBCE178-DAE9-43E2-B900-AC6C732A58BD}"/>
    <cellStyle name="Currency 5 2 6 4 2 2 3" xfId="25809" xr:uid="{1BDB33B0-5FC7-43F0-987E-DFD072892643}"/>
    <cellStyle name="Currency 5 2 6 4 2 2 4" xfId="34256" xr:uid="{C24D187E-D131-418B-AAB4-14F0B54BA867}"/>
    <cellStyle name="Currency 5 2 6 4 2 3" xfId="13145" xr:uid="{3FA313A7-CB36-4D37-99BF-5674941C7B34}"/>
    <cellStyle name="Currency 5 2 6 4 2 4" xfId="21592" xr:uid="{FD8146C6-365F-4DA8-AA23-E88718AF623E}"/>
    <cellStyle name="Currency 5 2 6 4 2 5" xfId="30039" xr:uid="{53AC6208-F7E3-465A-9319-F2FF8523B154}"/>
    <cellStyle name="Currency 5 2 6 4 3" xfId="5891" xr:uid="{00000000-0005-0000-0000-0000740C0000}"/>
    <cellStyle name="Currency 5 2 6 4 3 2" xfId="15217" xr:uid="{E1FC77F6-66E9-458E-B3C8-8458ED8F90C6}"/>
    <cellStyle name="Currency 5 2 6 4 3 3" xfId="23664" xr:uid="{F19BC86D-066C-4A48-BD96-2FDA997FE820}"/>
    <cellStyle name="Currency 5 2 6 4 3 4" xfId="32111" xr:uid="{69FB0FB9-F1AD-447A-A752-5863DD3DB5E7}"/>
    <cellStyle name="Currency 5 2 6 4 4" xfId="11000" xr:uid="{E1F836F9-AD3C-427C-A9CD-93109446F5FD}"/>
    <cellStyle name="Currency 5 2 6 4 5" xfId="19447" xr:uid="{7DA406FF-8E34-4DA3-809C-F06A25939560}"/>
    <cellStyle name="Currency 5 2 6 4 6" xfId="27894" xr:uid="{4A3782D1-4C56-4643-9176-17FF5BD6E334}"/>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17775" xr:uid="{97AC7650-0FB9-4ED1-8355-FA6A7DD94794}"/>
    <cellStyle name="Currency 5 2 6 5 2 2 3" xfId="26222" xr:uid="{E0A7F20D-5387-41F0-85FF-C3AC52459595}"/>
    <cellStyle name="Currency 5 2 6 5 2 2 4" xfId="34669" xr:uid="{4D7D1853-F798-4AEF-8C85-92FBAA2F1E6D}"/>
    <cellStyle name="Currency 5 2 6 5 2 3" xfId="13558" xr:uid="{EE544134-65BA-4106-8C8C-0D48491F676E}"/>
    <cellStyle name="Currency 5 2 6 5 2 4" xfId="22005" xr:uid="{F474F527-A65C-449E-96F7-3F648F30A5CD}"/>
    <cellStyle name="Currency 5 2 6 5 2 5" xfId="30452" xr:uid="{94307314-B9FF-4776-90D2-EC43E8AD52F4}"/>
    <cellStyle name="Currency 5 2 6 5 3" xfId="6304" xr:uid="{00000000-0005-0000-0000-0000780C0000}"/>
    <cellStyle name="Currency 5 2 6 5 3 2" xfId="15630" xr:uid="{0B711F9C-90A8-4AF6-A539-1C5E7BC9F433}"/>
    <cellStyle name="Currency 5 2 6 5 3 3" xfId="24077" xr:uid="{B132AE43-1EF6-45F2-8B33-CF0742C57F52}"/>
    <cellStyle name="Currency 5 2 6 5 3 4" xfId="32524" xr:uid="{C3BC30BE-66EE-4607-AFE6-5576F65E2F01}"/>
    <cellStyle name="Currency 5 2 6 5 4" xfId="11413" xr:uid="{FF48CCC7-D2A0-40B5-B399-4D6F9C8E8EE8}"/>
    <cellStyle name="Currency 5 2 6 5 5" xfId="19860" xr:uid="{FC00BBF7-3803-4246-9D43-E3694019DF37}"/>
    <cellStyle name="Currency 5 2 6 5 6" xfId="28307" xr:uid="{69F6EEB3-F522-4B9D-B722-FE47E2EA2700}"/>
    <cellStyle name="Currency 5 2 6 6" xfId="2433" xr:uid="{00000000-0005-0000-0000-0000790C0000}"/>
    <cellStyle name="Currency 5 2 6 6 2" xfId="6717" xr:uid="{00000000-0005-0000-0000-00007A0C0000}"/>
    <cellStyle name="Currency 5 2 6 6 2 2" xfId="16043" xr:uid="{D675514D-852A-4758-B1E3-D0D68DA661BC}"/>
    <cellStyle name="Currency 5 2 6 6 2 3" xfId="24490" xr:uid="{30AB762A-169A-4BD5-935B-9645B492F026}"/>
    <cellStyle name="Currency 5 2 6 6 2 4" xfId="32937" xr:uid="{0F0C35F4-F6AF-43C3-B0BE-EB1105310A23}"/>
    <cellStyle name="Currency 5 2 6 6 3" xfId="11826" xr:uid="{BAB4CE95-16BB-49D1-9E6E-A09BB49786F1}"/>
    <cellStyle name="Currency 5 2 6 6 4" xfId="20273" xr:uid="{994FF92A-4906-49DC-BA7B-6BE8B3AA91F2}"/>
    <cellStyle name="Currency 5 2 6 6 5" xfId="28720" xr:uid="{9069B0EB-4B52-4DC0-A025-1DCACB0900FB}"/>
    <cellStyle name="Currency 5 2 6 7" xfId="2730" xr:uid="{00000000-0005-0000-0000-00007B0C0000}"/>
    <cellStyle name="Currency 5 2 6 8" xfId="2811" xr:uid="{00000000-0005-0000-0000-00007C0C0000}"/>
    <cellStyle name="Currency 5 2 6 8 2" xfId="7034" xr:uid="{00000000-0005-0000-0000-00007D0C0000}"/>
    <cellStyle name="Currency 5 2 6 8 2 2" xfId="16360" xr:uid="{4878848F-880A-4FE4-A95D-2F5573243121}"/>
    <cellStyle name="Currency 5 2 6 8 2 3" xfId="24807" xr:uid="{979233F0-C434-4D9F-BE3F-CECAA309AD8C}"/>
    <cellStyle name="Currency 5 2 6 8 2 4" xfId="33254" xr:uid="{D8A7FAE8-CE67-4714-93EE-D45C340B7320}"/>
    <cellStyle name="Currency 5 2 6 8 3" xfId="12143" xr:uid="{74FDA3A8-0B51-405B-BEE0-959D0424341A}"/>
    <cellStyle name="Currency 5 2 6 8 4" xfId="20590" xr:uid="{99767F82-4DC2-47F2-BFA5-EE694FA8DCBF}"/>
    <cellStyle name="Currency 5 2 6 8 5" xfId="29037" xr:uid="{EFDDA252-CB2F-4F70-B3BC-6C9DE80137C2}"/>
    <cellStyle name="Currency 5 2 6 9" xfId="4651" xr:uid="{00000000-0005-0000-0000-00007E0C0000}"/>
    <cellStyle name="Currency 5 2 6 9 2" xfId="13977" xr:uid="{D1618403-D6D2-4717-9238-2C6C3634DEA4}"/>
    <cellStyle name="Currency 5 2 6 9 3" xfId="22424" xr:uid="{A65E901C-7E75-4031-8547-CCB49F9A4EE7}"/>
    <cellStyle name="Currency 5 2 6 9 4" xfId="30871" xr:uid="{3ADB719B-395B-4147-979F-B1BFAF6C90AA}"/>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16361" xr:uid="{FBEC07C7-0855-4130-A0EE-B692A7A2E0C0}"/>
    <cellStyle name="Currency 5 3 2 10 2 3" xfId="24808" xr:uid="{AD0EC049-9AAC-452C-AFF7-697E7702E26D}"/>
    <cellStyle name="Currency 5 3 2 10 2 4" xfId="33255" xr:uid="{99963962-DC4F-4370-9B80-99C6E384180C}"/>
    <cellStyle name="Currency 5 3 2 10 3" xfId="12144" xr:uid="{9D604CDE-55A9-4824-A736-65CDCA67BE10}"/>
    <cellStyle name="Currency 5 3 2 10 4" xfId="20591" xr:uid="{BEE78289-3A59-4F43-903A-F773E349F281}"/>
    <cellStyle name="Currency 5 3 2 10 5" xfId="29038" xr:uid="{39DB6C40-1FF3-4C89-8531-1471AE610C21}"/>
    <cellStyle name="Currency 5 3 2 11" xfId="4652" xr:uid="{00000000-0005-0000-0000-0000840C0000}"/>
    <cellStyle name="Currency 5 3 2 11 2" xfId="13978" xr:uid="{CEB6CD5E-67FD-494B-BE3B-BDDE09BED520}"/>
    <cellStyle name="Currency 5 3 2 11 3" xfId="22425" xr:uid="{400F9DAF-6CFD-40B7-B084-549CF96704ED}"/>
    <cellStyle name="Currency 5 3 2 11 4" xfId="30872" xr:uid="{5C3A846C-E09B-4428-9D38-4DA177D6C7CA}"/>
    <cellStyle name="Currency 5 3 2 12" xfId="8810" xr:uid="{C5234FF9-D509-4CD8-ADA1-D3604CCF3D1F}"/>
    <cellStyle name="Currency 5 3 2 13" xfId="9761" xr:uid="{02DB5A04-1B28-4C27-9B3C-8FE9DC917ED7}"/>
    <cellStyle name="Currency 5 3 2 14" xfId="18208" xr:uid="{340C3B82-C956-4EDB-8004-3E28DE4DEEBC}"/>
    <cellStyle name="Currency 5 3 2 15" xfId="26655" xr:uid="{049C1C0C-D22B-4521-A23D-CAD6B50E5A2B}"/>
    <cellStyle name="Currency 5 3 2 2" xfId="211" xr:uid="{00000000-0005-0000-0000-0000850C0000}"/>
    <cellStyle name="Currency 5 3 2 2 10" xfId="4653" xr:uid="{00000000-0005-0000-0000-0000860C0000}"/>
    <cellStyle name="Currency 5 3 2 2 10 2" xfId="13979" xr:uid="{0C3F266B-95CC-4DCD-8DB6-24F5714F4D74}"/>
    <cellStyle name="Currency 5 3 2 2 10 3" xfId="22426" xr:uid="{F4E0753A-AAE1-4ED2-97D1-C1DC3B8CA24A}"/>
    <cellStyle name="Currency 5 3 2 2 10 4" xfId="30873" xr:uid="{818A89ED-DC3B-4BA8-BB6A-5133E507B2DB}"/>
    <cellStyle name="Currency 5 3 2 2 11" xfId="8913" xr:uid="{FE033F82-2F16-4925-9899-F927AB9AA612}"/>
    <cellStyle name="Currency 5 3 2 2 12" xfId="9762" xr:uid="{60EDDEA6-F240-4E21-818E-93C6E3BC8FF3}"/>
    <cellStyle name="Currency 5 3 2 2 13" xfId="18209" xr:uid="{E53E6E48-8084-4E7E-A3AA-98AF5A4CF3EE}"/>
    <cellStyle name="Currency 5 3 2 2 14" xfId="26656" xr:uid="{313854A7-8905-449D-9449-5E915CC9148A}"/>
    <cellStyle name="Currency 5 3 2 2 2" xfId="212" xr:uid="{00000000-0005-0000-0000-0000870C0000}"/>
    <cellStyle name="Currency 5 3 2 2 2 10" xfId="9120" xr:uid="{D5536A1F-8418-4CB5-B1E0-470AD716374A}"/>
    <cellStyle name="Currency 5 3 2 2 2 11" xfId="9763" xr:uid="{614DC460-D9DC-429A-A5A1-9EA88143BE7D}"/>
    <cellStyle name="Currency 5 3 2 2 2 12" xfId="18210" xr:uid="{BB68D6B8-D97D-4F89-9C99-BE23B5D3EDC4}"/>
    <cellStyle name="Currency 5 3 2 2 2 13" xfId="26657" xr:uid="{FE8A7D6D-9569-4F85-9292-2CECB50D983C}"/>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16539" xr:uid="{B1DFA621-DBCF-4DDE-99A3-0019C285B3CC}"/>
    <cellStyle name="Currency 5 3 2 2 2 2 2 2 3" xfId="24986" xr:uid="{29B74F0B-A4E1-4AE9-BCC6-C7928B9D88B3}"/>
    <cellStyle name="Currency 5 3 2 2 2 2 2 2 4" xfId="33433" xr:uid="{D9443E97-49FA-4665-928C-125A3D109D59}"/>
    <cellStyle name="Currency 5 3 2 2 2 2 2 3" xfId="12322" xr:uid="{351F9087-F659-43CD-AADD-C4627D21A0A5}"/>
    <cellStyle name="Currency 5 3 2 2 2 2 2 4" xfId="20769" xr:uid="{B0251098-2844-4B7E-9823-C8D59E3A2205}"/>
    <cellStyle name="Currency 5 3 2 2 2 2 2 5" xfId="29216" xr:uid="{6CB0739E-FA17-4DA9-B182-62A6081495B0}"/>
    <cellStyle name="Currency 5 3 2 2 2 2 3" xfId="5068" xr:uid="{00000000-0005-0000-0000-00008B0C0000}"/>
    <cellStyle name="Currency 5 3 2 2 2 2 3 2" xfId="14394" xr:uid="{32CED68F-B6A4-4818-9A0B-5FE02A91120C}"/>
    <cellStyle name="Currency 5 3 2 2 2 2 3 3" xfId="22841" xr:uid="{BFE0ED17-579A-43C7-A74E-D00F38281549}"/>
    <cellStyle name="Currency 5 3 2 2 2 2 3 4" xfId="31288" xr:uid="{FABEE7F0-DD47-4579-ADB8-11A5F7738D09}"/>
    <cellStyle name="Currency 5 3 2 2 2 2 4" xfId="9545" xr:uid="{F6C268D6-0334-42F7-AE4F-535ADD09B625}"/>
    <cellStyle name="Currency 5 3 2 2 2 2 5" xfId="10177" xr:uid="{D866BD74-740D-49E3-A8C7-A001268C0E3E}"/>
    <cellStyle name="Currency 5 3 2 2 2 2 6" xfId="18624" xr:uid="{763EFD17-458F-4D05-A440-71C3CB261F89}"/>
    <cellStyle name="Currency 5 3 2 2 2 2 7" xfId="27071" xr:uid="{BC7E9D13-014B-45A9-B1B9-E4322621838C}"/>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16952" xr:uid="{8D241B5E-381F-4349-B7AC-8BC8A166E131}"/>
    <cellStyle name="Currency 5 3 2 2 2 3 2 2 3" xfId="25399" xr:uid="{EA3A246E-E8FC-4822-8FF1-2219D5C04592}"/>
    <cellStyle name="Currency 5 3 2 2 2 3 2 2 4" xfId="33846" xr:uid="{272AC2CA-72A2-427A-92F2-A8B9476FBB4B}"/>
    <cellStyle name="Currency 5 3 2 2 2 3 2 3" xfId="12735" xr:uid="{286AC5FC-40F1-4C29-816A-672806D40593}"/>
    <cellStyle name="Currency 5 3 2 2 2 3 2 4" xfId="21182" xr:uid="{19496EE1-9079-4324-8BF6-56B6EC3AC7FD}"/>
    <cellStyle name="Currency 5 3 2 2 2 3 2 5" xfId="29629" xr:uid="{ED788D23-0C91-471F-A3D5-C6432F869B40}"/>
    <cellStyle name="Currency 5 3 2 2 2 3 3" xfId="5481" xr:uid="{00000000-0005-0000-0000-00008F0C0000}"/>
    <cellStyle name="Currency 5 3 2 2 2 3 3 2" xfId="14807" xr:uid="{1B724198-A055-44A0-9727-9557CF517E23}"/>
    <cellStyle name="Currency 5 3 2 2 2 3 3 3" xfId="23254" xr:uid="{4626BD11-7598-452E-8B18-EFDB1087BA93}"/>
    <cellStyle name="Currency 5 3 2 2 2 3 3 4" xfId="31701" xr:uid="{8EFAA408-7033-4A60-803E-ECF36997659B}"/>
    <cellStyle name="Currency 5 3 2 2 2 3 4" xfId="10590" xr:uid="{867E887E-01FF-4F41-9A1D-7BDE31CD4F85}"/>
    <cellStyle name="Currency 5 3 2 2 2 3 5" xfId="19037" xr:uid="{C60014E6-8EF2-459B-9A7B-623C084E4322}"/>
    <cellStyle name="Currency 5 3 2 2 2 3 6" xfId="27484" xr:uid="{7BE8F991-B712-467B-B04E-AC48A204F2B3}"/>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17365" xr:uid="{82C753BA-1F67-400F-8477-6542F8EB920D}"/>
    <cellStyle name="Currency 5 3 2 2 2 4 2 2 3" xfId="25812" xr:uid="{79854564-839F-42C4-85A2-C897413CB032}"/>
    <cellStyle name="Currency 5 3 2 2 2 4 2 2 4" xfId="34259" xr:uid="{D16F3F1A-DF47-4867-962E-E3D91467D2CF}"/>
    <cellStyle name="Currency 5 3 2 2 2 4 2 3" xfId="13148" xr:uid="{FCB9E4FB-6ED0-478B-B166-966FF1A0EB7C}"/>
    <cellStyle name="Currency 5 3 2 2 2 4 2 4" xfId="21595" xr:uid="{848F095E-F687-46EB-A2E6-4AE23E174D44}"/>
    <cellStyle name="Currency 5 3 2 2 2 4 2 5" xfId="30042" xr:uid="{F938331B-053C-489C-8D3E-8A7D94D02D15}"/>
    <cellStyle name="Currency 5 3 2 2 2 4 3" xfId="5894" xr:uid="{00000000-0005-0000-0000-0000930C0000}"/>
    <cellStyle name="Currency 5 3 2 2 2 4 3 2" xfId="15220" xr:uid="{AAD4A3A9-FC7D-4F20-978B-3FBA50726C60}"/>
    <cellStyle name="Currency 5 3 2 2 2 4 3 3" xfId="23667" xr:uid="{BA3029EB-16DA-4D90-9A01-5C659803B6F8}"/>
    <cellStyle name="Currency 5 3 2 2 2 4 3 4" xfId="32114" xr:uid="{9DE13E2B-B276-4CFC-A24C-13DCBEF2352A}"/>
    <cellStyle name="Currency 5 3 2 2 2 4 4" xfId="11003" xr:uid="{E16C79A0-7918-4CA0-86B2-C28B2F5DA4E9}"/>
    <cellStyle name="Currency 5 3 2 2 2 4 5" xfId="19450" xr:uid="{7B971056-BF14-4E79-9881-7BC3C84B7599}"/>
    <cellStyle name="Currency 5 3 2 2 2 4 6" xfId="27897" xr:uid="{9AA41A2C-C43C-4920-8C05-CD9BA5A25784}"/>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17778" xr:uid="{06237C84-B701-447F-8D92-972D8BFBFD84}"/>
    <cellStyle name="Currency 5 3 2 2 2 5 2 2 3" xfId="26225" xr:uid="{19A5660A-DFFD-4EFF-BA98-C91367D999D5}"/>
    <cellStyle name="Currency 5 3 2 2 2 5 2 2 4" xfId="34672" xr:uid="{8D48433E-412A-4C02-863B-00C36225D2B0}"/>
    <cellStyle name="Currency 5 3 2 2 2 5 2 3" xfId="13561" xr:uid="{43BECC59-BB5F-45F7-BEBD-4C2CC2100C71}"/>
    <cellStyle name="Currency 5 3 2 2 2 5 2 4" xfId="22008" xr:uid="{C0F6ACF6-A85A-420D-ACB2-FD805D160A35}"/>
    <cellStyle name="Currency 5 3 2 2 2 5 2 5" xfId="30455" xr:uid="{D5424126-DEDF-4A3D-9B1C-9DA124B3D06E}"/>
    <cellStyle name="Currency 5 3 2 2 2 5 3" xfId="6307" xr:uid="{00000000-0005-0000-0000-0000970C0000}"/>
    <cellStyle name="Currency 5 3 2 2 2 5 3 2" xfId="15633" xr:uid="{CA20DE8A-D7E0-4119-9220-F44FBF5375DE}"/>
    <cellStyle name="Currency 5 3 2 2 2 5 3 3" xfId="24080" xr:uid="{0B0A0DF1-793D-4D0B-8260-3CFB2512F144}"/>
    <cellStyle name="Currency 5 3 2 2 2 5 3 4" xfId="32527" xr:uid="{BBCA7F74-7E1A-4304-96F6-F7A189B83FBA}"/>
    <cellStyle name="Currency 5 3 2 2 2 5 4" xfId="11416" xr:uid="{5682F253-317D-4897-9F57-16087E41D1BA}"/>
    <cellStyle name="Currency 5 3 2 2 2 5 5" xfId="19863" xr:uid="{D19BD502-8AE1-4414-A412-9F84B6CA6F21}"/>
    <cellStyle name="Currency 5 3 2 2 2 5 6" xfId="28310" xr:uid="{94660D93-0E63-4CEA-B9CA-DBC12BE8885A}"/>
    <cellStyle name="Currency 5 3 2 2 2 6" xfId="2436" xr:uid="{00000000-0005-0000-0000-0000980C0000}"/>
    <cellStyle name="Currency 5 3 2 2 2 6 2" xfId="6720" xr:uid="{00000000-0005-0000-0000-0000990C0000}"/>
    <cellStyle name="Currency 5 3 2 2 2 6 2 2" xfId="16046" xr:uid="{1233A84F-5750-40AB-AB3B-062B535AB15E}"/>
    <cellStyle name="Currency 5 3 2 2 2 6 2 3" xfId="24493" xr:uid="{5F422B33-6F61-4945-9CBA-9E0A958C3819}"/>
    <cellStyle name="Currency 5 3 2 2 2 6 2 4" xfId="32940" xr:uid="{195E8C24-7A24-4AD8-AD89-219EEBF32695}"/>
    <cellStyle name="Currency 5 3 2 2 2 6 3" xfId="11829" xr:uid="{8449BD97-15D5-436F-9AF4-8790589FB523}"/>
    <cellStyle name="Currency 5 3 2 2 2 6 4" xfId="20276" xr:uid="{7EC297E3-C616-4E2C-845A-F3273645B112}"/>
    <cellStyle name="Currency 5 3 2 2 2 6 5" xfId="28723" xr:uid="{38B5341B-6741-47C5-A47C-4E13AAC8A5B9}"/>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16363" xr:uid="{437151AA-8CCA-45A5-9A9C-D5F56A5F34EB}"/>
    <cellStyle name="Currency 5 3 2 2 2 8 2 3" xfId="24810" xr:uid="{345F6DA4-9C87-4230-A8A1-1A557EFC8B3E}"/>
    <cellStyle name="Currency 5 3 2 2 2 8 2 4" xfId="33257" xr:uid="{222B7BF5-5E84-4B66-9EA6-9BFA8EDDCE47}"/>
    <cellStyle name="Currency 5 3 2 2 2 8 3" xfId="12146" xr:uid="{EAF6310E-7B13-4C19-B888-229C2ACFB858}"/>
    <cellStyle name="Currency 5 3 2 2 2 8 4" xfId="20593" xr:uid="{2E4787C8-9491-4D50-971E-2B0D4702487F}"/>
    <cellStyle name="Currency 5 3 2 2 2 8 5" xfId="29040" xr:uid="{7ED49E71-97A3-4202-AAAB-4262ECDD4725}"/>
    <cellStyle name="Currency 5 3 2 2 2 9" xfId="4654" xr:uid="{00000000-0005-0000-0000-00009D0C0000}"/>
    <cellStyle name="Currency 5 3 2 2 2 9 2" xfId="13980" xr:uid="{50E8B6E1-CDC5-4786-950A-A80C39231F38}"/>
    <cellStyle name="Currency 5 3 2 2 2 9 3" xfId="22427" xr:uid="{9E55D242-EFF1-4377-BC36-21B1D1943D7E}"/>
    <cellStyle name="Currency 5 3 2 2 2 9 4" xfId="30874" xr:uid="{B582655C-33FE-4CAD-B3BB-49AFD9939F55}"/>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16538" xr:uid="{07EFEC15-7F08-4E19-8BC0-4A68680CB1A8}"/>
    <cellStyle name="Currency 5 3 2 2 3 2 2 3" xfId="24985" xr:uid="{151DF78B-52A3-4ACB-B21A-348D99E759B0}"/>
    <cellStyle name="Currency 5 3 2 2 3 2 2 4" xfId="33432" xr:uid="{FA4BE1A1-3478-40FB-A3D1-F632701D5023}"/>
    <cellStyle name="Currency 5 3 2 2 3 2 3" xfId="12321" xr:uid="{AA4F5655-13EB-4836-A9F3-28A5D126C094}"/>
    <cellStyle name="Currency 5 3 2 2 3 2 4" xfId="20768" xr:uid="{08824C9B-178B-46EC-85F4-9FDDC3A832BC}"/>
    <cellStyle name="Currency 5 3 2 2 3 2 5" xfId="29215" xr:uid="{EF84A8AB-3998-4FC8-8B70-EABB2F31BC7F}"/>
    <cellStyle name="Currency 5 3 2 2 3 3" xfId="5067" xr:uid="{00000000-0005-0000-0000-0000A10C0000}"/>
    <cellStyle name="Currency 5 3 2 2 3 3 2" xfId="14393" xr:uid="{0CC3F567-A145-400A-99DB-B0E93DF8C999}"/>
    <cellStyle name="Currency 5 3 2 2 3 3 3" xfId="22840" xr:uid="{0104E1DB-A7D2-410A-97B1-35AE07DA217C}"/>
    <cellStyle name="Currency 5 3 2 2 3 3 4" xfId="31287" xr:uid="{69BB9921-DE16-4B5F-88D5-ECFEC68175F0}"/>
    <cellStyle name="Currency 5 3 2 2 3 4" xfId="9338" xr:uid="{E79296CA-9516-4DDA-84B2-A3B13AAA9D9D}"/>
    <cellStyle name="Currency 5 3 2 2 3 5" xfId="10176" xr:uid="{21DA4CE2-F247-40E4-859E-0F28AE7131FE}"/>
    <cellStyle name="Currency 5 3 2 2 3 6" xfId="18623" xr:uid="{7DAAFE19-8CAC-497C-A2DD-15DD9EC9B770}"/>
    <cellStyle name="Currency 5 3 2 2 3 7" xfId="27070" xr:uid="{BC48A9E0-2167-4D1A-B926-F07D8BB057C5}"/>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16951" xr:uid="{12EDFEA9-413C-4BC2-A5CF-4995C784828A}"/>
    <cellStyle name="Currency 5 3 2 2 4 2 2 3" xfId="25398" xr:uid="{B84B5A77-9670-4061-B7B5-9BF8D654E787}"/>
    <cellStyle name="Currency 5 3 2 2 4 2 2 4" xfId="33845" xr:uid="{3F1A00EB-40F8-40A6-A9B3-90D61737BFC0}"/>
    <cellStyle name="Currency 5 3 2 2 4 2 3" xfId="12734" xr:uid="{20D64BFB-C9ED-42DA-8C12-F1053D5082E0}"/>
    <cellStyle name="Currency 5 3 2 2 4 2 4" xfId="21181" xr:uid="{612EEFDD-9EC5-4BEE-85BD-1653A53C79E8}"/>
    <cellStyle name="Currency 5 3 2 2 4 2 5" xfId="29628" xr:uid="{851DDFE8-FEB8-4C9E-8EBB-31399274620A}"/>
    <cellStyle name="Currency 5 3 2 2 4 3" xfId="5480" xr:uid="{00000000-0005-0000-0000-0000A50C0000}"/>
    <cellStyle name="Currency 5 3 2 2 4 3 2" xfId="14806" xr:uid="{74964D03-1FDC-4C1B-B29C-FEEF77CD3644}"/>
    <cellStyle name="Currency 5 3 2 2 4 3 3" xfId="23253" xr:uid="{DC7C7BEC-E156-4444-98B2-D09B5F7FCECD}"/>
    <cellStyle name="Currency 5 3 2 2 4 3 4" xfId="31700" xr:uid="{AC99A6F2-8274-4BFB-955E-6FBF5B27FAC8}"/>
    <cellStyle name="Currency 5 3 2 2 4 4" xfId="10589" xr:uid="{2108229A-6DA8-4262-9542-C5E2BFDAC254}"/>
    <cellStyle name="Currency 5 3 2 2 4 5" xfId="19036" xr:uid="{82A5D326-C306-4D5D-B9E7-118A06870E57}"/>
    <cellStyle name="Currency 5 3 2 2 4 6" xfId="27483" xr:uid="{5C8E63CD-16A1-4A0A-8972-C2E4F449A2A1}"/>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17364" xr:uid="{17E0B659-9FC1-46B9-8807-097BDCEA6262}"/>
    <cellStyle name="Currency 5 3 2 2 5 2 2 3" xfId="25811" xr:uid="{8660077B-EC15-4D1D-B462-6C8F129C4B13}"/>
    <cellStyle name="Currency 5 3 2 2 5 2 2 4" xfId="34258" xr:uid="{356E9F26-3416-4B14-8D72-92BA49A905B9}"/>
    <cellStyle name="Currency 5 3 2 2 5 2 3" xfId="13147" xr:uid="{85758E4E-585E-45CC-B21E-4C7DCFCBD875}"/>
    <cellStyle name="Currency 5 3 2 2 5 2 4" xfId="21594" xr:uid="{BD952B56-C0CB-4ABC-B737-5A055450AD5F}"/>
    <cellStyle name="Currency 5 3 2 2 5 2 5" xfId="30041" xr:uid="{D2C00AC7-9313-4BBA-BE6A-999F250C07C4}"/>
    <cellStyle name="Currency 5 3 2 2 5 3" xfId="5893" xr:uid="{00000000-0005-0000-0000-0000A90C0000}"/>
    <cellStyle name="Currency 5 3 2 2 5 3 2" xfId="15219" xr:uid="{8F2CF479-331F-44F9-8CC9-17E06026C9B4}"/>
    <cellStyle name="Currency 5 3 2 2 5 3 3" xfId="23666" xr:uid="{39BD6733-2417-46BE-82DC-FE06B4700024}"/>
    <cellStyle name="Currency 5 3 2 2 5 3 4" xfId="32113" xr:uid="{853A5E47-DDA1-4B92-BE92-7B548C77923C}"/>
    <cellStyle name="Currency 5 3 2 2 5 4" xfId="11002" xr:uid="{95531189-E1DE-48AE-B38D-03D3051F92B2}"/>
    <cellStyle name="Currency 5 3 2 2 5 5" xfId="19449" xr:uid="{81305ED6-A44E-4023-A168-B0B2241CBF14}"/>
    <cellStyle name="Currency 5 3 2 2 5 6" xfId="27896" xr:uid="{F3EE4FD9-16ED-4EB4-8C98-34289C58FFB2}"/>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17777" xr:uid="{9A166B72-23F6-434C-8B2C-54D35AFD860E}"/>
    <cellStyle name="Currency 5 3 2 2 6 2 2 3" xfId="26224" xr:uid="{865B578F-2941-4A9A-B269-A36F87343185}"/>
    <cellStyle name="Currency 5 3 2 2 6 2 2 4" xfId="34671" xr:uid="{B1F74BE1-A4D2-48BE-9745-09819F13CEDB}"/>
    <cellStyle name="Currency 5 3 2 2 6 2 3" xfId="13560" xr:uid="{2ABBCEC3-4B99-4BC6-9F52-C0549BB5A069}"/>
    <cellStyle name="Currency 5 3 2 2 6 2 4" xfId="22007" xr:uid="{208BA8C5-4B64-494A-AD3B-75248F8A7C20}"/>
    <cellStyle name="Currency 5 3 2 2 6 2 5" xfId="30454" xr:uid="{43A632CF-6C22-479D-953E-5F714A92A08C}"/>
    <cellStyle name="Currency 5 3 2 2 6 3" xfId="6306" xr:uid="{00000000-0005-0000-0000-0000AD0C0000}"/>
    <cellStyle name="Currency 5 3 2 2 6 3 2" xfId="15632" xr:uid="{4D3EDB74-8F49-4DA5-A1B1-70478CC1922A}"/>
    <cellStyle name="Currency 5 3 2 2 6 3 3" xfId="24079" xr:uid="{6A0C1D3F-957B-4B8A-8F26-09B553D58B3F}"/>
    <cellStyle name="Currency 5 3 2 2 6 3 4" xfId="32526" xr:uid="{5F88CD91-D1DC-4EA4-A7CC-B477641E7909}"/>
    <cellStyle name="Currency 5 3 2 2 6 4" xfId="11415" xr:uid="{BDF61061-9DF6-4F06-BF4B-EBE30C642CF0}"/>
    <cellStyle name="Currency 5 3 2 2 6 5" xfId="19862" xr:uid="{CC4F9B89-DA9B-48E0-AE63-0D33E2C5EFF4}"/>
    <cellStyle name="Currency 5 3 2 2 6 6" xfId="28309" xr:uid="{BE605505-307E-4ACC-B07B-3868038A6CCC}"/>
    <cellStyle name="Currency 5 3 2 2 7" xfId="2435" xr:uid="{00000000-0005-0000-0000-0000AE0C0000}"/>
    <cellStyle name="Currency 5 3 2 2 7 2" xfId="6719" xr:uid="{00000000-0005-0000-0000-0000AF0C0000}"/>
    <cellStyle name="Currency 5 3 2 2 7 2 2" xfId="16045" xr:uid="{00432E03-7BE5-475C-8773-0D78DEABA538}"/>
    <cellStyle name="Currency 5 3 2 2 7 2 3" xfId="24492" xr:uid="{C36110D4-B73F-43F9-A9F6-80346DBCB672}"/>
    <cellStyle name="Currency 5 3 2 2 7 2 4" xfId="32939" xr:uid="{272FCEBD-05F9-4BBC-9A7F-96DB12087C8A}"/>
    <cellStyle name="Currency 5 3 2 2 7 3" xfId="11828" xr:uid="{A8831B0F-24BF-426C-996D-37EFF3A28BDD}"/>
    <cellStyle name="Currency 5 3 2 2 7 4" xfId="20275" xr:uid="{3C68635A-ACE2-42B0-95CA-217DF3EB1F8C}"/>
    <cellStyle name="Currency 5 3 2 2 7 5" xfId="28722" xr:uid="{20FB5866-B0CD-4E1D-B473-9A85887A59FC}"/>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16362" xr:uid="{BA7E344D-32E4-4F85-AB58-494AC2E532DA}"/>
    <cellStyle name="Currency 5 3 2 2 9 2 3" xfId="24809" xr:uid="{E8D3D3D1-C11A-4540-99A4-92815B6C9B0C}"/>
    <cellStyle name="Currency 5 3 2 2 9 2 4" xfId="33256" xr:uid="{1D2B3C9A-D964-4F0B-AF8D-482D4342309D}"/>
    <cellStyle name="Currency 5 3 2 2 9 3" xfId="12145" xr:uid="{701838A3-8AA4-4E0F-ADCE-C0C7D8C7EA29}"/>
    <cellStyle name="Currency 5 3 2 2 9 4" xfId="20592" xr:uid="{DFB0F22C-3F43-4AAA-AFAB-142071708FB3}"/>
    <cellStyle name="Currency 5 3 2 2 9 5" xfId="29039" xr:uid="{8573EDF8-26D2-49ED-96ED-1596BC495394}"/>
    <cellStyle name="Currency 5 3 2 3" xfId="213" xr:uid="{00000000-0005-0000-0000-0000B30C0000}"/>
    <cellStyle name="Currency 5 3 2 3 10" xfId="9017" xr:uid="{A6213F8D-EE09-4095-B9BE-99C55DEE210F}"/>
    <cellStyle name="Currency 5 3 2 3 11" xfId="9764" xr:uid="{0A388054-9A55-4CCF-AE83-96ED791C08CC}"/>
    <cellStyle name="Currency 5 3 2 3 12" xfId="18211" xr:uid="{A5D8C4C4-D78E-417A-814D-254539C9510C}"/>
    <cellStyle name="Currency 5 3 2 3 13" xfId="26658" xr:uid="{80B85FA8-4A51-4DD4-A352-C75C9440C00A}"/>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16540" xr:uid="{1C863455-DCFB-44C9-BC7C-8D3DC43E00E6}"/>
    <cellStyle name="Currency 5 3 2 3 2 2 2 3" xfId="24987" xr:uid="{B3612B1F-FC00-4030-8721-75DFCB114142}"/>
    <cellStyle name="Currency 5 3 2 3 2 2 2 4" xfId="33434" xr:uid="{13F0632F-1B10-45BE-A109-96B0E732B205}"/>
    <cellStyle name="Currency 5 3 2 3 2 2 3" xfId="12323" xr:uid="{E0FAEBD3-260B-45D1-A444-56919AED6775}"/>
    <cellStyle name="Currency 5 3 2 3 2 2 4" xfId="20770" xr:uid="{5FF509FB-1D3E-4073-83B5-899F8F2C27AC}"/>
    <cellStyle name="Currency 5 3 2 3 2 2 5" xfId="29217" xr:uid="{0725D2A5-BA55-48C6-97CF-88A2D4BBBBEA}"/>
    <cellStyle name="Currency 5 3 2 3 2 3" xfId="5069" xr:uid="{00000000-0005-0000-0000-0000B70C0000}"/>
    <cellStyle name="Currency 5 3 2 3 2 3 2" xfId="14395" xr:uid="{85BEF56E-A136-49AC-8CCD-49A099FE1F36}"/>
    <cellStyle name="Currency 5 3 2 3 2 3 3" xfId="22842" xr:uid="{01DC2FEA-DB84-496C-AA24-34565FBC0BFB}"/>
    <cellStyle name="Currency 5 3 2 3 2 3 4" xfId="31289" xr:uid="{AF3FF2DA-B038-4BE2-A04A-2A2086ED7144}"/>
    <cellStyle name="Currency 5 3 2 3 2 4" xfId="9442" xr:uid="{AE48BD1F-B5DA-4007-BBEE-128FE2FE74D7}"/>
    <cellStyle name="Currency 5 3 2 3 2 5" xfId="10178" xr:uid="{16941FCF-811E-463D-B9D2-CFE0722C96A2}"/>
    <cellStyle name="Currency 5 3 2 3 2 6" xfId="18625" xr:uid="{2091B0B3-314E-4C83-8942-546B095D4235}"/>
    <cellStyle name="Currency 5 3 2 3 2 7" xfId="27072" xr:uid="{309E45A1-084A-40B5-9D11-99477D49D955}"/>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16953" xr:uid="{7E51EE01-D2F1-4E1C-8A16-0D1BB4E8C56A}"/>
    <cellStyle name="Currency 5 3 2 3 3 2 2 3" xfId="25400" xr:uid="{E7F806C1-D257-40BE-A0A6-5D0DF5CADBBA}"/>
    <cellStyle name="Currency 5 3 2 3 3 2 2 4" xfId="33847" xr:uid="{57EF969D-91CF-42E4-9EB6-15F398435A53}"/>
    <cellStyle name="Currency 5 3 2 3 3 2 3" xfId="12736" xr:uid="{038F23C6-5A6E-42A7-9BED-A7F9D13BA79B}"/>
    <cellStyle name="Currency 5 3 2 3 3 2 4" xfId="21183" xr:uid="{6420FC09-A73A-45D7-9A13-1BB85697F9C9}"/>
    <cellStyle name="Currency 5 3 2 3 3 2 5" xfId="29630" xr:uid="{41E158A2-41EF-4359-A004-AC5409E5582D}"/>
    <cellStyle name="Currency 5 3 2 3 3 3" xfId="5482" xr:uid="{00000000-0005-0000-0000-0000BB0C0000}"/>
    <cellStyle name="Currency 5 3 2 3 3 3 2" xfId="14808" xr:uid="{1E9284DE-B3A0-4CAF-9815-0586BE198BD0}"/>
    <cellStyle name="Currency 5 3 2 3 3 3 3" xfId="23255" xr:uid="{35E12131-591D-4758-91E3-884E57A4E389}"/>
    <cellStyle name="Currency 5 3 2 3 3 3 4" xfId="31702" xr:uid="{4718CC3D-4151-4C6A-95E9-4240BDCCDFAF}"/>
    <cellStyle name="Currency 5 3 2 3 3 4" xfId="10591" xr:uid="{42CDF781-CBD0-4585-B892-24FBF98EE8F2}"/>
    <cellStyle name="Currency 5 3 2 3 3 5" xfId="19038" xr:uid="{3B258E9B-8451-498A-B827-CD688C330927}"/>
    <cellStyle name="Currency 5 3 2 3 3 6" xfId="27485" xr:uid="{B9D79370-936C-4EA2-8F7C-F27CCE8454A7}"/>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17366" xr:uid="{17259CCD-CBDD-4167-AF4F-B730316AEF53}"/>
    <cellStyle name="Currency 5 3 2 3 4 2 2 3" xfId="25813" xr:uid="{C1832199-9371-408C-8660-FAA68DC4CEA1}"/>
    <cellStyle name="Currency 5 3 2 3 4 2 2 4" xfId="34260" xr:uid="{AE78B1C3-6EB9-4EC3-BD06-EF960F38CE04}"/>
    <cellStyle name="Currency 5 3 2 3 4 2 3" xfId="13149" xr:uid="{62538196-F297-4786-8FD5-4F2E6FDB8AE3}"/>
    <cellStyle name="Currency 5 3 2 3 4 2 4" xfId="21596" xr:uid="{C1FF9C84-154E-45D9-B9BE-9B03DF2380C3}"/>
    <cellStyle name="Currency 5 3 2 3 4 2 5" xfId="30043" xr:uid="{5C9C799A-9428-4D2D-B72C-DFD7BDEF6296}"/>
    <cellStyle name="Currency 5 3 2 3 4 3" xfId="5895" xr:uid="{00000000-0005-0000-0000-0000BF0C0000}"/>
    <cellStyle name="Currency 5 3 2 3 4 3 2" xfId="15221" xr:uid="{746FEB95-8057-440E-B73B-A04082D43B90}"/>
    <cellStyle name="Currency 5 3 2 3 4 3 3" xfId="23668" xr:uid="{F523F8A4-60FC-4FBE-B58F-E1312EA05990}"/>
    <cellStyle name="Currency 5 3 2 3 4 3 4" xfId="32115" xr:uid="{3B6799F2-E84F-4067-9C1D-B2F6F7371549}"/>
    <cellStyle name="Currency 5 3 2 3 4 4" xfId="11004" xr:uid="{4E4D28BC-1C6C-4ECE-ADE0-5298128DFBC3}"/>
    <cellStyle name="Currency 5 3 2 3 4 5" xfId="19451" xr:uid="{D987E24D-B781-4FF7-B61F-C0E4785A93ED}"/>
    <cellStyle name="Currency 5 3 2 3 4 6" xfId="27898" xr:uid="{8D520D7B-F31A-4B43-A58D-E24359F9B233}"/>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17779" xr:uid="{62F9A5B8-CAC8-4376-AEA3-025C341A485E}"/>
    <cellStyle name="Currency 5 3 2 3 5 2 2 3" xfId="26226" xr:uid="{8FD25168-E02F-4E03-844D-0FBFA0ADCF38}"/>
    <cellStyle name="Currency 5 3 2 3 5 2 2 4" xfId="34673" xr:uid="{13529763-6E30-4267-9AA2-C7CB10BC8820}"/>
    <cellStyle name="Currency 5 3 2 3 5 2 3" xfId="13562" xr:uid="{47A68A42-1D17-485F-84D7-10359E6860BE}"/>
    <cellStyle name="Currency 5 3 2 3 5 2 4" xfId="22009" xr:uid="{1BE817CD-4AC6-4C52-BFC1-7D73CBC29DB7}"/>
    <cellStyle name="Currency 5 3 2 3 5 2 5" xfId="30456" xr:uid="{B8935DA3-88DF-4267-BC0D-BB121800E469}"/>
    <cellStyle name="Currency 5 3 2 3 5 3" xfId="6308" xr:uid="{00000000-0005-0000-0000-0000C30C0000}"/>
    <cellStyle name="Currency 5 3 2 3 5 3 2" xfId="15634" xr:uid="{DBB01801-73C4-4B8F-98AF-6C0482BC7F95}"/>
    <cellStyle name="Currency 5 3 2 3 5 3 3" xfId="24081" xr:uid="{4141C4B5-E887-493E-891F-4702F98C8B45}"/>
    <cellStyle name="Currency 5 3 2 3 5 3 4" xfId="32528" xr:uid="{99574A31-1081-4F8D-8AD3-A22FB8D4B187}"/>
    <cellStyle name="Currency 5 3 2 3 5 4" xfId="11417" xr:uid="{DE3A1594-6A20-4D36-895A-B2FFD6523ABE}"/>
    <cellStyle name="Currency 5 3 2 3 5 5" xfId="19864" xr:uid="{DD9C0D03-5694-4610-9689-35673D5E0E2F}"/>
    <cellStyle name="Currency 5 3 2 3 5 6" xfId="28311" xr:uid="{C7620AF0-2337-4D47-822B-2B35209F9B67}"/>
    <cellStyle name="Currency 5 3 2 3 6" xfId="2437" xr:uid="{00000000-0005-0000-0000-0000C40C0000}"/>
    <cellStyle name="Currency 5 3 2 3 6 2" xfId="6721" xr:uid="{00000000-0005-0000-0000-0000C50C0000}"/>
    <cellStyle name="Currency 5 3 2 3 6 2 2" xfId="16047" xr:uid="{930FED2F-3BAC-4941-96AD-314EB10C6F84}"/>
    <cellStyle name="Currency 5 3 2 3 6 2 3" xfId="24494" xr:uid="{4AA37413-3277-4D1A-A961-9A9A036E31A1}"/>
    <cellStyle name="Currency 5 3 2 3 6 2 4" xfId="32941" xr:uid="{62F5107E-7793-4C3E-9FDC-7BDC4FC20331}"/>
    <cellStyle name="Currency 5 3 2 3 6 3" xfId="11830" xr:uid="{C313CAC1-5FC6-415E-AC9C-2D13617EB11C}"/>
    <cellStyle name="Currency 5 3 2 3 6 4" xfId="20277" xr:uid="{7BBFDF53-28D8-4D99-A772-F8AA1F624614}"/>
    <cellStyle name="Currency 5 3 2 3 6 5" xfId="28724" xr:uid="{030E264E-3871-406F-B494-1B66A53F3338}"/>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16364" xr:uid="{86E6E0DC-E5EE-4C8B-8CE2-44792C25E9AF}"/>
    <cellStyle name="Currency 5 3 2 3 8 2 3" xfId="24811" xr:uid="{1B86BB1B-623C-4E32-9647-241DBC847054}"/>
    <cellStyle name="Currency 5 3 2 3 8 2 4" xfId="33258" xr:uid="{4090241C-02C0-46BF-89FE-A243593A86B8}"/>
    <cellStyle name="Currency 5 3 2 3 8 3" xfId="12147" xr:uid="{BF1E1FD5-B39A-429E-8968-6B49198AED40}"/>
    <cellStyle name="Currency 5 3 2 3 8 4" xfId="20594" xr:uid="{11F36DFB-3CCA-49D1-BDFB-A6A208C55977}"/>
    <cellStyle name="Currency 5 3 2 3 8 5" xfId="29041" xr:uid="{7D75FAB3-8EE2-47CE-8EAE-A11D0D3AB37F}"/>
    <cellStyle name="Currency 5 3 2 3 9" xfId="4655" xr:uid="{00000000-0005-0000-0000-0000C90C0000}"/>
    <cellStyle name="Currency 5 3 2 3 9 2" xfId="13981" xr:uid="{9BDE10D0-A2F5-4941-9F94-73F7BAD1A625}"/>
    <cellStyle name="Currency 5 3 2 3 9 3" xfId="22428" xr:uid="{7BCD9B7D-6828-483D-9357-F0BAB0ADF33E}"/>
    <cellStyle name="Currency 5 3 2 3 9 4" xfId="30875" xr:uid="{140345CA-7782-490F-9BC3-4AB50D5698E6}"/>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16537" xr:uid="{883659C9-EBE2-4232-ABD2-CE1FDAD81064}"/>
    <cellStyle name="Currency 5 3 2 4 2 2 3" xfId="24984" xr:uid="{463C8038-A095-45B2-89C0-531C60797E2A}"/>
    <cellStyle name="Currency 5 3 2 4 2 2 4" xfId="33431" xr:uid="{B7FEA157-362F-43DB-84D1-8FCA7B7876CE}"/>
    <cellStyle name="Currency 5 3 2 4 2 3" xfId="12320" xr:uid="{BD33FC1E-BD25-47B7-913B-3E8100022BF8}"/>
    <cellStyle name="Currency 5 3 2 4 2 4" xfId="20767" xr:uid="{97B7AE57-3730-400B-8E4D-510F505DAFD4}"/>
    <cellStyle name="Currency 5 3 2 4 2 5" xfId="29214" xr:uid="{3D48F8F3-29E4-498F-ADF2-A0D2AA6E7365}"/>
    <cellStyle name="Currency 5 3 2 4 3" xfId="5066" xr:uid="{00000000-0005-0000-0000-0000CD0C0000}"/>
    <cellStyle name="Currency 5 3 2 4 3 2" xfId="14392" xr:uid="{634B983F-C87E-4BD9-A00D-9D6EA1A565DC}"/>
    <cellStyle name="Currency 5 3 2 4 3 3" xfId="22839" xr:uid="{A19F4327-7361-4B29-843C-A8286DFA42A4}"/>
    <cellStyle name="Currency 5 3 2 4 3 4" xfId="31286" xr:uid="{68F4EAE4-5F78-4F0E-8DFD-893B4B52D785}"/>
    <cellStyle name="Currency 5 3 2 4 4" xfId="9235" xr:uid="{F2FD4117-6EF1-4663-964A-AB5B57E6F469}"/>
    <cellStyle name="Currency 5 3 2 4 5" xfId="10175" xr:uid="{084C420A-01D6-4F57-8FE2-CAADADB316FF}"/>
    <cellStyle name="Currency 5 3 2 4 6" xfId="18622" xr:uid="{3D8D869A-EF91-45F7-96D6-25C70A4E4A32}"/>
    <cellStyle name="Currency 5 3 2 4 7" xfId="27069" xr:uid="{568CE23D-AE6B-4060-9478-1E5F5A072174}"/>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16950" xr:uid="{043A09A4-72E6-4BBB-94AF-09A0C431D71C}"/>
    <cellStyle name="Currency 5 3 2 5 2 2 3" xfId="25397" xr:uid="{5E8E9466-A90C-4A29-A440-733FE66FBE7B}"/>
    <cellStyle name="Currency 5 3 2 5 2 2 4" xfId="33844" xr:uid="{86122B98-26C1-43B0-9E20-23388BD59FC9}"/>
    <cellStyle name="Currency 5 3 2 5 2 3" xfId="12733" xr:uid="{43C56552-4143-4B86-A8E5-91A767D55668}"/>
    <cellStyle name="Currency 5 3 2 5 2 4" xfId="21180" xr:uid="{9D5CDE74-7760-4F4C-A5EA-35CCD38DF256}"/>
    <cellStyle name="Currency 5 3 2 5 2 5" xfId="29627" xr:uid="{0CC47D7E-47DA-486B-864C-FE9D350190EB}"/>
    <cellStyle name="Currency 5 3 2 5 3" xfId="5479" xr:uid="{00000000-0005-0000-0000-0000D10C0000}"/>
    <cellStyle name="Currency 5 3 2 5 3 2" xfId="14805" xr:uid="{E4FAF4C0-9933-4C04-8B04-252F1BD6EF6F}"/>
    <cellStyle name="Currency 5 3 2 5 3 3" xfId="23252" xr:uid="{7BF42758-7430-442B-9FB6-875895723F3B}"/>
    <cellStyle name="Currency 5 3 2 5 3 4" xfId="31699" xr:uid="{30B4949F-FFFE-4930-AC3A-ED7AE6233AB9}"/>
    <cellStyle name="Currency 5 3 2 5 4" xfId="10588" xr:uid="{2D9D0572-7C57-4A3D-9B66-014CB9F16E1B}"/>
    <cellStyle name="Currency 5 3 2 5 5" xfId="19035" xr:uid="{2D76128B-F218-4245-998A-2540CA4FB7A0}"/>
    <cellStyle name="Currency 5 3 2 5 6" xfId="27482" xr:uid="{9309F30D-03C5-4588-A75C-DCBF558E3A4E}"/>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17363" xr:uid="{82271C72-4C14-4139-9712-B0118F09F78D}"/>
    <cellStyle name="Currency 5 3 2 6 2 2 3" xfId="25810" xr:uid="{CFAB92C7-3763-455D-AA11-4A9533E8586E}"/>
    <cellStyle name="Currency 5 3 2 6 2 2 4" xfId="34257" xr:uid="{112CE263-C297-4D8D-82BC-6069FB8DFB94}"/>
    <cellStyle name="Currency 5 3 2 6 2 3" xfId="13146" xr:uid="{95E7D9B0-D1F6-4F83-AB5F-1292D25E4B99}"/>
    <cellStyle name="Currency 5 3 2 6 2 4" xfId="21593" xr:uid="{09C2CF65-BC82-4033-BCCC-203D7B71F2E8}"/>
    <cellStyle name="Currency 5 3 2 6 2 5" xfId="30040" xr:uid="{BD81A395-272C-44AD-B30B-E3BB592FEE26}"/>
    <cellStyle name="Currency 5 3 2 6 3" xfId="5892" xr:uid="{00000000-0005-0000-0000-0000D50C0000}"/>
    <cellStyle name="Currency 5 3 2 6 3 2" xfId="15218" xr:uid="{1159DA46-8775-4C47-B71C-3644FA1376C7}"/>
    <cellStyle name="Currency 5 3 2 6 3 3" xfId="23665" xr:uid="{06D30416-D62A-4D18-A9D1-C999D324F11B}"/>
    <cellStyle name="Currency 5 3 2 6 3 4" xfId="32112" xr:uid="{B8384B86-653F-4A44-973F-2AC65B971C8A}"/>
    <cellStyle name="Currency 5 3 2 6 4" xfId="11001" xr:uid="{D74DA5F5-2458-4139-8366-B8017E308DCD}"/>
    <cellStyle name="Currency 5 3 2 6 5" xfId="19448" xr:uid="{FA644DE8-774D-4F47-8047-AF3D9A34A23B}"/>
    <cellStyle name="Currency 5 3 2 6 6" xfId="27895" xr:uid="{F1C1823F-01A0-44D3-9EB1-E6A2B5302993}"/>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17776" xr:uid="{662B47D7-BB3A-48A6-9F73-D34D908C9888}"/>
    <cellStyle name="Currency 5 3 2 7 2 2 3" xfId="26223" xr:uid="{C3557338-7F4F-4E22-A07A-59365C60EEB7}"/>
    <cellStyle name="Currency 5 3 2 7 2 2 4" xfId="34670" xr:uid="{5376074C-54A5-420D-BDE4-670AB8D74AF5}"/>
    <cellStyle name="Currency 5 3 2 7 2 3" xfId="13559" xr:uid="{711F2CD3-98C4-44E2-80A3-286EF8D01752}"/>
    <cellStyle name="Currency 5 3 2 7 2 4" xfId="22006" xr:uid="{7D1A9C10-A7BA-4F67-9267-17F41BC2B97F}"/>
    <cellStyle name="Currency 5 3 2 7 2 5" xfId="30453" xr:uid="{6A921E45-C560-4034-8B96-0C4690D80E80}"/>
    <cellStyle name="Currency 5 3 2 7 3" xfId="6305" xr:uid="{00000000-0005-0000-0000-0000D90C0000}"/>
    <cellStyle name="Currency 5 3 2 7 3 2" xfId="15631" xr:uid="{DF9608A6-8D54-4CFD-994E-8C3C50CF11B7}"/>
    <cellStyle name="Currency 5 3 2 7 3 3" xfId="24078" xr:uid="{4F3719FC-DAAE-4D87-9E0C-3753A18547E5}"/>
    <cellStyle name="Currency 5 3 2 7 3 4" xfId="32525" xr:uid="{B9FCACE5-C3BB-4611-A3B5-FC20408A319E}"/>
    <cellStyle name="Currency 5 3 2 7 4" xfId="11414" xr:uid="{AD8A441C-DF29-4567-BD1D-87DF7295FD5E}"/>
    <cellStyle name="Currency 5 3 2 7 5" xfId="19861" xr:uid="{6AA3B7B3-0C92-4AAE-A247-0B5C35B1F6ED}"/>
    <cellStyle name="Currency 5 3 2 7 6" xfId="28308" xr:uid="{6A146715-8634-44C9-8211-007890F38055}"/>
    <cellStyle name="Currency 5 3 2 8" xfId="2434" xr:uid="{00000000-0005-0000-0000-0000DA0C0000}"/>
    <cellStyle name="Currency 5 3 2 8 2" xfId="6718" xr:uid="{00000000-0005-0000-0000-0000DB0C0000}"/>
    <cellStyle name="Currency 5 3 2 8 2 2" xfId="16044" xr:uid="{91A322FA-B338-4D99-AC2D-379BF33B550A}"/>
    <cellStyle name="Currency 5 3 2 8 2 3" xfId="24491" xr:uid="{F2D91B85-D33D-457C-ADD7-C4A88F5B7688}"/>
    <cellStyle name="Currency 5 3 2 8 2 4" xfId="32938" xr:uid="{86B01FD5-E2A8-4572-89D9-01D9F497DE3D}"/>
    <cellStyle name="Currency 5 3 2 8 3" xfId="11827" xr:uid="{7E7BD358-CD54-4CEC-BFCF-453659C0DF17}"/>
    <cellStyle name="Currency 5 3 2 8 4" xfId="20274" xr:uid="{CE258726-51F1-42E9-B467-638000EC321E}"/>
    <cellStyle name="Currency 5 3 2 8 5" xfId="28721" xr:uid="{F8720D8D-CAB5-415A-9975-86F684506F1B}"/>
    <cellStyle name="Currency 5 3 2 9" xfId="2731" xr:uid="{00000000-0005-0000-0000-0000DC0C0000}"/>
    <cellStyle name="Currency 5 3 3" xfId="214" xr:uid="{00000000-0005-0000-0000-0000DD0C0000}"/>
    <cellStyle name="Currency 5 3 3 10" xfId="4656" xr:uid="{00000000-0005-0000-0000-0000DE0C0000}"/>
    <cellStyle name="Currency 5 3 3 10 2" xfId="13982" xr:uid="{A7E2E52A-6587-4E60-897C-223222EDEC29}"/>
    <cellStyle name="Currency 5 3 3 10 3" xfId="22429" xr:uid="{E488BCE8-3720-41E5-B60C-D15273C41495}"/>
    <cellStyle name="Currency 5 3 3 10 4" xfId="30876" xr:uid="{D87061E2-1E0A-4913-82BB-5E6945EA82D7}"/>
    <cellStyle name="Currency 5 3 3 11" xfId="8882" xr:uid="{A86B3ED4-B552-42F3-9E77-C6763F86EEE6}"/>
    <cellStyle name="Currency 5 3 3 12" xfId="9765" xr:uid="{4B204DAB-9C1F-4A56-9E73-B332AE6478B8}"/>
    <cellStyle name="Currency 5 3 3 13" xfId="18212" xr:uid="{41486295-C14C-4E4A-B238-267D062969B5}"/>
    <cellStyle name="Currency 5 3 3 14" xfId="26659" xr:uid="{2606D62E-5524-446B-BF99-773DB1F7760A}"/>
    <cellStyle name="Currency 5 3 3 2" xfId="215" xr:uid="{00000000-0005-0000-0000-0000DF0C0000}"/>
    <cellStyle name="Currency 5 3 3 2 10" xfId="9089" xr:uid="{7CFB8DCC-02AE-4CC5-8E10-3D33399ECECE}"/>
    <cellStyle name="Currency 5 3 3 2 11" xfId="9766" xr:uid="{D5CCADCB-4467-4688-A46D-9D441169C356}"/>
    <cellStyle name="Currency 5 3 3 2 12" xfId="18213" xr:uid="{3033C00A-A68A-4F4F-963D-5AAEAC61BB09}"/>
    <cellStyle name="Currency 5 3 3 2 13" xfId="26660" xr:uid="{A493F96B-91FA-44BD-B60C-6848A3F5CB95}"/>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16542" xr:uid="{0C94AB33-4AFF-42AA-AEFD-EBB6A614115D}"/>
    <cellStyle name="Currency 5 3 3 2 2 2 2 3" xfId="24989" xr:uid="{EBDE5673-A432-4C68-81CE-BF0322A9BBFE}"/>
    <cellStyle name="Currency 5 3 3 2 2 2 2 4" xfId="33436" xr:uid="{BA35B11A-F35F-420E-B327-7515F9F34290}"/>
    <cellStyle name="Currency 5 3 3 2 2 2 3" xfId="12325" xr:uid="{DADF161F-300C-42B2-B37C-841326A24958}"/>
    <cellStyle name="Currency 5 3 3 2 2 2 4" xfId="20772" xr:uid="{54825E96-CB8A-4211-9EC5-EE54D52C46BA}"/>
    <cellStyle name="Currency 5 3 3 2 2 2 5" xfId="29219" xr:uid="{F6D370DC-4A19-471C-8696-BD600D3EED14}"/>
    <cellStyle name="Currency 5 3 3 2 2 3" xfId="5071" xr:uid="{00000000-0005-0000-0000-0000E30C0000}"/>
    <cellStyle name="Currency 5 3 3 2 2 3 2" xfId="14397" xr:uid="{9299F9AB-73BE-424B-92ED-C295FFA9E08C}"/>
    <cellStyle name="Currency 5 3 3 2 2 3 3" xfId="22844" xr:uid="{060A5D68-0CC7-4217-9D67-74EC43DB3A4E}"/>
    <cellStyle name="Currency 5 3 3 2 2 3 4" xfId="31291" xr:uid="{13C13253-7588-411E-A4DC-5D11E23240E0}"/>
    <cellStyle name="Currency 5 3 3 2 2 4" xfId="9514" xr:uid="{9A504F43-6423-4200-B7AF-F17B65B2005C}"/>
    <cellStyle name="Currency 5 3 3 2 2 5" xfId="10180" xr:uid="{8AE4FDC4-D426-4F90-9206-C35EBFECEFBC}"/>
    <cellStyle name="Currency 5 3 3 2 2 6" xfId="18627" xr:uid="{0229A43E-AF5B-4C7E-8415-CEDF35570618}"/>
    <cellStyle name="Currency 5 3 3 2 2 7" xfId="27074" xr:uid="{ADAFAC26-5EA0-490F-A0F8-26F622D96CE2}"/>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16955" xr:uid="{8188F0DD-EE78-4755-8C3F-CA5DE92E0BBE}"/>
    <cellStyle name="Currency 5 3 3 2 3 2 2 3" xfId="25402" xr:uid="{9EE56D41-A4E8-4314-B2AA-953B78609AB4}"/>
    <cellStyle name="Currency 5 3 3 2 3 2 2 4" xfId="33849" xr:uid="{68B3CD91-B188-4746-B7EF-DC45762F995C}"/>
    <cellStyle name="Currency 5 3 3 2 3 2 3" xfId="12738" xr:uid="{4DBFA936-B8C4-4199-844A-5D6C76C95431}"/>
    <cellStyle name="Currency 5 3 3 2 3 2 4" xfId="21185" xr:uid="{49FA2FA4-15C2-442B-BE44-9E21DA6CF61C}"/>
    <cellStyle name="Currency 5 3 3 2 3 2 5" xfId="29632" xr:uid="{11C36BB4-4956-4C43-A33E-3B4A9CA5E40C}"/>
    <cellStyle name="Currency 5 3 3 2 3 3" xfId="5484" xr:uid="{00000000-0005-0000-0000-0000E70C0000}"/>
    <cellStyle name="Currency 5 3 3 2 3 3 2" xfId="14810" xr:uid="{FA0C4100-FF62-4939-9496-5A4DE8459A4F}"/>
    <cellStyle name="Currency 5 3 3 2 3 3 3" xfId="23257" xr:uid="{9FB51692-2A14-496E-A857-0FFEEF07107F}"/>
    <cellStyle name="Currency 5 3 3 2 3 3 4" xfId="31704" xr:uid="{757C8C8F-CFCF-4B84-B3B3-60A74D4459B2}"/>
    <cellStyle name="Currency 5 3 3 2 3 4" xfId="10593" xr:uid="{24C3968D-CA89-4729-9D90-3D13BB1CC74A}"/>
    <cellStyle name="Currency 5 3 3 2 3 5" xfId="19040" xr:uid="{9A51C137-7D66-4B8A-96F7-B8193A62F66A}"/>
    <cellStyle name="Currency 5 3 3 2 3 6" xfId="27487" xr:uid="{758BE6C5-6112-41A6-AA95-2BC28F0A769D}"/>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17368" xr:uid="{7621D895-744F-4141-91ED-0817CCA5F963}"/>
    <cellStyle name="Currency 5 3 3 2 4 2 2 3" xfId="25815" xr:uid="{31524EEA-E5FD-4A6C-88D4-782809CFB361}"/>
    <cellStyle name="Currency 5 3 3 2 4 2 2 4" xfId="34262" xr:uid="{95653B10-1D23-453F-9625-F114A39D79C4}"/>
    <cellStyle name="Currency 5 3 3 2 4 2 3" xfId="13151" xr:uid="{977BB66D-B617-4C98-A069-1B9B4CC097BD}"/>
    <cellStyle name="Currency 5 3 3 2 4 2 4" xfId="21598" xr:uid="{8F57AE76-E79C-4FD5-8FD8-0F4A1F530795}"/>
    <cellStyle name="Currency 5 3 3 2 4 2 5" xfId="30045" xr:uid="{89A9F7F6-1931-455A-A928-9FD885515ABA}"/>
    <cellStyle name="Currency 5 3 3 2 4 3" xfId="5897" xr:uid="{00000000-0005-0000-0000-0000EB0C0000}"/>
    <cellStyle name="Currency 5 3 3 2 4 3 2" xfId="15223" xr:uid="{1A958247-E9CE-420F-8A3D-DBFDD4A566FA}"/>
    <cellStyle name="Currency 5 3 3 2 4 3 3" xfId="23670" xr:uid="{E37DD721-48DF-42B4-AEF6-F061AAD4EE08}"/>
    <cellStyle name="Currency 5 3 3 2 4 3 4" xfId="32117" xr:uid="{CE931386-C1A8-4EDC-B2F7-34C9D809A18B}"/>
    <cellStyle name="Currency 5 3 3 2 4 4" xfId="11006" xr:uid="{25B9AC20-4775-48D7-97D4-57AA2A16A4C1}"/>
    <cellStyle name="Currency 5 3 3 2 4 5" xfId="19453" xr:uid="{E0D3B29A-36DD-4EE1-8462-0937EF1A4D37}"/>
    <cellStyle name="Currency 5 3 3 2 4 6" xfId="27900" xr:uid="{CE22A3F9-5A35-42C5-8BEA-7BA7CD4D1E69}"/>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17781" xr:uid="{428257D4-2517-48A5-9F43-C046B6F58B82}"/>
    <cellStyle name="Currency 5 3 3 2 5 2 2 3" xfId="26228" xr:uid="{DF89E06B-38E0-4D3E-B91D-528F794E669E}"/>
    <cellStyle name="Currency 5 3 3 2 5 2 2 4" xfId="34675" xr:uid="{F87CFA7E-E9F7-4FED-B398-D58DD0E869D8}"/>
    <cellStyle name="Currency 5 3 3 2 5 2 3" xfId="13564" xr:uid="{A24EB0D8-DE3B-4DA9-B166-9A2BD9378C31}"/>
    <cellStyle name="Currency 5 3 3 2 5 2 4" xfId="22011" xr:uid="{3BCC4842-4CD6-433C-BAAA-556649F1DE33}"/>
    <cellStyle name="Currency 5 3 3 2 5 2 5" xfId="30458" xr:uid="{277F8121-0241-450F-9E11-BC12D4AB433C}"/>
    <cellStyle name="Currency 5 3 3 2 5 3" xfId="6310" xr:uid="{00000000-0005-0000-0000-0000EF0C0000}"/>
    <cellStyle name="Currency 5 3 3 2 5 3 2" xfId="15636" xr:uid="{083AB7CF-5A74-46D7-A92D-11915A481792}"/>
    <cellStyle name="Currency 5 3 3 2 5 3 3" xfId="24083" xr:uid="{02FE7110-216F-4A07-A49D-F4F583E69243}"/>
    <cellStyle name="Currency 5 3 3 2 5 3 4" xfId="32530" xr:uid="{BA9E933F-E593-4C9E-AA35-3D419B88B10A}"/>
    <cellStyle name="Currency 5 3 3 2 5 4" xfId="11419" xr:uid="{F23711A2-0BD3-45D6-B643-34DE997C2912}"/>
    <cellStyle name="Currency 5 3 3 2 5 5" xfId="19866" xr:uid="{44609ECB-4288-4C2B-8C68-38ED370A3001}"/>
    <cellStyle name="Currency 5 3 3 2 5 6" xfId="28313" xr:uid="{F6BE60A0-61CB-4916-AEEC-A8DBEFE8038C}"/>
    <cellStyle name="Currency 5 3 3 2 6" xfId="2439" xr:uid="{00000000-0005-0000-0000-0000F00C0000}"/>
    <cellStyle name="Currency 5 3 3 2 6 2" xfId="6723" xr:uid="{00000000-0005-0000-0000-0000F10C0000}"/>
    <cellStyle name="Currency 5 3 3 2 6 2 2" xfId="16049" xr:uid="{D5C09742-4887-432A-8668-4CEE0D3AECF3}"/>
    <cellStyle name="Currency 5 3 3 2 6 2 3" xfId="24496" xr:uid="{BE1A8F14-ADEF-4C2F-A5EC-62E61500267F}"/>
    <cellStyle name="Currency 5 3 3 2 6 2 4" xfId="32943" xr:uid="{BB98F860-80E4-43CB-A72D-ABFE08C152FA}"/>
    <cellStyle name="Currency 5 3 3 2 6 3" xfId="11832" xr:uid="{0BBFE3ED-0ACB-40F0-AECB-FE59B914F37D}"/>
    <cellStyle name="Currency 5 3 3 2 6 4" xfId="20279" xr:uid="{DC80A99A-127B-4249-A989-49EBA69E962A}"/>
    <cellStyle name="Currency 5 3 3 2 6 5" xfId="28726" xr:uid="{DE9054A6-E817-4841-A31A-39F0DCC2A134}"/>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16366" xr:uid="{030500F3-BAC6-4758-8C24-FAF74C637208}"/>
    <cellStyle name="Currency 5 3 3 2 8 2 3" xfId="24813" xr:uid="{570F40B8-5FB1-4EFD-923B-CD84A52C2E6C}"/>
    <cellStyle name="Currency 5 3 3 2 8 2 4" xfId="33260" xr:uid="{826868BC-8679-41A6-9F5C-147128B3C925}"/>
    <cellStyle name="Currency 5 3 3 2 8 3" xfId="12149" xr:uid="{392D0433-20AD-4BA2-A5F5-4192861B341C}"/>
    <cellStyle name="Currency 5 3 3 2 8 4" xfId="20596" xr:uid="{CC4A8441-863B-40A7-B836-0DA47CC39322}"/>
    <cellStyle name="Currency 5 3 3 2 8 5" xfId="29043" xr:uid="{8F630355-FCCE-4360-AEA3-B2F9030A5F2F}"/>
    <cellStyle name="Currency 5 3 3 2 9" xfId="4657" xr:uid="{00000000-0005-0000-0000-0000F50C0000}"/>
    <cellStyle name="Currency 5 3 3 2 9 2" xfId="13983" xr:uid="{BF6D80E7-B547-4B24-8CD7-4457DC71CA4E}"/>
    <cellStyle name="Currency 5 3 3 2 9 3" xfId="22430" xr:uid="{A088780F-408B-4493-8B29-FD413A84492B}"/>
    <cellStyle name="Currency 5 3 3 2 9 4" xfId="30877" xr:uid="{D7D199D7-769B-4606-B48C-E24246DA771C}"/>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16541" xr:uid="{4084E456-A2F2-43B1-B556-503A7E7170B6}"/>
    <cellStyle name="Currency 5 3 3 3 2 2 3" xfId="24988" xr:uid="{4B66CE96-B997-4052-8B4D-089F37E234C3}"/>
    <cellStyle name="Currency 5 3 3 3 2 2 4" xfId="33435" xr:uid="{D7956882-B708-4A5C-931E-5BDB14104B7C}"/>
    <cellStyle name="Currency 5 3 3 3 2 3" xfId="12324" xr:uid="{2D1903CB-9EA3-40DC-A616-6A1A5230880F}"/>
    <cellStyle name="Currency 5 3 3 3 2 4" xfId="20771" xr:uid="{57582B9D-DD9B-4F3D-B710-9C72ACA3857B}"/>
    <cellStyle name="Currency 5 3 3 3 2 5" xfId="29218" xr:uid="{6504DC78-189B-482B-8A42-B85BE6648F06}"/>
    <cellStyle name="Currency 5 3 3 3 3" xfId="5070" xr:uid="{00000000-0005-0000-0000-0000F90C0000}"/>
    <cellStyle name="Currency 5 3 3 3 3 2" xfId="14396" xr:uid="{E0B5F8DD-F059-4592-B532-25087DF40E90}"/>
    <cellStyle name="Currency 5 3 3 3 3 3" xfId="22843" xr:uid="{389DE6BF-3FAE-4D65-9B9F-13CE282B0702}"/>
    <cellStyle name="Currency 5 3 3 3 3 4" xfId="31290" xr:uid="{C8A48746-B37F-4598-905E-31A86E5742C2}"/>
    <cellStyle name="Currency 5 3 3 3 4" xfId="9307" xr:uid="{3F0512A0-B779-46E4-A963-62E327C6AC5F}"/>
    <cellStyle name="Currency 5 3 3 3 5" xfId="10179" xr:uid="{80204134-DD20-4DE8-BC75-A7B6D12B93A1}"/>
    <cellStyle name="Currency 5 3 3 3 6" xfId="18626" xr:uid="{89297E14-5D94-4C07-AB7A-F782B25EB753}"/>
    <cellStyle name="Currency 5 3 3 3 7" xfId="27073" xr:uid="{F1C93E12-D314-4599-B0B3-9E2167DE7782}"/>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16954" xr:uid="{01B12D93-A6A5-40FC-A5A7-98D1EC128020}"/>
    <cellStyle name="Currency 5 3 3 4 2 2 3" xfId="25401" xr:uid="{9810B8F0-F4E6-47E0-A373-183217CC0FAA}"/>
    <cellStyle name="Currency 5 3 3 4 2 2 4" xfId="33848" xr:uid="{650602ED-58C6-49F2-B376-3470E196F4E3}"/>
    <cellStyle name="Currency 5 3 3 4 2 3" xfId="12737" xr:uid="{FB409081-028F-4DFC-AC5A-93F3B8C78337}"/>
    <cellStyle name="Currency 5 3 3 4 2 4" xfId="21184" xr:uid="{67BB50C5-1DE5-4A50-85E9-8D0F25C0AB5A}"/>
    <cellStyle name="Currency 5 3 3 4 2 5" xfId="29631" xr:uid="{92F94704-4684-4B8E-A26B-7F496E862647}"/>
    <cellStyle name="Currency 5 3 3 4 3" xfId="5483" xr:uid="{00000000-0005-0000-0000-0000FD0C0000}"/>
    <cellStyle name="Currency 5 3 3 4 3 2" xfId="14809" xr:uid="{0CDC78C4-3C63-4BDF-97F0-67393359F64E}"/>
    <cellStyle name="Currency 5 3 3 4 3 3" xfId="23256" xr:uid="{C5387D12-CF00-42DA-A7EA-BBEDAB87FDEA}"/>
    <cellStyle name="Currency 5 3 3 4 3 4" xfId="31703" xr:uid="{DBEF5C6A-B82B-4B90-BFDF-2A006FDDBB03}"/>
    <cellStyle name="Currency 5 3 3 4 4" xfId="10592" xr:uid="{A0507344-7775-4686-AAB5-369BCEE3F3FC}"/>
    <cellStyle name="Currency 5 3 3 4 5" xfId="19039" xr:uid="{635068CE-A1B8-4FE1-BBCE-329AFC5E5944}"/>
    <cellStyle name="Currency 5 3 3 4 6" xfId="27486" xr:uid="{E3451C80-5291-4273-8421-782651D99D26}"/>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17367" xr:uid="{025D7291-5BDD-4F44-8F6E-7527C7177BED}"/>
    <cellStyle name="Currency 5 3 3 5 2 2 3" xfId="25814" xr:uid="{9F03D6B5-AEFC-4F07-8145-9788968819E1}"/>
    <cellStyle name="Currency 5 3 3 5 2 2 4" xfId="34261" xr:uid="{85877C68-CC6F-4F84-88FC-8CB968D668F0}"/>
    <cellStyle name="Currency 5 3 3 5 2 3" xfId="13150" xr:uid="{2C3B81A6-7A55-4F91-BC31-471DEE56E25F}"/>
    <cellStyle name="Currency 5 3 3 5 2 4" xfId="21597" xr:uid="{398591A4-525B-434E-8455-5AE33A6DE620}"/>
    <cellStyle name="Currency 5 3 3 5 2 5" xfId="30044" xr:uid="{3CAF2FEF-F596-4361-8D58-21205A65D005}"/>
    <cellStyle name="Currency 5 3 3 5 3" xfId="5896" xr:uid="{00000000-0005-0000-0000-0000010D0000}"/>
    <cellStyle name="Currency 5 3 3 5 3 2" xfId="15222" xr:uid="{9F8D46EB-E435-4F19-BE80-BDAD03934A17}"/>
    <cellStyle name="Currency 5 3 3 5 3 3" xfId="23669" xr:uid="{0D180D73-5787-4CBF-BA17-EAEC14DA33E2}"/>
    <cellStyle name="Currency 5 3 3 5 3 4" xfId="32116" xr:uid="{8BD9BCBF-9AEC-4579-81A2-1A5443A3FD55}"/>
    <cellStyle name="Currency 5 3 3 5 4" xfId="11005" xr:uid="{F7EADFEF-F727-4B00-8047-83240D702AA5}"/>
    <cellStyle name="Currency 5 3 3 5 5" xfId="19452" xr:uid="{8086BD58-DA84-4493-891A-34936252986F}"/>
    <cellStyle name="Currency 5 3 3 5 6" xfId="27899" xr:uid="{BE47947A-2731-43F9-A6BE-06533E6C1A95}"/>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17780" xr:uid="{CA4A7B14-323A-4142-A8F6-022777981962}"/>
    <cellStyle name="Currency 5 3 3 6 2 2 3" xfId="26227" xr:uid="{BC868E8E-8D2B-4E96-9D57-893AEA9E6AD9}"/>
    <cellStyle name="Currency 5 3 3 6 2 2 4" xfId="34674" xr:uid="{E3CBEEEC-E6FE-42BE-BCE5-F57E39077427}"/>
    <cellStyle name="Currency 5 3 3 6 2 3" xfId="13563" xr:uid="{053910E0-A2FD-4993-9CE4-AE3BFD96E770}"/>
    <cellStyle name="Currency 5 3 3 6 2 4" xfId="22010" xr:uid="{029DB561-1E93-49BB-8729-6924A6AEE2DC}"/>
    <cellStyle name="Currency 5 3 3 6 2 5" xfId="30457" xr:uid="{CAD78D9B-B3CE-459B-808A-4FF0F612DFDC}"/>
    <cellStyle name="Currency 5 3 3 6 3" xfId="6309" xr:uid="{00000000-0005-0000-0000-0000050D0000}"/>
    <cellStyle name="Currency 5 3 3 6 3 2" xfId="15635" xr:uid="{AAC41D26-6BEB-4EF5-9605-808BA832E56C}"/>
    <cellStyle name="Currency 5 3 3 6 3 3" xfId="24082" xr:uid="{37AB84FF-6583-45C6-A1DD-BCC6CBED2FB2}"/>
    <cellStyle name="Currency 5 3 3 6 3 4" xfId="32529" xr:uid="{E3854101-BB1E-4967-8839-4551E81A811C}"/>
    <cellStyle name="Currency 5 3 3 6 4" xfId="11418" xr:uid="{2D8464F0-72AD-4F3B-8B26-4D7FD28C82F7}"/>
    <cellStyle name="Currency 5 3 3 6 5" xfId="19865" xr:uid="{78C2CC08-62F4-41DE-B3EB-27635D663E39}"/>
    <cellStyle name="Currency 5 3 3 6 6" xfId="28312" xr:uid="{65B6E405-6EF1-4528-B1CD-3690D20EB617}"/>
    <cellStyle name="Currency 5 3 3 7" xfId="2438" xr:uid="{00000000-0005-0000-0000-0000060D0000}"/>
    <cellStyle name="Currency 5 3 3 7 2" xfId="6722" xr:uid="{00000000-0005-0000-0000-0000070D0000}"/>
    <cellStyle name="Currency 5 3 3 7 2 2" xfId="16048" xr:uid="{976B6203-DD7D-4413-926E-DF0EDAF6B099}"/>
    <cellStyle name="Currency 5 3 3 7 2 3" xfId="24495" xr:uid="{FEF63406-26D8-41BD-A9A5-652E8CCE8009}"/>
    <cellStyle name="Currency 5 3 3 7 2 4" xfId="32942" xr:uid="{C4D248BA-4848-4319-B7E2-7DCBFF614584}"/>
    <cellStyle name="Currency 5 3 3 7 3" xfId="11831" xr:uid="{AB86B8C8-559B-4D71-8B82-13DBD5FC1DE3}"/>
    <cellStyle name="Currency 5 3 3 7 4" xfId="20278" xr:uid="{9418CCE5-F617-4FD4-89C1-2E935041E25B}"/>
    <cellStyle name="Currency 5 3 3 7 5" xfId="28725" xr:uid="{030A16C1-CB99-4B27-8C0F-DE35DCB5B03A}"/>
    <cellStyle name="Currency 5 3 3 8" xfId="2735" xr:uid="{00000000-0005-0000-0000-0000080D0000}"/>
    <cellStyle name="Currency 5 3 3 9" xfId="2816" xr:uid="{00000000-0005-0000-0000-0000090D0000}"/>
    <cellStyle name="Currency 5 3 3 9 2" xfId="7039" xr:uid="{00000000-0005-0000-0000-00000A0D0000}"/>
    <cellStyle name="Currency 5 3 3 9 2 2" xfId="16365" xr:uid="{ECB7616C-49FA-44EA-93F1-DFA18EFF3D89}"/>
    <cellStyle name="Currency 5 3 3 9 2 3" xfId="24812" xr:uid="{F3C4775B-3D20-414D-A3FE-567F292CF667}"/>
    <cellStyle name="Currency 5 3 3 9 2 4" xfId="33259" xr:uid="{6678011D-2E4F-41A5-B59F-1526F6DB6193}"/>
    <cellStyle name="Currency 5 3 3 9 3" xfId="12148" xr:uid="{81BD45AE-8633-4D3C-9541-95BE1E2C0103}"/>
    <cellStyle name="Currency 5 3 3 9 4" xfId="20595" xr:uid="{84C25262-966B-4AED-8EB9-3652C3DAB655}"/>
    <cellStyle name="Currency 5 3 3 9 5" xfId="29042" xr:uid="{EB79EF67-4634-4B52-A3C6-A0D0920C98D4}"/>
    <cellStyle name="Currency 5 3 4" xfId="216" xr:uid="{00000000-0005-0000-0000-00000B0D0000}"/>
    <cellStyle name="Currency 5 3 4 10" xfId="8986" xr:uid="{4F6CFA4A-F10A-4043-AD92-C0A3F7F06459}"/>
    <cellStyle name="Currency 5 3 4 11" xfId="9767" xr:uid="{CB566C64-85DA-4AA8-B0C5-B85B3C579D11}"/>
    <cellStyle name="Currency 5 3 4 12" xfId="18214" xr:uid="{BCD5C71B-2A60-4530-92A1-2375D1D2785A}"/>
    <cellStyle name="Currency 5 3 4 13" xfId="26661" xr:uid="{7368BB64-DD3B-439B-B3E3-DE48EE7B3573}"/>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16543" xr:uid="{5E7F28EC-D552-418E-A6BC-3BB2AF357632}"/>
    <cellStyle name="Currency 5 3 4 2 2 2 3" xfId="24990" xr:uid="{78BE8AF3-EE7C-42BE-BDFB-F5D2045DD4DA}"/>
    <cellStyle name="Currency 5 3 4 2 2 2 4" xfId="33437" xr:uid="{491CDF4C-CC2A-4BA9-A821-0D23F61F53E4}"/>
    <cellStyle name="Currency 5 3 4 2 2 3" xfId="12326" xr:uid="{1A8FBD17-E340-4296-9198-C44583BD768A}"/>
    <cellStyle name="Currency 5 3 4 2 2 4" xfId="20773" xr:uid="{30275C10-EF7C-4F6B-8F09-ABDC8601A5ED}"/>
    <cellStyle name="Currency 5 3 4 2 2 5" xfId="29220" xr:uid="{D1D57A13-B09D-40B3-A22F-A0B0CD00BBCE}"/>
    <cellStyle name="Currency 5 3 4 2 3" xfId="5072" xr:uid="{00000000-0005-0000-0000-00000F0D0000}"/>
    <cellStyle name="Currency 5 3 4 2 3 2" xfId="14398" xr:uid="{FFA76DAF-1DCA-4CBA-8720-68C835A45525}"/>
    <cellStyle name="Currency 5 3 4 2 3 3" xfId="22845" xr:uid="{48229CA5-EF47-4054-A97A-D48F413D6D97}"/>
    <cellStyle name="Currency 5 3 4 2 3 4" xfId="31292" xr:uid="{44225536-6C10-46E0-A768-F65F9EB67C8D}"/>
    <cellStyle name="Currency 5 3 4 2 4" xfId="9411" xr:uid="{2729DEB6-408B-463E-B468-91D932C31FD7}"/>
    <cellStyle name="Currency 5 3 4 2 5" xfId="10181" xr:uid="{984E0EF2-7EAA-4B3A-B8D0-BF9252C880A3}"/>
    <cellStyle name="Currency 5 3 4 2 6" xfId="18628" xr:uid="{D2217C07-7F40-40D1-866B-1EB2AF0C21B3}"/>
    <cellStyle name="Currency 5 3 4 2 7" xfId="27075" xr:uid="{9D4EE442-717F-4566-BB5E-FD0CAD6787B0}"/>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16956" xr:uid="{DA2A44DF-5282-404A-966F-4BE2BB22C14C}"/>
    <cellStyle name="Currency 5 3 4 3 2 2 3" xfId="25403" xr:uid="{A8135C94-6044-472D-9605-53DC23EF541A}"/>
    <cellStyle name="Currency 5 3 4 3 2 2 4" xfId="33850" xr:uid="{F56E3F99-914E-4962-A3E7-56D313922CB4}"/>
    <cellStyle name="Currency 5 3 4 3 2 3" xfId="12739" xr:uid="{E272139A-B735-40B3-9D73-0536CA210BB5}"/>
    <cellStyle name="Currency 5 3 4 3 2 4" xfId="21186" xr:uid="{F70E615B-04DB-4EE8-B839-CDA04464F6BE}"/>
    <cellStyle name="Currency 5 3 4 3 2 5" xfId="29633" xr:uid="{97BB9C5B-D6F5-4E78-9931-20796052C76D}"/>
    <cellStyle name="Currency 5 3 4 3 3" xfId="5485" xr:uid="{00000000-0005-0000-0000-0000130D0000}"/>
    <cellStyle name="Currency 5 3 4 3 3 2" xfId="14811" xr:uid="{B4A0B6D6-87CC-4E57-90AE-660DC131DF99}"/>
    <cellStyle name="Currency 5 3 4 3 3 3" xfId="23258" xr:uid="{58A922B9-2DB4-4537-A494-5591CD6AF345}"/>
    <cellStyle name="Currency 5 3 4 3 3 4" xfId="31705" xr:uid="{632550FA-7799-4FB2-81C7-453B20D5C844}"/>
    <cellStyle name="Currency 5 3 4 3 4" xfId="10594" xr:uid="{0B95BC44-3C47-4FFC-B8D0-22A80BCF0020}"/>
    <cellStyle name="Currency 5 3 4 3 5" xfId="19041" xr:uid="{343122D0-A0C1-45EC-A04A-2EF514EA58A9}"/>
    <cellStyle name="Currency 5 3 4 3 6" xfId="27488" xr:uid="{D93C89C9-1E2B-4F91-B83D-EED6B8F26243}"/>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17369" xr:uid="{8CDFDC1E-40BD-49A7-B2A0-28295137BE6A}"/>
    <cellStyle name="Currency 5 3 4 4 2 2 3" xfId="25816" xr:uid="{F2AA8ADA-D435-475E-9A01-5472C76C27F2}"/>
    <cellStyle name="Currency 5 3 4 4 2 2 4" xfId="34263" xr:uid="{2BD8C740-AEA3-4C78-8069-083F6D1D147C}"/>
    <cellStyle name="Currency 5 3 4 4 2 3" xfId="13152" xr:uid="{71208785-DA00-47C1-88B0-ECB2790DCD20}"/>
    <cellStyle name="Currency 5 3 4 4 2 4" xfId="21599" xr:uid="{DB994813-5084-4696-A0E6-1D044E57143D}"/>
    <cellStyle name="Currency 5 3 4 4 2 5" xfId="30046" xr:uid="{A0CDFEE9-1744-4909-A2BF-03A3F26373E7}"/>
    <cellStyle name="Currency 5 3 4 4 3" xfId="5898" xr:uid="{00000000-0005-0000-0000-0000170D0000}"/>
    <cellStyle name="Currency 5 3 4 4 3 2" xfId="15224" xr:uid="{08125F36-5F7F-4C61-9F78-1908053488FB}"/>
    <cellStyle name="Currency 5 3 4 4 3 3" xfId="23671" xr:uid="{D2F62346-22E3-4050-AA34-C42F283BB4B3}"/>
    <cellStyle name="Currency 5 3 4 4 3 4" xfId="32118" xr:uid="{4A1ACE8B-E901-47A2-9526-1B83EB97ECCA}"/>
    <cellStyle name="Currency 5 3 4 4 4" xfId="11007" xr:uid="{2195DC40-9F80-429E-A50A-3A1638F9A2F2}"/>
    <cellStyle name="Currency 5 3 4 4 5" xfId="19454" xr:uid="{9625CB00-EE1D-479F-A93A-385D0B397B49}"/>
    <cellStyle name="Currency 5 3 4 4 6" xfId="27901" xr:uid="{00CA7977-4012-4B24-AE72-1BB29C4BC162}"/>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17782" xr:uid="{24CB21B1-0562-40F7-9998-581F280ADB4D}"/>
    <cellStyle name="Currency 5 3 4 5 2 2 3" xfId="26229" xr:uid="{EDEDA52E-6801-4FB8-9592-61717697C8F7}"/>
    <cellStyle name="Currency 5 3 4 5 2 2 4" xfId="34676" xr:uid="{C0C150AB-10B9-4894-9C6A-37BA1F541242}"/>
    <cellStyle name="Currency 5 3 4 5 2 3" xfId="13565" xr:uid="{EE94B593-2502-4795-A5DC-556E7AA14D65}"/>
    <cellStyle name="Currency 5 3 4 5 2 4" xfId="22012" xr:uid="{7925CD9D-1698-492D-AD03-6ED1890C57A3}"/>
    <cellStyle name="Currency 5 3 4 5 2 5" xfId="30459" xr:uid="{DA76737E-EAF4-44F7-91E5-B51C78F66301}"/>
    <cellStyle name="Currency 5 3 4 5 3" xfId="6311" xr:uid="{00000000-0005-0000-0000-00001B0D0000}"/>
    <cellStyle name="Currency 5 3 4 5 3 2" xfId="15637" xr:uid="{01655D9C-B5CE-4269-8B28-A6603C3B6193}"/>
    <cellStyle name="Currency 5 3 4 5 3 3" xfId="24084" xr:uid="{973A5EB0-90BC-438B-9FD6-7674BE87D8B1}"/>
    <cellStyle name="Currency 5 3 4 5 3 4" xfId="32531" xr:uid="{C64C2BA6-C955-49FC-B0E6-02AD86A345AB}"/>
    <cellStyle name="Currency 5 3 4 5 4" xfId="11420" xr:uid="{9D4B81BF-62D5-48A2-AC21-BF2242D92F47}"/>
    <cellStyle name="Currency 5 3 4 5 5" xfId="19867" xr:uid="{5F759682-CC3F-4C02-8D49-9B1FC4D4E24E}"/>
    <cellStyle name="Currency 5 3 4 5 6" xfId="28314" xr:uid="{1E4F4B8F-63CA-458B-AA3A-A4F865481967}"/>
    <cellStyle name="Currency 5 3 4 6" xfId="2440" xr:uid="{00000000-0005-0000-0000-00001C0D0000}"/>
    <cellStyle name="Currency 5 3 4 6 2" xfId="6724" xr:uid="{00000000-0005-0000-0000-00001D0D0000}"/>
    <cellStyle name="Currency 5 3 4 6 2 2" xfId="16050" xr:uid="{8DA3A66F-BA15-4524-B010-0B719DFC981C}"/>
    <cellStyle name="Currency 5 3 4 6 2 3" xfId="24497" xr:uid="{0C472E41-FEE4-4F24-9223-975DDC1684FD}"/>
    <cellStyle name="Currency 5 3 4 6 2 4" xfId="32944" xr:uid="{C4B2E143-7BC0-449C-A30B-E0368B0AD19F}"/>
    <cellStyle name="Currency 5 3 4 6 3" xfId="11833" xr:uid="{FB41CD10-C161-4CB9-B98A-310B20CD93EE}"/>
    <cellStyle name="Currency 5 3 4 6 4" xfId="20280" xr:uid="{9402C44E-035C-403F-AC81-6B9FAB4837A7}"/>
    <cellStyle name="Currency 5 3 4 6 5" xfId="28727" xr:uid="{329AAAF8-A7E0-4053-9612-1E1D0945FE52}"/>
    <cellStyle name="Currency 5 3 4 7" xfId="2737" xr:uid="{00000000-0005-0000-0000-00001E0D0000}"/>
    <cellStyle name="Currency 5 3 4 8" xfId="2818" xr:uid="{00000000-0005-0000-0000-00001F0D0000}"/>
    <cellStyle name="Currency 5 3 4 8 2" xfId="7041" xr:uid="{00000000-0005-0000-0000-0000200D0000}"/>
    <cellStyle name="Currency 5 3 4 8 2 2" xfId="16367" xr:uid="{9579FCF6-E74B-4697-B3B4-5E3F6B7E4D2E}"/>
    <cellStyle name="Currency 5 3 4 8 2 3" xfId="24814" xr:uid="{78516CD1-A459-4B3C-B53E-B8A56C30BBED}"/>
    <cellStyle name="Currency 5 3 4 8 2 4" xfId="33261" xr:uid="{ECDD63D3-092B-4B40-ADC4-65DD7C86FF50}"/>
    <cellStyle name="Currency 5 3 4 8 3" xfId="12150" xr:uid="{A940E48D-0C0D-43A8-A3B1-55C639023BA5}"/>
    <cellStyle name="Currency 5 3 4 8 4" xfId="20597" xr:uid="{827A6D17-B2E0-4CAD-AFAF-562B1A8EC6A3}"/>
    <cellStyle name="Currency 5 3 4 8 5" xfId="29044" xr:uid="{E564F322-95B6-425F-A1CD-7408C7A487F3}"/>
    <cellStyle name="Currency 5 3 4 9" xfId="4658" xr:uid="{00000000-0005-0000-0000-0000210D0000}"/>
    <cellStyle name="Currency 5 3 4 9 2" xfId="13984" xr:uid="{8809E8F1-88B3-46F9-8D39-63206A23BBA0}"/>
    <cellStyle name="Currency 5 3 4 9 3" xfId="22431" xr:uid="{63B04B1A-ED7F-4102-A5FC-6DEAF5DA96E6}"/>
    <cellStyle name="Currency 5 3 4 9 4" xfId="30878" xr:uid="{3F6E0D4B-8797-40BE-ABC1-33808E7F066B}"/>
    <cellStyle name="Currency 5 3 5" xfId="217" xr:uid="{00000000-0005-0000-0000-0000220D0000}"/>
    <cellStyle name="Currency 5 3 5 10" xfId="9203" xr:uid="{6167CBBD-227C-4457-B6B6-18EF5C089771}"/>
    <cellStyle name="Currency 5 3 5 11" xfId="9768" xr:uid="{1AA33377-455B-4161-8248-12DCB87855B4}"/>
    <cellStyle name="Currency 5 3 5 12" xfId="18215" xr:uid="{10645462-6A89-4530-9670-74862ACCF1A4}"/>
    <cellStyle name="Currency 5 3 5 13" xfId="26662" xr:uid="{355BBFFC-6622-4489-8A34-B54024C7B3A8}"/>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16544" xr:uid="{53763DE9-C662-4B74-AEF7-B55EF7F57403}"/>
    <cellStyle name="Currency 5 3 5 2 2 2 3" xfId="24991" xr:uid="{5AA14FFD-175F-4625-9E17-3A476D5F3A60}"/>
    <cellStyle name="Currency 5 3 5 2 2 2 4" xfId="33438" xr:uid="{CB815102-D0AC-4CFF-A76A-A0896941CE62}"/>
    <cellStyle name="Currency 5 3 5 2 2 3" xfId="12327" xr:uid="{EEC2F695-AA56-43C9-9103-043E784B936F}"/>
    <cellStyle name="Currency 5 3 5 2 2 4" xfId="20774" xr:uid="{1110C10E-528C-4D90-A48B-AF7B072259E1}"/>
    <cellStyle name="Currency 5 3 5 2 2 5" xfId="29221" xr:uid="{77ED87F0-703C-46A4-B7DE-3183575561D4}"/>
    <cellStyle name="Currency 5 3 5 2 3" xfId="5073" xr:uid="{00000000-0005-0000-0000-0000260D0000}"/>
    <cellStyle name="Currency 5 3 5 2 3 2" xfId="14399" xr:uid="{F873D26C-15B6-4533-8932-A1281055EDB8}"/>
    <cellStyle name="Currency 5 3 5 2 3 3" xfId="22846" xr:uid="{70EA22DE-078B-494E-8D9F-5701AC335637}"/>
    <cellStyle name="Currency 5 3 5 2 3 4" xfId="31293" xr:uid="{9BE15082-A8EB-4479-B3B1-ADA3CA5F7B27}"/>
    <cellStyle name="Currency 5 3 5 2 4" xfId="9600" xr:uid="{650A4058-48FE-4F3E-8845-8F52DF332026}"/>
    <cellStyle name="Currency 5 3 5 2 5" xfId="10182" xr:uid="{DEE2EAF3-3DA0-4ABF-A543-EFAC9674E590}"/>
    <cellStyle name="Currency 5 3 5 2 6" xfId="18629" xr:uid="{A9B58896-F9AB-4C0E-9F4B-A7E7E3D245C3}"/>
    <cellStyle name="Currency 5 3 5 2 7" xfId="27076" xr:uid="{B24BBA86-13B2-46FA-9935-82198052365F}"/>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16957" xr:uid="{65906FF4-1A3D-4983-B08D-D6984433BF74}"/>
    <cellStyle name="Currency 5 3 5 3 2 2 3" xfId="25404" xr:uid="{71A9B179-86D1-43FF-A7FF-967D1EBCD565}"/>
    <cellStyle name="Currency 5 3 5 3 2 2 4" xfId="33851" xr:uid="{3901C5D7-E49B-41C7-9FD1-4841E721EA2E}"/>
    <cellStyle name="Currency 5 3 5 3 2 3" xfId="12740" xr:uid="{0A812913-4288-4112-B40D-24E098376AB1}"/>
    <cellStyle name="Currency 5 3 5 3 2 4" xfId="21187" xr:uid="{47DC754A-E54E-4630-898C-F36DA0D8D066}"/>
    <cellStyle name="Currency 5 3 5 3 2 5" xfId="29634" xr:uid="{2EF792B7-CEDB-4699-B934-F86B07B0F60C}"/>
    <cellStyle name="Currency 5 3 5 3 3" xfId="5486" xr:uid="{00000000-0005-0000-0000-00002A0D0000}"/>
    <cellStyle name="Currency 5 3 5 3 3 2" xfId="14812" xr:uid="{1EC3D59B-15F8-49AC-8924-01ADE3B91A7E}"/>
    <cellStyle name="Currency 5 3 5 3 3 3" xfId="23259" xr:uid="{53CE3947-BFDD-4D54-AF11-EC0E61B9B0DB}"/>
    <cellStyle name="Currency 5 3 5 3 3 4" xfId="31706" xr:uid="{13625133-E88D-43A5-AEE7-94F02BDC1435}"/>
    <cellStyle name="Currency 5 3 5 3 4" xfId="10595" xr:uid="{8563F939-BCC2-488B-80CF-D7C31D195D6D}"/>
    <cellStyle name="Currency 5 3 5 3 5" xfId="19042" xr:uid="{0761AFBF-2201-4A85-8F75-FD455D2CB4AE}"/>
    <cellStyle name="Currency 5 3 5 3 6" xfId="27489" xr:uid="{5B707059-8159-4A05-96AA-F800A9CB5BF0}"/>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17370" xr:uid="{F90969EF-93D4-4854-8835-527058ECB3C0}"/>
    <cellStyle name="Currency 5 3 5 4 2 2 3" xfId="25817" xr:uid="{6E350906-012D-4C24-91BD-5245C4F5CA3D}"/>
    <cellStyle name="Currency 5 3 5 4 2 2 4" xfId="34264" xr:uid="{68FBCC58-A183-4A43-B82B-FFB6394F50C8}"/>
    <cellStyle name="Currency 5 3 5 4 2 3" xfId="13153" xr:uid="{513B62AC-1FF4-4BF9-B44E-D0C0F01FB5A7}"/>
    <cellStyle name="Currency 5 3 5 4 2 4" xfId="21600" xr:uid="{F38CCF57-D903-4A07-9954-4021331B9AF5}"/>
    <cellStyle name="Currency 5 3 5 4 2 5" xfId="30047" xr:uid="{612CFA4D-7585-4895-9760-0BDDE76F8F65}"/>
    <cellStyle name="Currency 5 3 5 4 3" xfId="5899" xr:uid="{00000000-0005-0000-0000-00002E0D0000}"/>
    <cellStyle name="Currency 5 3 5 4 3 2" xfId="15225" xr:uid="{DD004026-DB2D-473E-89FA-7D9A0254143A}"/>
    <cellStyle name="Currency 5 3 5 4 3 3" xfId="23672" xr:uid="{BFEA1E48-9492-415A-955D-963A60D8ED7A}"/>
    <cellStyle name="Currency 5 3 5 4 3 4" xfId="32119" xr:uid="{154C6FF7-077F-49FA-9495-A62C76A121BF}"/>
    <cellStyle name="Currency 5 3 5 4 4" xfId="11008" xr:uid="{CBFE0B28-14F7-48C6-9001-5947F011A3EE}"/>
    <cellStyle name="Currency 5 3 5 4 5" xfId="19455" xr:uid="{1CD3A663-9437-413A-87A7-2A02F34C6B1B}"/>
    <cellStyle name="Currency 5 3 5 4 6" xfId="27902" xr:uid="{B2E4312B-CE8B-414C-945A-9382A46565E8}"/>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17783" xr:uid="{708F4459-F6C3-48C6-A760-CCB4CB5B5B8F}"/>
    <cellStyle name="Currency 5 3 5 5 2 2 3" xfId="26230" xr:uid="{BAC8342C-E820-4182-B715-59F0D815A830}"/>
    <cellStyle name="Currency 5 3 5 5 2 2 4" xfId="34677" xr:uid="{4B9BC87F-60BA-4731-957E-7B8390B74E56}"/>
    <cellStyle name="Currency 5 3 5 5 2 3" xfId="13566" xr:uid="{8688B2C3-231D-4798-A742-B71CA6C1747D}"/>
    <cellStyle name="Currency 5 3 5 5 2 4" xfId="22013" xr:uid="{DD80C966-391A-4B9D-BC3B-A4B0B67BC91B}"/>
    <cellStyle name="Currency 5 3 5 5 2 5" xfId="30460" xr:uid="{05E30C67-EF20-4E85-B769-9141FDD11206}"/>
    <cellStyle name="Currency 5 3 5 5 3" xfId="6312" xr:uid="{00000000-0005-0000-0000-0000320D0000}"/>
    <cellStyle name="Currency 5 3 5 5 3 2" xfId="15638" xr:uid="{CA8D6B17-C803-4432-9B96-0AF6A0A25B6A}"/>
    <cellStyle name="Currency 5 3 5 5 3 3" xfId="24085" xr:uid="{B2C472DE-F009-4E83-A27F-96CD48458718}"/>
    <cellStyle name="Currency 5 3 5 5 3 4" xfId="32532" xr:uid="{C0527418-4B86-44CE-BE08-222AF6780E57}"/>
    <cellStyle name="Currency 5 3 5 5 4" xfId="11421" xr:uid="{924F373D-55B1-4FA3-A8C7-170FE23997DB}"/>
    <cellStyle name="Currency 5 3 5 5 5" xfId="19868" xr:uid="{0B56E3B8-C444-40AE-9903-50E1BE25DB40}"/>
    <cellStyle name="Currency 5 3 5 5 6" xfId="28315" xr:uid="{6CE7022E-7399-4FCC-82A5-86F5B8AD6AFB}"/>
    <cellStyle name="Currency 5 3 5 6" xfId="2441" xr:uid="{00000000-0005-0000-0000-0000330D0000}"/>
    <cellStyle name="Currency 5 3 5 6 2" xfId="6725" xr:uid="{00000000-0005-0000-0000-0000340D0000}"/>
    <cellStyle name="Currency 5 3 5 6 2 2" xfId="16051" xr:uid="{D9F272CE-86F5-433C-837C-28A3D6581E7C}"/>
    <cellStyle name="Currency 5 3 5 6 2 3" xfId="24498" xr:uid="{44512351-E5E8-446A-A8B0-A46E45F5CE48}"/>
    <cellStyle name="Currency 5 3 5 6 2 4" xfId="32945" xr:uid="{0A8BCFB8-360B-49A5-A89D-BF06B31032A5}"/>
    <cellStyle name="Currency 5 3 5 6 3" xfId="11834" xr:uid="{00A4DF0D-E566-4851-8820-8CC1BA1CEB47}"/>
    <cellStyle name="Currency 5 3 5 6 4" xfId="20281" xr:uid="{DF31ED9E-6A95-4E78-9347-D05BA2B2E957}"/>
    <cellStyle name="Currency 5 3 5 6 5" xfId="28728" xr:uid="{BC164DFF-34C9-4DB8-BB4E-0498B12E8C73}"/>
    <cellStyle name="Currency 5 3 5 7" xfId="2738" xr:uid="{00000000-0005-0000-0000-0000350D0000}"/>
    <cellStyle name="Currency 5 3 5 8" xfId="2819" xr:uid="{00000000-0005-0000-0000-0000360D0000}"/>
    <cellStyle name="Currency 5 3 5 8 2" xfId="7042" xr:uid="{00000000-0005-0000-0000-0000370D0000}"/>
    <cellStyle name="Currency 5 3 5 8 2 2" xfId="16368" xr:uid="{0A520984-C97C-4A0D-AFE9-9CA8E767032A}"/>
    <cellStyle name="Currency 5 3 5 8 2 3" xfId="24815" xr:uid="{B0CFA28E-31BC-40D4-9892-48BA0EAD40DA}"/>
    <cellStyle name="Currency 5 3 5 8 2 4" xfId="33262" xr:uid="{7D8DC6DA-C54A-4C63-B79C-ACB3F290B38C}"/>
    <cellStyle name="Currency 5 3 5 8 3" xfId="12151" xr:uid="{08ACD7A2-320F-4151-9511-58D77A670E7D}"/>
    <cellStyle name="Currency 5 3 5 8 4" xfId="20598" xr:uid="{9A691192-F530-4112-9596-8AFDC8F5C351}"/>
    <cellStyle name="Currency 5 3 5 8 5" xfId="29045" xr:uid="{EC521F54-C742-4579-BBA9-1CC03C3445AF}"/>
    <cellStyle name="Currency 5 3 5 9" xfId="4659" xr:uid="{00000000-0005-0000-0000-0000380D0000}"/>
    <cellStyle name="Currency 5 3 5 9 2" xfId="13985" xr:uid="{8284A1B2-334C-4D84-A652-E7081E1A7D01}"/>
    <cellStyle name="Currency 5 3 5 9 3" xfId="22432" xr:uid="{44050A36-F1D4-49A7-A899-8EFFEABB0883}"/>
    <cellStyle name="Currency 5 3 5 9 4" xfId="30879" xr:uid="{53947381-D400-4F69-A681-E43DBFCA7A48}"/>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13986" xr:uid="{22282C1F-694C-47E1-B10E-817790724F32}"/>
    <cellStyle name="Currency 5 5 10 3" xfId="22433" xr:uid="{2EAF7CAC-A913-4E95-AAF4-242CAF34F5D5}"/>
    <cellStyle name="Currency 5 5 10 4" xfId="30880" xr:uid="{E489900B-7984-493A-A137-86A705AEC6BF}"/>
    <cellStyle name="Currency 5 5 11" xfId="8850" xr:uid="{8F129173-F323-478F-8B06-1E2599EB26C1}"/>
    <cellStyle name="Currency 5 5 12" xfId="9769" xr:uid="{E13EE184-31AC-4F16-B9E2-BDD7DE33DA56}"/>
    <cellStyle name="Currency 5 5 13" xfId="18216" xr:uid="{D19AD634-39FA-4F1D-BE21-CCB60AA952BA}"/>
    <cellStyle name="Currency 5 5 14" xfId="26663" xr:uid="{BEB68A3E-7BB9-4E81-849F-C18AFF7D17C4}"/>
    <cellStyle name="Currency 5 5 2" xfId="220" xr:uid="{00000000-0005-0000-0000-00003D0D0000}"/>
    <cellStyle name="Currency 5 5 2 10" xfId="9057" xr:uid="{90E61E49-0971-4EC1-90D8-E015846E4FB2}"/>
    <cellStyle name="Currency 5 5 2 11" xfId="9770" xr:uid="{932001EB-152B-488E-AFB4-D5F9FE08F214}"/>
    <cellStyle name="Currency 5 5 2 12" xfId="18217" xr:uid="{1D60FFD8-93C9-42EF-A494-967BCD90E698}"/>
    <cellStyle name="Currency 5 5 2 13" xfId="26664" xr:uid="{A93C6832-C333-4035-9052-414FD0ADE16E}"/>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16546" xr:uid="{D1AF9332-1FC9-4406-A0B1-785F9478BE41}"/>
    <cellStyle name="Currency 5 5 2 2 2 2 3" xfId="24993" xr:uid="{287D563E-4596-42D4-B620-D872DB390A07}"/>
    <cellStyle name="Currency 5 5 2 2 2 2 4" xfId="33440" xr:uid="{2586128C-7A49-4A6F-B420-0FA4B3946F38}"/>
    <cellStyle name="Currency 5 5 2 2 2 3" xfId="12329" xr:uid="{704E62CB-2A9D-4E1A-9704-9A8787D8AFC2}"/>
    <cellStyle name="Currency 5 5 2 2 2 4" xfId="20776" xr:uid="{3534E5ED-004B-4166-90F8-01A36DB477B0}"/>
    <cellStyle name="Currency 5 5 2 2 2 5" xfId="29223" xr:uid="{B9F50B00-F83B-4CF0-9841-1DD1980F6A17}"/>
    <cellStyle name="Currency 5 5 2 2 3" xfId="5075" xr:uid="{00000000-0005-0000-0000-0000410D0000}"/>
    <cellStyle name="Currency 5 5 2 2 3 2" xfId="14401" xr:uid="{94A2BEEC-9605-4044-BEEB-AB23C996E9A3}"/>
    <cellStyle name="Currency 5 5 2 2 3 3" xfId="22848" xr:uid="{3C7FE78C-E1F9-40D2-A571-0848A9344933}"/>
    <cellStyle name="Currency 5 5 2 2 3 4" xfId="31295" xr:uid="{781113F2-D600-4F97-AAF5-4E880298F71F}"/>
    <cellStyle name="Currency 5 5 2 2 4" xfId="9482" xr:uid="{ECEE3E7C-42CD-4A2D-A90F-D54FFBA7E41F}"/>
    <cellStyle name="Currency 5 5 2 2 5" xfId="10184" xr:uid="{91845EE7-3643-4446-BDB3-0846BC8BB3AC}"/>
    <cellStyle name="Currency 5 5 2 2 6" xfId="18631" xr:uid="{B4C61BAF-8093-44CF-BDF0-92FB3270056C}"/>
    <cellStyle name="Currency 5 5 2 2 7" xfId="27078" xr:uid="{3FDCF7E4-B8BB-431B-8F81-A6C5313EF36F}"/>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16959" xr:uid="{B39D9D0E-B1D5-4A1D-8076-6451D3EE3684}"/>
    <cellStyle name="Currency 5 5 2 3 2 2 3" xfId="25406" xr:uid="{AA3E5CEA-F80E-404B-93A7-1F8366EC2BA3}"/>
    <cellStyle name="Currency 5 5 2 3 2 2 4" xfId="33853" xr:uid="{F1F7D647-749A-4BE3-9BBC-4BA93F95AF2B}"/>
    <cellStyle name="Currency 5 5 2 3 2 3" xfId="12742" xr:uid="{08BCC802-1E64-4A3C-845F-05D645824E5C}"/>
    <cellStyle name="Currency 5 5 2 3 2 4" xfId="21189" xr:uid="{883E1669-67F0-4BEA-8E55-399AE2836330}"/>
    <cellStyle name="Currency 5 5 2 3 2 5" xfId="29636" xr:uid="{6382A2BA-A6AE-4CE4-AF54-FBB1C5FD433A}"/>
    <cellStyle name="Currency 5 5 2 3 3" xfId="5488" xr:uid="{00000000-0005-0000-0000-0000450D0000}"/>
    <cellStyle name="Currency 5 5 2 3 3 2" xfId="14814" xr:uid="{2B399E80-DCF0-4970-92E8-07C4572FE92C}"/>
    <cellStyle name="Currency 5 5 2 3 3 3" xfId="23261" xr:uid="{AFF045D8-B1C1-4C0B-A4D1-625EAAFCBBBF}"/>
    <cellStyle name="Currency 5 5 2 3 3 4" xfId="31708" xr:uid="{63BC232A-9019-47D4-BFAC-10827FC05495}"/>
    <cellStyle name="Currency 5 5 2 3 4" xfId="10597" xr:uid="{40761940-77E0-4AAF-8061-E668E6DD0BAB}"/>
    <cellStyle name="Currency 5 5 2 3 5" xfId="19044" xr:uid="{42D3EB87-DE66-4DBD-8E9B-D2B7A9CE1596}"/>
    <cellStyle name="Currency 5 5 2 3 6" xfId="27491" xr:uid="{724B4EE8-B127-4A67-AC2F-0A322040EDE1}"/>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17372" xr:uid="{2FD7C095-2734-4BA3-B905-E81EBB6FDCAF}"/>
    <cellStyle name="Currency 5 5 2 4 2 2 3" xfId="25819" xr:uid="{D22C2830-BA3B-4850-BE63-1FA8D5516347}"/>
    <cellStyle name="Currency 5 5 2 4 2 2 4" xfId="34266" xr:uid="{95C5D78E-3AFC-48B7-A2E9-7C03CA3D4260}"/>
    <cellStyle name="Currency 5 5 2 4 2 3" xfId="13155" xr:uid="{68E14D45-5B18-47DA-9FB3-3BAA93751B81}"/>
    <cellStyle name="Currency 5 5 2 4 2 4" xfId="21602" xr:uid="{C6FD7C07-DD5D-425F-A87B-C6E3F84FAF1E}"/>
    <cellStyle name="Currency 5 5 2 4 2 5" xfId="30049" xr:uid="{A8C4D53D-C791-4B8A-807F-485545E3713F}"/>
    <cellStyle name="Currency 5 5 2 4 3" xfId="5901" xr:uid="{00000000-0005-0000-0000-0000490D0000}"/>
    <cellStyle name="Currency 5 5 2 4 3 2" xfId="15227" xr:uid="{A642605C-F158-4A35-BD07-43470BB3BDB0}"/>
    <cellStyle name="Currency 5 5 2 4 3 3" xfId="23674" xr:uid="{4787D7E6-10B9-4F6B-8C61-A6FF78C9EFB3}"/>
    <cellStyle name="Currency 5 5 2 4 3 4" xfId="32121" xr:uid="{AE1B94D2-3FBF-4152-BC0A-142842EECFE0}"/>
    <cellStyle name="Currency 5 5 2 4 4" xfId="11010" xr:uid="{A83DFECB-915C-44FE-BDAF-A0D4848E218E}"/>
    <cellStyle name="Currency 5 5 2 4 5" xfId="19457" xr:uid="{1FB2E286-E02C-4F46-AD69-A3B206618067}"/>
    <cellStyle name="Currency 5 5 2 4 6" xfId="27904" xr:uid="{FB21848B-F3F2-416B-A1E7-65D2F7B0B913}"/>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17785" xr:uid="{3B523EA1-494F-4B56-A088-8C1AA13711D1}"/>
    <cellStyle name="Currency 5 5 2 5 2 2 3" xfId="26232" xr:uid="{98C151FE-C993-4BAB-A0BB-517359685FAF}"/>
    <cellStyle name="Currency 5 5 2 5 2 2 4" xfId="34679" xr:uid="{6D92F495-CBB2-476B-84BF-87B5F239F897}"/>
    <cellStyle name="Currency 5 5 2 5 2 3" xfId="13568" xr:uid="{8FB20DA9-F2F9-4E85-AABE-87E84E52C6E6}"/>
    <cellStyle name="Currency 5 5 2 5 2 4" xfId="22015" xr:uid="{BD740587-1FC2-4CEC-B629-FBE9D6B73428}"/>
    <cellStyle name="Currency 5 5 2 5 2 5" xfId="30462" xr:uid="{B8D5B846-DF11-4EBC-A678-3FEBE49AEA5B}"/>
    <cellStyle name="Currency 5 5 2 5 3" xfId="6314" xr:uid="{00000000-0005-0000-0000-00004D0D0000}"/>
    <cellStyle name="Currency 5 5 2 5 3 2" xfId="15640" xr:uid="{ACDBA2DF-BB65-40B5-AE32-1507C27753C9}"/>
    <cellStyle name="Currency 5 5 2 5 3 3" xfId="24087" xr:uid="{FCCFAAD2-6619-4603-8915-F63F6426F5EC}"/>
    <cellStyle name="Currency 5 5 2 5 3 4" xfId="32534" xr:uid="{77C34744-C0D3-4AE8-8D5F-375AB5D11D0C}"/>
    <cellStyle name="Currency 5 5 2 5 4" xfId="11423" xr:uid="{48009766-2BE0-48CC-8E65-515B79CBC507}"/>
    <cellStyle name="Currency 5 5 2 5 5" xfId="19870" xr:uid="{A649AEE1-CA06-4371-927E-AD285CC892EC}"/>
    <cellStyle name="Currency 5 5 2 5 6" xfId="28317" xr:uid="{79F74B1E-97DA-454E-A5D4-64C6F379D8FF}"/>
    <cellStyle name="Currency 5 5 2 6" xfId="2443" xr:uid="{00000000-0005-0000-0000-00004E0D0000}"/>
    <cellStyle name="Currency 5 5 2 6 2" xfId="6727" xr:uid="{00000000-0005-0000-0000-00004F0D0000}"/>
    <cellStyle name="Currency 5 5 2 6 2 2" xfId="16053" xr:uid="{8FA3AE72-B25F-444A-AD72-68693B13F0F0}"/>
    <cellStyle name="Currency 5 5 2 6 2 3" xfId="24500" xr:uid="{DD2D689F-D154-4340-B8C0-3DEDDD2B8AA8}"/>
    <cellStyle name="Currency 5 5 2 6 2 4" xfId="32947" xr:uid="{572C32CC-6D8B-4C9A-A1B2-B6F6043CFB4B}"/>
    <cellStyle name="Currency 5 5 2 6 3" xfId="11836" xr:uid="{86B58F6E-D348-47AE-AE62-03A7F7BDD2CD}"/>
    <cellStyle name="Currency 5 5 2 6 4" xfId="20283" xr:uid="{E87D29AB-EED2-4085-B331-1C60C5AD49E0}"/>
    <cellStyle name="Currency 5 5 2 6 5" xfId="28730" xr:uid="{F80F13EA-2133-4FC6-BD00-EE0E89F1FC80}"/>
    <cellStyle name="Currency 5 5 2 7" xfId="2740" xr:uid="{00000000-0005-0000-0000-0000500D0000}"/>
    <cellStyle name="Currency 5 5 2 8" xfId="2821" xr:uid="{00000000-0005-0000-0000-0000510D0000}"/>
    <cellStyle name="Currency 5 5 2 8 2" xfId="7044" xr:uid="{00000000-0005-0000-0000-0000520D0000}"/>
    <cellStyle name="Currency 5 5 2 8 2 2" xfId="16370" xr:uid="{E739F323-128E-426C-8B72-03B3F72AC7F8}"/>
    <cellStyle name="Currency 5 5 2 8 2 3" xfId="24817" xr:uid="{BA1617B9-A871-4BE1-B6DF-2ECA8DBB65BC}"/>
    <cellStyle name="Currency 5 5 2 8 2 4" xfId="33264" xr:uid="{48FAA126-AEB8-420E-96DF-5511C7A8000F}"/>
    <cellStyle name="Currency 5 5 2 8 3" xfId="12153" xr:uid="{393F786E-CDA1-4405-A6B2-39CE23A107C0}"/>
    <cellStyle name="Currency 5 5 2 8 4" xfId="20600" xr:uid="{FDF2D24A-6716-4B4B-9351-6B70E3568DA6}"/>
    <cellStyle name="Currency 5 5 2 8 5" xfId="29047" xr:uid="{07D08DB2-13A3-40F5-99CF-8514022E5AF0}"/>
    <cellStyle name="Currency 5 5 2 9" xfId="4661" xr:uid="{00000000-0005-0000-0000-0000530D0000}"/>
    <cellStyle name="Currency 5 5 2 9 2" xfId="13987" xr:uid="{0E103202-196D-4C76-B4FE-4CE7AD98C716}"/>
    <cellStyle name="Currency 5 5 2 9 3" xfId="22434" xr:uid="{CBB57380-FC6A-45C7-825A-A84FE21F499A}"/>
    <cellStyle name="Currency 5 5 2 9 4" xfId="30881" xr:uid="{92E42058-41B9-4A6D-BFB0-1D0357FBF0E9}"/>
    <cellStyle name="Currency 5 5 3" xfId="745" xr:uid="{00000000-0005-0000-0000-0000540D0000}"/>
    <cellStyle name="Currency 5 5 3 2" xfId="2997" xr:uid="{00000000-0005-0000-0000-0000550D0000}"/>
    <cellStyle name="Currency 5 5 3 2 2" xfId="7219" xr:uid="{00000000-0005-0000-0000-0000560D0000}"/>
    <cellStyle name="Currency 5 5 3 2 2 2" xfId="16545" xr:uid="{0AAF885F-F311-4E45-8189-2FFED9FA17FC}"/>
    <cellStyle name="Currency 5 5 3 2 2 3" xfId="24992" xr:uid="{12039567-3264-4956-A64E-4A520487F795}"/>
    <cellStyle name="Currency 5 5 3 2 2 4" xfId="33439" xr:uid="{70A7D4FC-951D-4B0D-B102-C04C851B0951}"/>
    <cellStyle name="Currency 5 5 3 2 3" xfId="12328" xr:uid="{0C73D2D3-FC87-4E9D-B1BC-3C6E2D63035D}"/>
    <cellStyle name="Currency 5 5 3 2 4" xfId="20775" xr:uid="{A0848A61-AAF9-4356-B69C-7B5F37D6ED68}"/>
    <cellStyle name="Currency 5 5 3 2 5" xfId="29222" xr:uid="{208206E6-F4ED-469B-AA6A-7EBC2DB69ADF}"/>
    <cellStyle name="Currency 5 5 3 3" xfId="5074" xr:uid="{00000000-0005-0000-0000-0000570D0000}"/>
    <cellStyle name="Currency 5 5 3 3 2" xfId="14400" xr:uid="{57122BC1-DDE0-4710-8BFF-BF4C8E2264D8}"/>
    <cellStyle name="Currency 5 5 3 3 3" xfId="22847" xr:uid="{59A105B3-6338-4351-B275-02CE71B9836A}"/>
    <cellStyle name="Currency 5 5 3 3 4" xfId="31294" xr:uid="{D5EB4025-77B8-4F7F-9DF9-D1CE9FA025E2}"/>
    <cellStyle name="Currency 5 5 3 4" xfId="9275" xr:uid="{54783F20-34E5-4A58-80AE-EC7CC69A89C9}"/>
    <cellStyle name="Currency 5 5 3 5" xfId="10183" xr:uid="{50C2F8A1-C914-452E-8564-2B9848519A24}"/>
    <cellStyle name="Currency 5 5 3 6" xfId="18630" xr:uid="{FF044D52-1D6D-45EA-B37B-5EB57BDAF8D9}"/>
    <cellStyle name="Currency 5 5 3 7" xfId="27077" xr:uid="{96713C87-E90A-4F35-9131-5324F21E52E9}"/>
    <cellStyle name="Currency 5 5 4" xfId="1179" xr:uid="{00000000-0005-0000-0000-0000580D0000}"/>
    <cellStyle name="Currency 5 5 4 2" xfId="3410" xr:uid="{00000000-0005-0000-0000-0000590D0000}"/>
    <cellStyle name="Currency 5 5 4 2 2" xfId="7632" xr:uid="{00000000-0005-0000-0000-00005A0D0000}"/>
    <cellStyle name="Currency 5 5 4 2 2 2" xfId="16958" xr:uid="{34F76D70-19F7-4EFA-990E-EEA660127D1A}"/>
    <cellStyle name="Currency 5 5 4 2 2 3" xfId="25405" xr:uid="{FA4D6105-43F0-4334-9B97-7C7AB6F10749}"/>
    <cellStyle name="Currency 5 5 4 2 2 4" xfId="33852" xr:uid="{D8BEDBCE-5B4B-4DAE-9291-4BF0FDD562C8}"/>
    <cellStyle name="Currency 5 5 4 2 3" xfId="12741" xr:uid="{1AD3223A-D2E9-454A-832B-9B60BFC52690}"/>
    <cellStyle name="Currency 5 5 4 2 4" xfId="21188" xr:uid="{E60D71F5-96C4-4514-BB6F-B142A658634D}"/>
    <cellStyle name="Currency 5 5 4 2 5" xfId="29635" xr:uid="{1F60E61E-7147-40A0-9C53-7F1C17D4EAB0}"/>
    <cellStyle name="Currency 5 5 4 3" xfId="5487" xr:uid="{00000000-0005-0000-0000-00005B0D0000}"/>
    <cellStyle name="Currency 5 5 4 3 2" xfId="14813" xr:uid="{BC3382A5-E7DA-4C33-945B-CAB7316DC096}"/>
    <cellStyle name="Currency 5 5 4 3 3" xfId="23260" xr:uid="{913B7784-A25B-4325-80E8-B8899C4420ED}"/>
    <cellStyle name="Currency 5 5 4 3 4" xfId="31707" xr:uid="{23B1F988-253F-4424-A47C-380D204078A0}"/>
    <cellStyle name="Currency 5 5 4 4" xfId="10596" xr:uid="{FBC59673-8033-4D23-8392-DAA949079015}"/>
    <cellStyle name="Currency 5 5 4 5" xfId="19043" xr:uid="{067D72B4-535A-4FA1-879A-5ABD8169A3B8}"/>
    <cellStyle name="Currency 5 5 4 6" xfId="27490" xr:uid="{317BD9C7-EF32-4382-A7AE-F53767FE8C0D}"/>
    <cellStyle name="Currency 5 5 5" xfId="1593" xr:uid="{00000000-0005-0000-0000-00005C0D0000}"/>
    <cellStyle name="Currency 5 5 5 2" xfId="3823" xr:uid="{00000000-0005-0000-0000-00005D0D0000}"/>
    <cellStyle name="Currency 5 5 5 2 2" xfId="8045" xr:uid="{00000000-0005-0000-0000-00005E0D0000}"/>
    <cellStyle name="Currency 5 5 5 2 2 2" xfId="17371" xr:uid="{0D7693F8-5C61-4817-997E-1C115F000016}"/>
    <cellStyle name="Currency 5 5 5 2 2 3" xfId="25818" xr:uid="{0DCDD4DD-685E-4706-B8D9-D89753F44BF5}"/>
    <cellStyle name="Currency 5 5 5 2 2 4" xfId="34265" xr:uid="{FA0BF03C-0742-46A6-AF2D-895B4E06A70C}"/>
    <cellStyle name="Currency 5 5 5 2 3" xfId="13154" xr:uid="{4D0E8BFC-6569-4F29-B181-1F80A5FAB643}"/>
    <cellStyle name="Currency 5 5 5 2 4" xfId="21601" xr:uid="{7FF5FA33-9F08-4716-8C6E-AE315CD01C90}"/>
    <cellStyle name="Currency 5 5 5 2 5" xfId="30048" xr:uid="{6178DA5F-FD24-4156-A2E5-F8E999C50F1C}"/>
    <cellStyle name="Currency 5 5 5 3" xfId="5900" xr:uid="{00000000-0005-0000-0000-00005F0D0000}"/>
    <cellStyle name="Currency 5 5 5 3 2" xfId="15226" xr:uid="{31290627-180B-442E-AA1E-C6CF6B5E7708}"/>
    <cellStyle name="Currency 5 5 5 3 3" xfId="23673" xr:uid="{9F617B4A-9118-4DC9-B553-9A67074F90E0}"/>
    <cellStyle name="Currency 5 5 5 3 4" xfId="32120" xr:uid="{1599C756-7652-4E97-820F-888A335241BC}"/>
    <cellStyle name="Currency 5 5 5 4" xfId="11009" xr:uid="{10DE5A9E-3813-450E-9621-07DC19CF2C2F}"/>
    <cellStyle name="Currency 5 5 5 5" xfId="19456" xr:uid="{05BCE612-654F-4551-A414-042C78FBB73F}"/>
    <cellStyle name="Currency 5 5 5 6" xfId="27903" xr:uid="{574B5E7B-BA97-4285-AF9C-237DA8A390A9}"/>
    <cellStyle name="Currency 5 5 6" xfId="2007" xr:uid="{00000000-0005-0000-0000-0000600D0000}"/>
    <cellStyle name="Currency 5 5 6 2" xfId="4236" xr:uid="{00000000-0005-0000-0000-0000610D0000}"/>
    <cellStyle name="Currency 5 5 6 2 2" xfId="8458" xr:uid="{00000000-0005-0000-0000-0000620D0000}"/>
    <cellStyle name="Currency 5 5 6 2 2 2" xfId="17784" xr:uid="{0AE2611E-7FE8-4C41-B478-AA1B56E8F14A}"/>
    <cellStyle name="Currency 5 5 6 2 2 3" xfId="26231" xr:uid="{D3DA97B0-9902-4E92-861F-F9392EF693D6}"/>
    <cellStyle name="Currency 5 5 6 2 2 4" xfId="34678" xr:uid="{EB2992CB-0940-40E3-9E55-AE4F0FFED693}"/>
    <cellStyle name="Currency 5 5 6 2 3" xfId="13567" xr:uid="{CB3D6978-C24E-4A83-9108-B0E741AF53F6}"/>
    <cellStyle name="Currency 5 5 6 2 4" xfId="22014" xr:uid="{EF70AD3F-1D8A-48FE-A2D5-AEB394563450}"/>
    <cellStyle name="Currency 5 5 6 2 5" xfId="30461" xr:uid="{5D4C7F8C-5BA7-4D14-B520-32C1DBA65AA8}"/>
    <cellStyle name="Currency 5 5 6 3" xfId="6313" xr:uid="{00000000-0005-0000-0000-0000630D0000}"/>
    <cellStyle name="Currency 5 5 6 3 2" xfId="15639" xr:uid="{5C700337-1D1D-42A2-A20E-47A703334A77}"/>
    <cellStyle name="Currency 5 5 6 3 3" xfId="24086" xr:uid="{15150507-6835-447C-AFA2-A07EC4BCA41C}"/>
    <cellStyle name="Currency 5 5 6 3 4" xfId="32533" xr:uid="{046375A4-7301-4008-A368-76F0D4FB267D}"/>
    <cellStyle name="Currency 5 5 6 4" xfId="11422" xr:uid="{7E9DE501-376D-4A8E-BF92-00E3927944DE}"/>
    <cellStyle name="Currency 5 5 6 5" xfId="19869" xr:uid="{95671042-0584-4480-B5C0-058A6A45C706}"/>
    <cellStyle name="Currency 5 5 6 6" xfId="28316" xr:uid="{41B09A7E-E3B9-40C3-B6C5-6E60C000AAC9}"/>
    <cellStyle name="Currency 5 5 7" xfId="2442" xr:uid="{00000000-0005-0000-0000-0000640D0000}"/>
    <cellStyle name="Currency 5 5 7 2" xfId="6726" xr:uid="{00000000-0005-0000-0000-0000650D0000}"/>
    <cellStyle name="Currency 5 5 7 2 2" xfId="16052" xr:uid="{C0540073-1F68-4128-BC63-A607AF7C9DAA}"/>
    <cellStyle name="Currency 5 5 7 2 3" xfId="24499" xr:uid="{0B044F07-AFAC-4BF2-96B7-65E0840AE071}"/>
    <cellStyle name="Currency 5 5 7 2 4" xfId="32946" xr:uid="{FC32C9A2-9FDC-4A8B-98AB-29CA40DF2E08}"/>
    <cellStyle name="Currency 5 5 7 3" xfId="11835" xr:uid="{C39BB5C8-4803-42F6-AC93-B82A32101507}"/>
    <cellStyle name="Currency 5 5 7 4" xfId="20282" xr:uid="{5871A110-206C-40C9-AF7D-20779E731E6E}"/>
    <cellStyle name="Currency 5 5 7 5" xfId="28729" xr:uid="{2EF0B6B7-0FE2-4E75-BABC-C0F13424C0BE}"/>
    <cellStyle name="Currency 5 5 8" xfId="2739" xr:uid="{00000000-0005-0000-0000-0000660D0000}"/>
    <cellStyle name="Currency 5 5 9" xfId="2820" xr:uid="{00000000-0005-0000-0000-0000670D0000}"/>
    <cellStyle name="Currency 5 5 9 2" xfId="7043" xr:uid="{00000000-0005-0000-0000-0000680D0000}"/>
    <cellStyle name="Currency 5 5 9 2 2" xfId="16369" xr:uid="{F510DFCB-2D44-486F-A7EA-20FD10C65C01}"/>
    <cellStyle name="Currency 5 5 9 2 3" xfId="24816" xr:uid="{8EF0A553-283B-4D45-AAEE-B4F2540E67E5}"/>
    <cellStyle name="Currency 5 5 9 2 4" xfId="33263" xr:uid="{B4DED794-DBDA-4A71-926C-8A7D4B4453D0}"/>
    <cellStyle name="Currency 5 5 9 3" xfId="12152" xr:uid="{9F27EBE5-D99A-4021-8519-100B3E0E623C}"/>
    <cellStyle name="Currency 5 5 9 4" xfId="20599" xr:uid="{87028F77-47ED-4EBF-920F-F52B14A1796F}"/>
    <cellStyle name="Currency 5 5 9 5" xfId="29046" xr:uid="{5910A9AF-DB5B-4597-ACBD-F2802771F000}"/>
    <cellStyle name="Currency 5 6" xfId="221" xr:uid="{00000000-0005-0000-0000-0000690D0000}"/>
    <cellStyle name="Currency 5 6 10" xfId="8966" xr:uid="{EC95BD1E-EAA8-4043-BDA7-06F3BBDBC3D5}"/>
    <cellStyle name="Currency 5 6 11" xfId="9771" xr:uid="{8D8237D5-63D4-4BA5-A20C-5B37C3ED0571}"/>
    <cellStyle name="Currency 5 6 12" xfId="18218" xr:uid="{8E61B0C2-A00D-4BA1-AD79-565B5BE00C5D}"/>
    <cellStyle name="Currency 5 6 13" xfId="26665" xr:uid="{A5715072-0EE0-404E-8159-D7B9F531BD43}"/>
    <cellStyle name="Currency 5 6 2" xfId="747" xr:uid="{00000000-0005-0000-0000-00006A0D0000}"/>
    <cellStyle name="Currency 5 6 2 2" xfId="2999" xr:uid="{00000000-0005-0000-0000-00006B0D0000}"/>
    <cellStyle name="Currency 5 6 2 2 2" xfId="7221" xr:uid="{00000000-0005-0000-0000-00006C0D0000}"/>
    <cellStyle name="Currency 5 6 2 2 2 2" xfId="16547" xr:uid="{044A9CD5-D43D-4CF6-A2F7-22CD5DC33BCC}"/>
    <cellStyle name="Currency 5 6 2 2 2 3" xfId="24994" xr:uid="{033F8E4E-7FE3-4EAA-B795-4DA56E5DAED0}"/>
    <cellStyle name="Currency 5 6 2 2 2 4" xfId="33441" xr:uid="{9E443C29-6CBF-4DB3-8FB7-80CF106F12E0}"/>
    <cellStyle name="Currency 5 6 2 2 3" xfId="12330" xr:uid="{B7C395EE-D521-4883-8046-AC38D7C5FB04}"/>
    <cellStyle name="Currency 5 6 2 2 4" xfId="20777" xr:uid="{411B241E-2FC3-4FA1-8B3A-2525D9AFD25D}"/>
    <cellStyle name="Currency 5 6 2 2 5" xfId="29224" xr:uid="{185C1419-6372-4CC7-B7E4-72987E3FC792}"/>
    <cellStyle name="Currency 5 6 2 3" xfId="5076" xr:uid="{00000000-0005-0000-0000-00006D0D0000}"/>
    <cellStyle name="Currency 5 6 2 3 2" xfId="14402" xr:uid="{9782C2FB-6D5D-4D00-BE99-76B221C75135}"/>
    <cellStyle name="Currency 5 6 2 3 3" xfId="22849" xr:uid="{8579F86B-99AD-4509-A13E-A0B7DC4CAA98}"/>
    <cellStyle name="Currency 5 6 2 3 4" xfId="31296" xr:uid="{4DC78619-E7C1-40D4-BB95-B78A9754D524}"/>
    <cellStyle name="Currency 5 6 2 4" xfId="9391" xr:uid="{8CBF3F74-51EC-4402-B96A-0759E6537FC7}"/>
    <cellStyle name="Currency 5 6 2 5" xfId="10185" xr:uid="{7C875414-4E0F-4240-AC4F-351C41AED559}"/>
    <cellStyle name="Currency 5 6 2 6" xfId="18632" xr:uid="{D0898B2B-C036-4E7F-9D85-03F131D9D5D5}"/>
    <cellStyle name="Currency 5 6 2 7" xfId="27079" xr:uid="{4A0BA01A-CED2-490F-A48E-6AEB7BAB295A}"/>
    <cellStyle name="Currency 5 6 3" xfId="1181" xr:uid="{00000000-0005-0000-0000-00006E0D0000}"/>
    <cellStyle name="Currency 5 6 3 2" xfId="3412" xr:uid="{00000000-0005-0000-0000-00006F0D0000}"/>
    <cellStyle name="Currency 5 6 3 2 2" xfId="7634" xr:uid="{00000000-0005-0000-0000-0000700D0000}"/>
    <cellStyle name="Currency 5 6 3 2 2 2" xfId="16960" xr:uid="{559A546C-1AA6-42C0-B104-7AF14E66ACFC}"/>
    <cellStyle name="Currency 5 6 3 2 2 3" xfId="25407" xr:uid="{05EEA591-E2A0-4683-8209-A08C13D39797}"/>
    <cellStyle name="Currency 5 6 3 2 2 4" xfId="33854" xr:uid="{7964455A-4F5A-446A-9A9C-249C1F74479B}"/>
    <cellStyle name="Currency 5 6 3 2 3" xfId="12743" xr:uid="{B7076E02-DD1C-4498-9117-E7A803E921FA}"/>
    <cellStyle name="Currency 5 6 3 2 4" xfId="21190" xr:uid="{E6D2432B-0ACF-4344-89DA-44C44045B7ED}"/>
    <cellStyle name="Currency 5 6 3 2 5" xfId="29637" xr:uid="{A19B1B41-CA93-4214-AEC5-E5608CE39F5A}"/>
    <cellStyle name="Currency 5 6 3 3" xfId="5489" xr:uid="{00000000-0005-0000-0000-0000710D0000}"/>
    <cellStyle name="Currency 5 6 3 3 2" xfId="14815" xr:uid="{AF5A027A-A79F-42B4-A510-D96ECFD84B02}"/>
    <cellStyle name="Currency 5 6 3 3 3" xfId="23262" xr:uid="{0BC39648-0898-40E6-A518-1324C3D29089}"/>
    <cellStyle name="Currency 5 6 3 3 4" xfId="31709" xr:uid="{4296E4D7-450B-4AD1-B009-9BD2FC192E99}"/>
    <cellStyle name="Currency 5 6 3 4" xfId="10598" xr:uid="{70D5F8F5-59AF-4B6B-825C-1253CBAE96D3}"/>
    <cellStyle name="Currency 5 6 3 5" xfId="19045" xr:uid="{ED22A7E1-1582-4A30-8536-F01EF7F98DDA}"/>
    <cellStyle name="Currency 5 6 3 6" xfId="27492" xr:uid="{470629D9-43FA-4948-8110-16A1DCB3AB3D}"/>
    <cellStyle name="Currency 5 6 4" xfId="1595" xr:uid="{00000000-0005-0000-0000-0000720D0000}"/>
    <cellStyle name="Currency 5 6 4 2" xfId="3825" xr:uid="{00000000-0005-0000-0000-0000730D0000}"/>
    <cellStyle name="Currency 5 6 4 2 2" xfId="8047" xr:uid="{00000000-0005-0000-0000-0000740D0000}"/>
    <cellStyle name="Currency 5 6 4 2 2 2" xfId="17373" xr:uid="{EC5F96A8-4546-44B8-ABAA-57F2E62C886E}"/>
    <cellStyle name="Currency 5 6 4 2 2 3" xfId="25820" xr:uid="{14C00B5E-E8F4-48B4-8486-A8D95966D2C6}"/>
    <cellStyle name="Currency 5 6 4 2 2 4" xfId="34267" xr:uid="{77A6A416-7666-4748-8A19-B56DFEBAA0C7}"/>
    <cellStyle name="Currency 5 6 4 2 3" xfId="13156" xr:uid="{F1923640-B384-4B8F-B518-83BF4D9DA19C}"/>
    <cellStyle name="Currency 5 6 4 2 4" xfId="21603" xr:uid="{947D50B0-983D-4A80-BEAF-7AA1E424C514}"/>
    <cellStyle name="Currency 5 6 4 2 5" xfId="30050" xr:uid="{505141A5-F23C-488D-AC96-54942263E661}"/>
    <cellStyle name="Currency 5 6 4 3" xfId="5902" xr:uid="{00000000-0005-0000-0000-0000750D0000}"/>
    <cellStyle name="Currency 5 6 4 3 2" xfId="15228" xr:uid="{3D3ABA60-7528-4460-965E-291D3F213F6F}"/>
    <cellStyle name="Currency 5 6 4 3 3" xfId="23675" xr:uid="{5B4E5E64-A125-4255-BC9D-095B488F9D93}"/>
    <cellStyle name="Currency 5 6 4 3 4" xfId="32122" xr:uid="{BC572BE9-0948-4225-A850-757CED3ED02B}"/>
    <cellStyle name="Currency 5 6 4 4" xfId="11011" xr:uid="{08C638D2-4FAD-4722-A568-FD3D981854B1}"/>
    <cellStyle name="Currency 5 6 4 5" xfId="19458" xr:uid="{BB801155-0A99-4929-91D0-A13C4A15EF61}"/>
    <cellStyle name="Currency 5 6 4 6" xfId="27905" xr:uid="{3CACB2D3-EF3A-4958-9793-DDEAAD7DEB8A}"/>
    <cellStyle name="Currency 5 6 5" xfId="2009" xr:uid="{00000000-0005-0000-0000-0000760D0000}"/>
    <cellStyle name="Currency 5 6 5 2" xfId="4238" xr:uid="{00000000-0005-0000-0000-0000770D0000}"/>
    <cellStyle name="Currency 5 6 5 2 2" xfId="8460" xr:uid="{00000000-0005-0000-0000-0000780D0000}"/>
    <cellStyle name="Currency 5 6 5 2 2 2" xfId="17786" xr:uid="{B3C0BE0B-2604-4900-9DBE-7D546621FCFF}"/>
    <cellStyle name="Currency 5 6 5 2 2 3" xfId="26233" xr:uid="{452B339D-EAAE-4765-AFEA-21771A81406B}"/>
    <cellStyle name="Currency 5 6 5 2 2 4" xfId="34680" xr:uid="{C21113AF-DCC3-4487-9B55-D2AE8F12104D}"/>
    <cellStyle name="Currency 5 6 5 2 3" xfId="13569" xr:uid="{C2F4D162-1ADC-41F1-9841-D97B17F1B9B0}"/>
    <cellStyle name="Currency 5 6 5 2 4" xfId="22016" xr:uid="{03787E68-D413-4DCA-B92D-C05F4CA2B5D4}"/>
    <cellStyle name="Currency 5 6 5 2 5" xfId="30463" xr:uid="{52BE6AA2-C5D0-4534-8E99-37DF778B684B}"/>
    <cellStyle name="Currency 5 6 5 3" xfId="6315" xr:uid="{00000000-0005-0000-0000-0000790D0000}"/>
    <cellStyle name="Currency 5 6 5 3 2" xfId="15641" xr:uid="{CCAA9328-B72D-4B2A-96EA-E426423CD1E7}"/>
    <cellStyle name="Currency 5 6 5 3 3" xfId="24088" xr:uid="{02F7C9D2-75A4-4052-BDD9-68B8D6EC9794}"/>
    <cellStyle name="Currency 5 6 5 3 4" xfId="32535" xr:uid="{F245CE1B-5E7B-4A76-ABBE-25138EC1EDCA}"/>
    <cellStyle name="Currency 5 6 5 4" xfId="11424" xr:uid="{8BE0FC35-F986-4082-8993-C4E2FC65C6ED}"/>
    <cellStyle name="Currency 5 6 5 5" xfId="19871" xr:uid="{0033F663-C199-44EE-8B30-176B0723E90E}"/>
    <cellStyle name="Currency 5 6 5 6" xfId="28318" xr:uid="{02575E2B-BA1A-417B-A420-009A03DC18D1}"/>
    <cellStyle name="Currency 5 6 6" xfId="2444" xr:uid="{00000000-0005-0000-0000-00007A0D0000}"/>
    <cellStyle name="Currency 5 6 6 2" xfId="6728" xr:uid="{00000000-0005-0000-0000-00007B0D0000}"/>
    <cellStyle name="Currency 5 6 6 2 2" xfId="16054" xr:uid="{9EECAEA1-0318-403D-88C8-CD9E40FA9F42}"/>
    <cellStyle name="Currency 5 6 6 2 3" xfId="24501" xr:uid="{C42D7A72-A889-4620-BA70-BC9E612CC243}"/>
    <cellStyle name="Currency 5 6 6 2 4" xfId="32948" xr:uid="{53D60F1B-36E0-4B1D-B018-CD497243BDC2}"/>
    <cellStyle name="Currency 5 6 6 3" xfId="11837" xr:uid="{F58CB473-AE76-4147-8CF4-77023A9A03C9}"/>
    <cellStyle name="Currency 5 6 6 4" xfId="20284" xr:uid="{2D752ADE-9C8F-4870-B979-A444EA5AB55B}"/>
    <cellStyle name="Currency 5 6 6 5" xfId="28731" xr:uid="{501090E7-4CF2-424D-8A9A-358ACF691B0A}"/>
    <cellStyle name="Currency 5 6 7" xfId="2741" xr:uid="{00000000-0005-0000-0000-00007C0D0000}"/>
    <cellStyle name="Currency 5 6 8" xfId="2822" xr:uid="{00000000-0005-0000-0000-00007D0D0000}"/>
    <cellStyle name="Currency 5 6 8 2" xfId="7045" xr:uid="{00000000-0005-0000-0000-00007E0D0000}"/>
    <cellStyle name="Currency 5 6 8 2 2" xfId="16371" xr:uid="{6F0746BA-9B62-40A7-99FE-5A11FE9A22D8}"/>
    <cellStyle name="Currency 5 6 8 2 3" xfId="24818" xr:uid="{84A0B9ED-D308-4E1A-B65C-0C5ED376E6B2}"/>
    <cellStyle name="Currency 5 6 8 2 4" xfId="33265" xr:uid="{E0DBF8E0-6227-4673-93FF-57171542EA2A}"/>
    <cellStyle name="Currency 5 6 8 3" xfId="12154" xr:uid="{FD80D6A5-E33A-4DC7-8272-36BED6DE6774}"/>
    <cellStyle name="Currency 5 6 8 4" xfId="20601" xr:uid="{33D4B91F-FED7-4C75-BE66-88AAB9D72E05}"/>
    <cellStyle name="Currency 5 6 8 5" xfId="29048" xr:uid="{0DB85E91-1F3F-4542-84FD-01E62B4FC3D9}"/>
    <cellStyle name="Currency 5 6 9" xfId="4662" xr:uid="{00000000-0005-0000-0000-00007F0D0000}"/>
    <cellStyle name="Currency 5 6 9 2" xfId="13988" xr:uid="{78FA1CCA-088A-4AEA-9CAA-52D7E91A7840}"/>
    <cellStyle name="Currency 5 6 9 3" xfId="22435" xr:uid="{892EBB62-9878-4F13-95B9-DF2E284D9D9F}"/>
    <cellStyle name="Currency 5 6 9 4" xfId="30882" xr:uid="{27A275EA-341B-4B77-8E5B-F57B3A0375E8}"/>
    <cellStyle name="Currency 5 7" xfId="222" xr:uid="{00000000-0005-0000-0000-0000800D0000}"/>
    <cellStyle name="Currency 5 7 10" xfId="9169" xr:uid="{7A886DE7-136A-429E-90E2-A7C712D111D8}"/>
    <cellStyle name="Currency 5 7 11" xfId="9772" xr:uid="{5E7062AB-059B-4D00-83E4-2AF44ADDE4FA}"/>
    <cellStyle name="Currency 5 7 12" xfId="18219" xr:uid="{94D269F9-278A-420F-BD3E-9693FC70F20E}"/>
    <cellStyle name="Currency 5 7 13" xfId="26666" xr:uid="{F225BE25-2C6C-426F-83E3-3385AEA565FC}"/>
    <cellStyle name="Currency 5 7 2" xfId="748" xr:uid="{00000000-0005-0000-0000-0000810D0000}"/>
    <cellStyle name="Currency 5 7 2 2" xfId="3000" xr:uid="{00000000-0005-0000-0000-0000820D0000}"/>
    <cellStyle name="Currency 5 7 2 2 2" xfId="7222" xr:uid="{00000000-0005-0000-0000-0000830D0000}"/>
    <cellStyle name="Currency 5 7 2 2 2 2" xfId="16548" xr:uid="{01F89D19-7F8F-49A7-BA58-564A6F036AC0}"/>
    <cellStyle name="Currency 5 7 2 2 2 3" xfId="24995" xr:uid="{4E2EFF68-8B20-4DC0-85D3-6B16A930E0E9}"/>
    <cellStyle name="Currency 5 7 2 2 2 4" xfId="33442" xr:uid="{CE3DDFD4-F57F-4A52-86E0-553EDB48E494}"/>
    <cellStyle name="Currency 5 7 2 2 3" xfId="12331" xr:uid="{06FA0015-A556-4FDA-8AF9-A90CF2B914B7}"/>
    <cellStyle name="Currency 5 7 2 2 4" xfId="20778" xr:uid="{870AE3BE-0800-4EFB-AE92-0A5D752BC7BD}"/>
    <cellStyle name="Currency 5 7 2 2 5" xfId="29225" xr:uid="{B4E91371-CB3C-41A7-9D8F-CB75B6328D19}"/>
    <cellStyle name="Currency 5 7 2 3" xfId="5077" xr:uid="{00000000-0005-0000-0000-0000840D0000}"/>
    <cellStyle name="Currency 5 7 2 3 2" xfId="14403" xr:uid="{0A83E369-349A-49E9-AA27-D48A6A9FD07C}"/>
    <cellStyle name="Currency 5 7 2 3 3" xfId="22850" xr:uid="{87A3FAD6-EA1E-400A-A382-B2C302B1B420}"/>
    <cellStyle name="Currency 5 7 2 3 4" xfId="31297" xr:uid="{E9B633D4-AAF9-4BC1-AEFE-800AF5E54277}"/>
    <cellStyle name="Currency 5 7 2 4" xfId="9601" xr:uid="{DC93A830-0AF1-4EC4-B764-C728922F3FEF}"/>
    <cellStyle name="Currency 5 7 2 5" xfId="10186" xr:uid="{38288959-54EC-4C24-BE82-704C0150291F}"/>
    <cellStyle name="Currency 5 7 2 6" xfId="18633" xr:uid="{205C0904-F194-4A9A-868D-E10C0E819C8A}"/>
    <cellStyle name="Currency 5 7 2 7" xfId="27080" xr:uid="{08A8AFCE-BAE5-49F6-955F-DD4C84CBCA31}"/>
    <cellStyle name="Currency 5 7 3" xfId="1182" xr:uid="{00000000-0005-0000-0000-0000850D0000}"/>
    <cellStyle name="Currency 5 7 3 2" xfId="3413" xr:uid="{00000000-0005-0000-0000-0000860D0000}"/>
    <cellStyle name="Currency 5 7 3 2 2" xfId="7635" xr:uid="{00000000-0005-0000-0000-0000870D0000}"/>
    <cellStyle name="Currency 5 7 3 2 2 2" xfId="16961" xr:uid="{43029156-D2ED-4E0F-9452-CD4D72080499}"/>
    <cellStyle name="Currency 5 7 3 2 2 3" xfId="25408" xr:uid="{2B758772-B078-4EBD-BFB6-0E6999178737}"/>
    <cellStyle name="Currency 5 7 3 2 2 4" xfId="33855" xr:uid="{B963481C-FA47-4F51-B50F-342822FE0020}"/>
    <cellStyle name="Currency 5 7 3 2 3" xfId="12744" xr:uid="{3EBE057F-15F6-4917-AC74-777377B25DF0}"/>
    <cellStyle name="Currency 5 7 3 2 4" xfId="21191" xr:uid="{7228392C-2904-43F1-A64F-D207A85EE3E8}"/>
    <cellStyle name="Currency 5 7 3 2 5" xfId="29638" xr:uid="{43D96113-325B-4E3C-B646-F720F0DDE850}"/>
    <cellStyle name="Currency 5 7 3 3" xfId="5490" xr:uid="{00000000-0005-0000-0000-0000880D0000}"/>
    <cellStyle name="Currency 5 7 3 3 2" xfId="14816" xr:uid="{1697DB87-9195-4409-80AC-D441A19DB913}"/>
    <cellStyle name="Currency 5 7 3 3 3" xfId="23263" xr:uid="{EEF70234-E5E2-45CF-9F5A-3E96ACEA48A7}"/>
    <cellStyle name="Currency 5 7 3 3 4" xfId="31710" xr:uid="{98D130D2-67C6-4BF7-BE9C-0F62DA27D01F}"/>
    <cellStyle name="Currency 5 7 3 4" xfId="10599" xr:uid="{EF14022B-EBA2-4633-A45A-B79B3636C0F9}"/>
    <cellStyle name="Currency 5 7 3 5" xfId="19046" xr:uid="{F4EC7CA5-C1BC-4114-8592-BF5CB233E385}"/>
    <cellStyle name="Currency 5 7 3 6" xfId="27493" xr:uid="{BCFAC5F0-061F-4B1F-BD4D-FFAAC71BEFAD}"/>
    <cellStyle name="Currency 5 7 4" xfId="1596" xr:uid="{00000000-0005-0000-0000-0000890D0000}"/>
    <cellStyle name="Currency 5 7 4 2" xfId="3826" xr:uid="{00000000-0005-0000-0000-00008A0D0000}"/>
    <cellStyle name="Currency 5 7 4 2 2" xfId="8048" xr:uid="{00000000-0005-0000-0000-00008B0D0000}"/>
    <cellStyle name="Currency 5 7 4 2 2 2" xfId="17374" xr:uid="{E29EB953-1042-4C5A-B162-43CAB892C070}"/>
    <cellStyle name="Currency 5 7 4 2 2 3" xfId="25821" xr:uid="{60F2BC69-CC93-4352-A6C2-D2015EA50F3D}"/>
    <cellStyle name="Currency 5 7 4 2 2 4" xfId="34268" xr:uid="{3EC3887A-823C-4960-BB20-E22C193B45C1}"/>
    <cellStyle name="Currency 5 7 4 2 3" xfId="13157" xr:uid="{EEA31A89-1CA9-430D-9649-98B96CD42B03}"/>
    <cellStyle name="Currency 5 7 4 2 4" xfId="21604" xr:uid="{5C264656-E900-414D-AD13-2238B35C4867}"/>
    <cellStyle name="Currency 5 7 4 2 5" xfId="30051" xr:uid="{8C006CF7-7982-4A95-8C64-F0E409C7157F}"/>
    <cellStyle name="Currency 5 7 4 3" xfId="5903" xr:uid="{00000000-0005-0000-0000-00008C0D0000}"/>
    <cellStyle name="Currency 5 7 4 3 2" xfId="15229" xr:uid="{31424638-EDA9-4CD8-82A4-E439312C2E41}"/>
    <cellStyle name="Currency 5 7 4 3 3" xfId="23676" xr:uid="{16AF8894-72F8-4493-807C-DBAC694B2383}"/>
    <cellStyle name="Currency 5 7 4 3 4" xfId="32123" xr:uid="{E1C89700-FCD9-418B-8CE6-4C488D07C37A}"/>
    <cellStyle name="Currency 5 7 4 4" xfId="11012" xr:uid="{5130BD2B-79F8-4835-BBC9-E710FA259881}"/>
    <cellStyle name="Currency 5 7 4 5" xfId="19459" xr:uid="{C5390344-5EBB-45E5-B9F6-7F2BFA727B8D}"/>
    <cellStyle name="Currency 5 7 4 6" xfId="27906" xr:uid="{24476027-C185-45E1-9661-88E622A0CC97}"/>
    <cellStyle name="Currency 5 7 5" xfId="2010" xr:uid="{00000000-0005-0000-0000-00008D0D0000}"/>
    <cellStyle name="Currency 5 7 5 2" xfId="4239" xr:uid="{00000000-0005-0000-0000-00008E0D0000}"/>
    <cellStyle name="Currency 5 7 5 2 2" xfId="8461" xr:uid="{00000000-0005-0000-0000-00008F0D0000}"/>
    <cellStyle name="Currency 5 7 5 2 2 2" xfId="17787" xr:uid="{4A4BCDC7-234C-4E73-8440-CD311A519F28}"/>
    <cellStyle name="Currency 5 7 5 2 2 3" xfId="26234" xr:uid="{ED9558A7-793D-4B40-A1D3-351D1F1468B4}"/>
    <cellStyle name="Currency 5 7 5 2 2 4" xfId="34681" xr:uid="{E17B5DA9-8FFC-44E9-9015-AF07E01C075F}"/>
    <cellStyle name="Currency 5 7 5 2 3" xfId="13570" xr:uid="{3B6C86DC-D336-4F9A-8396-22E96156EE32}"/>
    <cellStyle name="Currency 5 7 5 2 4" xfId="22017" xr:uid="{0C15E76D-FAE1-4086-9C76-BCB909547838}"/>
    <cellStyle name="Currency 5 7 5 2 5" xfId="30464" xr:uid="{76A83F1A-AF16-45F1-AF81-2FFF76310BB1}"/>
    <cellStyle name="Currency 5 7 5 3" xfId="6316" xr:uid="{00000000-0005-0000-0000-0000900D0000}"/>
    <cellStyle name="Currency 5 7 5 3 2" xfId="15642" xr:uid="{84A3051E-2EA8-45BC-A7A2-10E60BD025E5}"/>
    <cellStyle name="Currency 5 7 5 3 3" xfId="24089" xr:uid="{5B98BF69-D9AF-481F-97D5-9D4EF1750300}"/>
    <cellStyle name="Currency 5 7 5 3 4" xfId="32536" xr:uid="{CC18E63A-9553-4B54-A09A-7D2A062AF6E2}"/>
    <cellStyle name="Currency 5 7 5 4" xfId="11425" xr:uid="{A9F49D98-D8C1-4A9E-862C-DC80FF4F8383}"/>
    <cellStyle name="Currency 5 7 5 5" xfId="19872" xr:uid="{C84CC929-771B-46C8-97E5-5EB7E1096811}"/>
    <cellStyle name="Currency 5 7 5 6" xfId="28319" xr:uid="{B54BA026-4C72-4A4B-92F9-B5740B47C842}"/>
    <cellStyle name="Currency 5 7 6" xfId="2445" xr:uid="{00000000-0005-0000-0000-0000910D0000}"/>
    <cellStyle name="Currency 5 7 6 2" xfId="6729" xr:uid="{00000000-0005-0000-0000-0000920D0000}"/>
    <cellStyle name="Currency 5 7 6 2 2" xfId="16055" xr:uid="{C8A66E42-7A18-49E7-8745-0596BE64DF64}"/>
    <cellStyle name="Currency 5 7 6 2 3" xfId="24502" xr:uid="{3F18E599-81B0-4E00-8991-B77737DF51E9}"/>
    <cellStyle name="Currency 5 7 6 2 4" xfId="32949" xr:uid="{746DA2E4-77B5-4165-8056-AE552914B96C}"/>
    <cellStyle name="Currency 5 7 6 3" xfId="11838" xr:uid="{775052C5-999C-48A1-A7FC-6A617E84FA5C}"/>
    <cellStyle name="Currency 5 7 6 4" xfId="20285" xr:uid="{4ECBFB66-2509-460A-B74C-3678481153E4}"/>
    <cellStyle name="Currency 5 7 6 5" xfId="28732" xr:uid="{C48ED687-1403-43FC-9042-544C96C50B54}"/>
    <cellStyle name="Currency 5 7 7" xfId="2742" xr:uid="{00000000-0005-0000-0000-0000930D0000}"/>
    <cellStyle name="Currency 5 7 8" xfId="2823" xr:uid="{00000000-0005-0000-0000-0000940D0000}"/>
    <cellStyle name="Currency 5 7 8 2" xfId="7046" xr:uid="{00000000-0005-0000-0000-0000950D0000}"/>
    <cellStyle name="Currency 5 7 8 2 2" xfId="16372" xr:uid="{1D2ED752-C651-479A-AA18-0AEEDF575BE7}"/>
    <cellStyle name="Currency 5 7 8 2 3" xfId="24819" xr:uid="{2B88BFC9-0E9E-4CA5-B80B-925F2A2D21DA}"/>
    <cellStyle name="Currency 5 7 8 2 4" xfId="33266" xr:uid="{B3C3482F-579F-4BE9-9540-BD47714E3433}"/>
    <cellStyle name="Currency 5 7 8 3" xfId="12155" xr:uid="{0CB0452B-163B-4A84-A89C-9CEAA32F87D8}"/>
    <cellStyle name="Currency 5 7 8 4" xfId="20602" xr:uid="{03A53E20-B1F7-4B4B-9647-517FA02B30CC}"/>
    <cellStyle name="Currency 5 7 8 5" xfId="29049" xr:uid="{0168A56D-152D-449B-982E-41C158E0460E}"/>
    <cellStyle name="Currency 5 7 9" xfId="4663" xr:uid="{00000000-0005-0000-0000-0000960D0000}"/>
    <cellStyle name="Currency 5 7 9 2" xfId="13989" xr:uid="{EE55421E-C251-4C1A-922B-FDDEF162FA55}"/>
    <cellStyle name="Currency 5 7 9 3" xfId="22436" xr:uid="{98AF214F-4CD8-4136-996F-650956EBE800}"/>
    <cellStyle name="Currency 5 7 9 4" xfId="30883" xr:uid="{7C27EDFA-A052-403A-AE6F-7300551DCA15}"/>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16056" xr:uid="{5A7FAFB9-A759-4756-8B2A-D3A2B46C9FA2}"/>
    <cellStyle name="Normal 12 10 2 3" xfId="24503" xr:uid="{5A66674E-B956-4A14-BF94-DEEFA7F498AD}"/>
    <cellStyle name="Normal 12 10 2 4" xfId="32950" xr:uid="{AD9070D2-88F4-4BB8-97EE-ABF6CA296C9D}"/>
    <cellStyle name="Normal 12 10 3" xfId="11839" xr:uid="{0CCB5C94-EFED-40E5-BFA5-718557EC2127}"/>
    <cellStyle name="Normal 12 10 4" xfId="20286" xr:uid="{A434E380-FE24-4B37-A59C-CDBE2047420E}"/>
    <cellStyle name="Normal 12 10 5" xfId="28733" xr:uid="{7E9FB734-666A-432F-9C6B-C09991D53285}"/>
    <cellStyle name="Normal 12 11" xfId="4664" xr:uid="{00000000-0005-0000-0000-0000CC0D0000}"/>
    <cellStyle name="Normal 12 11 2" xfId="13990" xr:uid="{C2607C18-B622-4953-A900-71D5F44C3955}"/>
    <cellStyle name="Normal 12 11 3" xfId="22437" xr:uid="{97F1A752-AF20-4E48-95F2-8BAAF3E90AE3}"/>
    <cellStyle name="Normal 12 11 4" xfId="30884" xr:uid="{5317E8BD-1A46-42CA-9C58-ED8E8C62D584}"/>
    <cellStyle name="Normal 12 12" xfId="8770" xr:uid="{16E7F001-A88D-4413-825E-78352A31064A}"/>
    <cellStyle name="Normal 12 13" xfId="9773" xr:uid="{A979FDB5-B51B-498E-B743-C25BFF688699}"/>
    <cellStyle name="Normal 12 14" xfId="18220" xr:uid="{0CDC428F-3A8A-4A92-9AA4-D63BDC836A17}"/>
    <cellStyle name="Normal 12 15" xfId="26667" xr:uid="{70BE57E2-1EFD-4779-B341-7D44891FC604}"/>
    <cellStyle name="Normal 12 2" xfId="260" xr:uid="{00000000-0005-0000-0000-0000CD0D0000}"/>
    <cellStyle name="Normal 12 2 10" xfId="8811" xr:uid="{C610EFA7-DF28-475D-A7AA-61B6675A083B}"/>
    <cellStyle name="Normal 12 2 11" xfId="9774" xr:uid="{7ECC87DB-2F15-47F2-B339-3BE0CB869205}"/>
    <cellStyle name="Normal 12 2 12" xfId="18221" xr:uid="{90519948-FF5E-4B70-B162-9C693D1B63C7}"/>
    <cellStyle name="Normal 12 2 13" xfId="26668" xr:uid="{C58BF013-6C68-4091-98CD-9E0F904287CA}"/>
    <cellStyle name="Normal 12 2 2" xfId="261" xr:uid="{00000000-0005-0000-0000-0000CE0D0000}"/>
    <cellStyle name="Normal 12 2 2 10" xfId="9775" xr:uid="{6C044A36-4C61-463F-AA37-FDF96D1FC08E}"/>
    <cellStyle name="Normal 12 2 2 11" xfId="18222" xr:uid="{CAA5BA1C-BAC0-4C76-A4D8-A8A6B1D6089D}"/>
    <cellStyle name="Normal 12 2 2 12" xfId="26669" xr:uid="{A4CF9EC9-D685-4BDA-931A-3169063C282D}"/>
    <cellStyle name="Normal 12 2 2 2" xfId="262" xr:uid="{00000000-0005-0000-0000-0000CF0D0000}"/>
    <cellStyle name="Normal 12 2 2 2 10" xfId="18223" xr:uid="{F7652FDA-0DA5-443E-BEDE-4A7E85656224}"/>
    <cellStyle name="Normal 12 2 2 2 11" xfId="26670" xr:uid="{13CFC065-93FE-4993-9AB1-403518A2F824}"/>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16552" xr:uid="{87B97AF0-4CF8-420E-A1FD-5E4385BEE31C}"/>
    <cellStyle name="Normal 12 2 2 2 2 2 2 3" xfId="24999" xr:uid="{BF9DB6E6-FC2A-4538-AF26-F1C7BC44A2DE}"/>
    <cellStyle name="Normal 12 2 2 2 2 2 2 4" xfId="33446" xr:uid="{8FBFF4C0-E7C6-409C-8B61-A0965599BCAB}"/>
    <cellStyle name="Normal 12 2 2 2 2 2 3" xfId="12335" xr:uid="{FE196EE0-129A-42FA-8FDA-8DB0F9F642AD}"/>
    <cellStyle name="Normal 12 2 2 2 2 2 4" xfId="20782" xr:uid="{87199AA9-9EED-4E29-A2E8-0154C1DADD81}"/>
    <cellStyle name="Normal 12 2 2 2 2 2 5" xfId="29229" xr:uid="{525DE432-364F-4645-BFF1-4F92B1DC8A0A}"/>
    <cellStyle name="Normal 12 2 2 2 2 3" xfId="5081" xr:uid="{00000000-0005-0000-0000-0000D30D0000}"/>
    <cellStyle name="Normal 12 2 2 2 2 3 2" xfId="14407" xr:uid="{99C6371B-A81B-46F8-B2E7-D08941664C8C}"/>
    <cellStyle name="Normal 12 2 2 2 2 3 3" xfId="22854" xr:uid="{E6D9A3B3-3DF9-4797-9DBA-BA99DBF26EE8}"/>
    <cellStyle name="Normal 12 2 2 2 2 3 4" xfId="31301" xr:uid="{47135FB3-E9CD-49C4-B374-68E2420E3753}"/>
    <cellStyle name="Normal 12 2 2 2 2 4" xfId="9546" xr:uid="{609DE280-4DA3-4355-9F1C-9E01708347EA}"/>
    <cellStyle name="Normal 12 2 2 2 2 5" xfId="10190" xr:uid="{4E573FEF-D492-4896-8DDD-C0C74F12C952}"/>
    <cellStyle name="Normal 12 2 2 2 2 6" xfId="18637" xr:uid="{66E1AA07-C356-4034-AB27-DF6C44BA3716}"/>
    <cellStyle name="Normal 12 2 2 2 2 7" xfId="27084" xr:uid="{3CE39898-54F3-4534-8B6B-970E1C37A8C5}"/>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16965" xr:uid="{471B052A-5779-4457-BFB1-0F509B38F8FD}"/>
    <cellStyle name="Normal 12 2 2 2 3 2 2 3" xfId="25412" xr:uid="{8AC254E9-3F75-4C1F-A033-9D888091772B}"/>
    <cellStyle name="Normal 12 2 2 2 3 2 2 4" xfId="33859" xr:uid="{0A163FC5-17AC-4585-820B-B3E83B8C9BE6}"/>
    <cellStyle name="Normal 12 2 2 2 3 2 3" xfId="12748" xr:uid="{5FC04949-4837-4561-B3D4-118CB5FB7B87}"/>
    <cellStyle name="Normal 12 2 2 2 3 2 4" xfId="21195" xr:uid="{1D0F5DD9-5645-4356-AFC9-33D00D9DCEFF}"/>
    <cellStyle name="Normal 12 2 2 2 3 2 5" xfId="29642" xr:uid="{94F39EF6-8726-42EC-81E1-B63EAD2B0B3C}"/>
    <cellStyle name="Normal 12 2 2 2 3 3" xfId="5494" xr:uid="{00000000-0005-0000-0000-0000D70D0000}"/>
    <cellStyle name="Normal 12 2 2 2 3 3 2" xfId="14820" xr:uid="{C39FE8DB-A5D8-4302-9A0E-7D7F6F46DCD6}"/>
    <cellStyle name="Normal 12 2 2 2 3 3 3" xfId="23267" xr:uid="{53A8E1DD-C6C0-42F7-BDAC-5B90B3B07441}"/>
    <cellStyle name="Normal 12 2 2 2 3 3 4" xfId="31714" xr:uid="{F2E82BC8-F900-4E0C-B65E-4F0D3A48A602}"/>
    <cellStyle name="Normal 12 2 2 2 3 4" xfId="10603" xr:uid="{78C9B850-11E5-4E5B-BAD6-A0261768AAEB}"/>
    <cellStyle name="Normal 12 2 2 2 3 5" xfId="19050" xr:uid="{9FF1089C-8F7D-41FD-B302-A1FA51973D8C}"/>
    <cellStyle name="Normal 12 2 2 2 3 6" xfId="27497" xr:uid="{53499A8B-F513-427F-8376-C80D9091AAA6}"/>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17378" xr:uid="{5EAACDDC-D6E0-4CAD-B237-E76D199075AC}"/>
    <cellStyle name="Normal 12 2 2 2 4 2 2 3" xfId="25825" xr:uid="{AF72319D-7F84-4CEC-AA9E-BAC2F3A1C9CE}"/>
    <cellStyle name="Normal 12 2 2 2 4 2 2 4" xfId="34272" xr:uid="{0A60A51B-5D8B-4F12-ACCC-DE55722E6647}"/>
    <cellStyle name="Normal 12 2 2 2 4 2 3" xfId="13161" xr:uid="{25040EC9-F070-4C38-B312-C382BD416B3F}"/>
    <cellStyle name="Normal 12 2 2 2 4 2 4" xfId="21608" xr:uid="{4A81BE4C-41AC-4910-B5A2-027BFB6BA037}"/>
    <cellStyle name="Normal 12 2 2 2 4 2 5" xfId="30055" xr:uid="{26013DAA-8185-4CAE-AF44-E4CF25957C52}"/>
    <cellStyle name="Normal 12 2 2 2 4 3" xfId="5907" xr:uid="{00000000-0005-0000-0000-0000DB0D0000}"/>
    <cellStyle name="Normal 12 2 2 2 4 3 2" xfId="15233" xr:uid="{0F0E144E-4D2A-4A6D-B580-5C5B1CB3CABD}"/>
    <cellStyle name="Normal 12 2 2 2 4 3 3" xfId="23680" xr:uid="{84BCCC4E-2608-4AEF-9F99-80EBF973B1C3}"/>
    <cellStyle name="Normal 12 2 2 2 4 3 4" xfId="32127" xr:uid="{4B7292A0-69AE-44CE-BE2F-B52A4BCCD422}"/>
    <cellStyle name="Normal 12 2 2 2 4 4" xfId="11016" xr:uid="{2B9A525E-811F-4C5D-BD48-0374CD0C64F6}"/>
    <cellStyle name="Normal 12 2 2 2 4 5" xfId="19463" xr:uid="{17B6E9F6-998F-4D8E-A0E2-35F6AC6F132B}"/>
    <cellStyle name="Normal 12 2 2 2 4 6" xfId="27910" xr:uid="{4898A646-ED39-49CE-8158-56E1D93DAE2D}"/>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17791" xr:uid="{B1FDECE7-0EC0-4CD9-AE25-C6139ACF2674}"/>
    <cellStyle name="Normal 12 2 2 2 5 2 2 3" xfId="26238" xr:uid="{267540FC-3039-4638-A10D-FF0906448C7C}"/>
    <cellStyle name="Normal 12 2 2 2 5 2 2 4" xfId="34685" xr:uid="{BC72D53A-B287-4363-87AC-72CFFF7C058D}"/>
    <cellStyle name="Normal 12 2 2 2 5 2 3" xfId="13574" xr:uid="{3AC28D4B-F94E-4B1F-A370-C451158B6475}"/>
    <cellStyle name="Normal 12 2 2 2 5 2 4" xfId="22021" xr:uid="{8432881F-109E-480D-AE3C-FA8C74BCF8C5}"/>
    <cellStyle name="Normal 12 2 2 2 5 2 5" xfId="30468" xr:uid="{5557B913-8634-426F-AA4E-481DBA06497C}"/>
    <cellStyle name="Normal 12 2 2 2 5 3" xfId="6320" xr:uid="{00000000-0005-0000-0000-0000DF0D0000}"/>
    <cellStyle name="Normal 12 2 2 2 5 3 2" xfId="15646" xr:uid="{243B6917-97D6-48C3-809D-63002CA0C459}"/>
    <cellStyle name="Normal 12 2 2 2 5 3 3" xfId="24093" xr:uid="{2C35B6DF-07A9-4EBF-89DF-8F1527101AA5}"/>
    <cellStyle name="Normal 12 2 2 2 5 3 4" xfId="32540" xr:uid="{E68F45FD-985F-4CA9-8FDE-6FB2590F44CA}"/>
    <cellStyle name="Normal 12 2 2 2 5 4" xfId="11429" xr:uid="{8BA6478D-9531-4537-8DF0-0B68910A8CCD}"/>
    <cellStyle name="Normal 12 2 2 2 5 5" xfId="19876" xr:uid="{55AFE1CD-36C3-49EA-9B32-39CD666A5F5C}"/>
    <cellStyle name="Normal 12 2 2 2 5 6" xfId="28323" xr:uid="{F925BAD8-23C0-4AA7-A198-D79C42D16218}"/>
    <cellStyle name="Normal 12 2 2 2 6" xfId="2450" xr:uid="{00000000-0005-0000-0000-0000E00D0000}"/>
    <cellStyle name="Normal 12 2 2 2 6 2" xfId="6733" xr:uid="{00000000-0005-0000-0000-0000E10D0000}"/>
    <cellStyle name="Normal 12 2 2 2 6 2 2" xfId="16059" xr:uid="{EBDAF7CF-9063-43E0-9626-0BFA28252A20}"/>
    <cellStyle name="Normal 12 2 2 2 6 2 3" xfId="24506" xr:uid="{6A45CBA8-DAAE-43EA-BA55-5F85651B9B78}"/>
    <cellStyle name="Normal 12 2 2 2 6 2 4" xfId="32953" xr:uid="{61FA2056-5EDD-4A5A-940F-ACB9399233B0}"/>
    <cellStyle name="Normal 12 2 2 2 6 3" xfId="11842" xr:uid="{A4C8F226-D5E6-4A4C-B1AE-E02ABF760434}"/>
    <cellStyle name="Normal 12 2 2 2 6 4" xfId="20289" xr:uid="{6707879C-03AA-4984-8AA5-2B9739F876FC}"/>
    <cellStyle name="Normal 12 2 2 2 6 5" xfId="28736" xr:uid="{67F83C7B-3F21-47C6-ABEF-1C01BB7AA6D7}"/>
    <cellStyle name="Normal 12 2 2 2 7" xfId="4667" xr:uid="{00000000-0005-0000-0000-0000E20D0000}"/>
    <cellStyle name="Normal 12 2 2 2 7 2" xfId="13993" xr:uid="{241F5757-9F3E-4236-BBA0-C7C353204998}"/>
    <cellStyle name="Normal 12 2 2 2 7 3" xfId="22440" xr:uid="{47FF5B28-08DD-4200-B28F-CCEFDF84CE20}"/>
    <cellStyle name="Normal 12 2 2 2 7 4" xfId="30887" xr:uid="{89D3FBA9-DD5B-40A6-BCDD-73F7F43AB475}"/>
    <cellStyle name="Normal 12 2 2 2 8" xfId="9121" xr:uid="{527C15BB-BE4D-46AB-9317-CC8E6838C91D}"/>
    <cellStyle name="Normal 12 2 2 2 9" xfId="9776" xr:uid="{37D39261-C590-4070-93CC-D4863279BA2B}"/>
    <cellStyle name="Normal 12 2 2 3" xfId="762" xr:uid="{00000000-0005-0000-0000-0000E30D0000}"/>
    <cellStyle name="Normal 12 2 2 3 2" xfId="3003" xr:uid="{00000000-0005-0000-0000-0000E40D0000}"/>
    <cellStyle name="Normal 12 2 2 3 2 2" xfId="7225" xr:uid="{00000000-0005-0000-0000-0000E50D0000}"/>
    <cellStyle name="Normal 12 2 2 3 2 2 2" xfId="16551" xr:uid="{7016F1C2-E094-4FF9-8BDF-7A1BFA3154C6}"/>
    <cellStyle name="Normal 12 2 2 3 2 2 3" xfId="24998" xr:uid="{EB9EBD1A-7500-430C-9C4F-1FCEB773E968}"/>
    <cellStyle name="Normal 12 2 2 3 2 2 4" xfId="33445" xr:uid="{CA52601A-8A09-44FC-99AE-3FC77EC9A630}"/>
    <cellStyle name="Normal 12 2 2 3 2 3" xfId="12334" xr:uid="{DA45DC67-5E71-4BCB-A182-56E85DE564BB}"/>
    <cellStyle name="Normal 12 2 2 3 2 4" xfId="20781" xr:uid="{A3BB1682-942F-458C-BE97-AC90B208DEAC}"/>
    <cellStyle name="Normal 12 2 2 3 2 5" xfId="29228" xr:uid="{8A94C94D-E484-4095-B1EC-6759F931B84A}"/>
    <cellStyle name="Normal 12 2 2 3 3" xfId="5080" xr:uid="{00000000-0005-0000-0000-0000E60D0000}"/>
    <cellStyle name="Normal 12 2 2 3 3 2" xfId="14406" xr:uid="{58CA2529-9D97-4E5A-A346-AD0B6EF4D0C5}"/>
    <cellStyle name="Normal 12 2 2 3 3 3" xfId="22853" xr:uid="{A2900C7E-BA1C-4579-8C97-AA418514E1A8}"/>
    <cellStyle name="Normal 12 2 2 3 3 4" xfId="31300" xr:uid="{58779FB4-0DBE-4597-9A43-82051DD84DF5}"/>
    <cellStyle name="Normal 12 2 2 3 4" xfId="9339" xr:uid="{F3F800C1-92DF-4F1F-A561-C3F3C7F8BAD1}"/>
    <cellStyle name="Normal 12 2 2 3 5" xfId="10189" xr:uid="{89B2938C-C004-4A3C-BC9E-2F208A965323}"/>
    <cellStyle name="Normal 12 2 2 3 6" xfId="18636" xr:uid="{DD852112-2ED8-4B4B-AA27-F7A3BFD24833}"/>
    <cellStyle name="Normal 12 2 2 3 7" xfId="27083" xr:uid="{C5E8ABB1-8920-4803-AA6C-C910C69E4579}"/>
    <cellStyle name="Normal 12 2 2 4" xfId="1185" xr:uid="{00000000-0005-0000-0000-0000E70D0000}"/>
    <cellStyle name="Normal 12 2 2 4 2" xfId="3416" xr:uid="{00000000-0005-0000-0000-0000E80D0000}"/>
    <cellStyle name="Normal 12 2 2 4 2 2" xfId="7638" xr:uid="{00000000-0005-0000-0000-0000E90D0000}"/>
    <cellStyle name="Normal 12 2 2 4 2 2 2" xfId="16964" xr:uid="{2C4D9F84-3978-458E-91EF-FA2F38BECFB4}"/>
    <cellStyle name="Normal 12 2 2 4 2 2 3" xfId="25411" xr:uid="{FB68F906-E17F-4898-8139-7F92A9D7A09E}"/>
    <cellStyle name="Normal 12 2 2 4 2 2 4" xfId="33858" xr:uid="{66B37F7B-3BF7-4894-B395-42CE7D9BDECD}"/>
    <cellStyle name="Normal 12 2 2 4 2 3" xfId="12747" xr:uid="{8B603612-EF42-4A22-9541-C7D66261531D}"/>
    <cellStyle name="Normal 12 2 2 4 2 4" xfId="21194" xr:uid="{D7AD87DA-D43C-47BE-8FF9-5E0D406FB463}"/>
    <cellStyle name="Normal 12 2 2 4 2 5" xfId="29641" xr:uid="{2730814C-3BBC-4D72-BDE2-AEF3D7085A07}"/>
    <cellStyle name="Normal 12 2 2 4 3" xfId="5493" xr:uid="{00000000-0005-0000-0000-0000EA0D0000}"/>
    <cellStyle name="Normal 12 2 2 4 3 2" xfId="14819" xr:uid="{8E93EF08-15D4-4A00-9117-F79DA67B45C8}"/>
    <cellStyle name="Normal 12 2 2 4 3 3" xfId="23266" xr:uid="{4A9D3024-2C8C-4BD8-89E1-8441FA6EB905}"/>
    <cellStyle name="Normal 12 2 2 4 3 4" xfId="31713" xr:uid="{833FBB67-2B10-40D8-AE29-5E2F2F023961}"/>
    <cellStyle name="Normal 12 2 2 4 4" xfId="10602" xr:uid="{E246216B-B35D-46D4-82D8-48901396DF69}"/>
    <cellStyle name="Normal 12 2 2 4 5" xfId="19049" xr:uid="{67164D19-4CC2-4BF0-8C28-0C8795813C4A}"/>
    <cellStyle name="Normal 12 2 2 4 6" xfId="27496" xr:uid="{AF70A17B-D5D5-497A-AAA8-83C28CC2F3E5}"/>
    <cellStyle name="Normal 12 2 2 5" xfId="1599" xr:uid="{00000000-0005-0000-0000-0000EB0D0000}"/>
    <cellStyle name="Normal 12 2 2 5 2" xfId="3829" xr:uid="{00000000-0005-0000-0000-0000EC0D0000}"/>
    <cellStyle name="Normal 12 2 2 5 2 2" xfId="8051" xr:uid="{00000000-0005-0000-0000-0000ED0D0000}"/>
    <cellStyle name="Normal 12 2 2 5 2 2 2" xfId="17377" xr:uid="{BA28FCCF-D5E6-466D-BB39-0803D0C3C302}"/>
    <cellStyle name="Normal 12 2 2 5 2 2 3" xfId="25824" xr:uid="{B5C3AB1E-B0EE-4226-A709-3F48252305E3}"/>
    <cellStyle name="Normal 12 2 2 5 2 2 4" xfId="34271" xr:uid="{0E16FF99-B1FE-4F27-801E-E90B59CDEE9A}"/>
    <cellStyle name="Normal 12 2 2 5 2 3" xfId="13160" xr:uid="{7ED150D6-F42F-40B0-BFF8-D36F0CB2E848}"/>
    <cellStyle name="Normal 12 2 2 5 2 4" xfId="21607" xr:uid="{568A815E-E48B-4B0B-ACCD-3A719C25EB6E}"/>
    <cellStyle name="Normal 12 2 2 5 2 5" xfId="30054" xr:uid="{95557365-52E1-4159-8C5F-C642665C0BC2}"/>
    <cellStyle name="Normal 12 2 2 5 3" xfId="5906" xr:uid="{00000000-0005-0000-0000-0000EE0D0000}"/>
    <cellStyle name="Normal 12 2 2 5 3 2" xfId="15232" xr:uid="{710FDE5C-33C5-4A21-82DA-40BD6218FC12}"/>
    <cellStyle name="Normal 12 2 2 5 3 3" xfId="23679" xr:uid="{A5B93D52-906C-4907-8C99-3730D14B1F17}"/>
    <cellStyle name="Normal 12 2 2 5 3 4" xfId="32126" xr:uid="{D2B831F4-F4FB-4B4C-8E1D-BA572A4934B4}"/>
    <cellStyle name="Normal 12 2 2 5 4" xfId="11015" xr:uid="{E83DB2E4-4DB2-4657-9812-89A99F5BB094}"/>
    <cellStyle name="Normal 12 2 2 5 5" xfId="19462" xr:uid="{1A362AB2-1097-4022-8004-E5E95E46B1AC}"/>
    <cellStyle name="Normal 12 2 2 5 6" xfId="27909" xr:uid="{AB440B67-2A31-4866-B774-DB280D8C5598}"/>
    <cellStyle name="Normal 12 2 2 6" xfId="2013" xr:uid="{00000000-0005-0000-0000-0000EF0D0000}"/>
    <cellStyle name="Normal 12 2 2 6 2" xfId="4242" xr:uid="{00000000-0005-0000-0000-0000F00D0000}"/>
    <cellStyle name="Normal 12 2 2 6 2 2" xfId="8464" xr:uid="{00000000-0005-0000-0000-0000F10D0000}"/>
    <cellStyle name="Normal 12 2 2 6 2 2 2" xfId="17790" xr:uid="{5B07F3CE-B256-4A9B-B5AA-13B4B5111E09}"/>
    <cellStyle name="Normal 12 2 2 6 2 2 3" xfId="26237" xr:uid="{0D263588-4D1C-4EEB-BE4B-E0C6DAB111D6}"/>
    <cellStyle name="Normal 12 2 2 6 2 2 4" xfId="34684" xr:uid="{58E1C5E7-F317-4EC8-87EE-50FE1EC7EE48}"/>
    <cellStyle name="Normal 12 2 2 6 2 3" xfId="13573" xr:uid="{3EFD197F-E547-4746-A739-0B5FF28DC530}"/>
    <cellStyle name="Normal 12 2 2 6 2 4" xfId="22020" xr:uid="{1CAD42A5-70F4-48E2-A104-BCA84ACD5B01}"/>
    <cellStyle name="Normal 12 2 2 6 2 5" xfId="30467" xr:uid="{2B7E2793-F3DB-4A00-9B32-E2B011AA8F5E}"/>
    <cellStyle name="Normal 12 2 2 6 3" xfId="6319" xr:uid="{00000000-0005-0000-0000-0000F20D0000}"/>
    <cellStyle name="Normal 12 2 2 6 3 2" xfId="15645" xr:uid="{8883EE69-9458-4171-923D-F75AA4972DF8}"/>
    <cellStyle name="Normal 12 2 2 6 3 3" xfId="24092" xr:uid="{4AE6609C-0818-447C-A0A9-8A1CA1293206}"/>
    <cellStyle name="Normal 12 2 2 6 3 4" xfId="32539" xr:uid="{789426EA-52BE-4651-9189-60A71A23BED7}"/>
    <cellStyle name="Normal 12 2 2 6 4" xfId="11428" xr:uid="{C207FB0C-AAD3-429A-A87F-59457476912E}"/>
    <cellStyle name="Normal 12 2 2 6 5" xfId="19875" xr:uid="{4414533A-7B6B-4626-B67F-719ACC61D795}"/>
    <cellStyle name="Normal 12 2 2 6 6" xfId="28322" xr:uid="{8A6F1197-18B2-474B-83C4-916F1D3D65AF}"/>
    <cellStyle name="Normal 12 2 2 7" xfId="2449" xr:uid="{00000000-0005-0000-0000-0000F30D0000}"/>
    <cellStyle name="Normal 12 2 2 7 2" xfId="6732" xr:uid="{00000000-0005-0000-0000-0000F40D0000}"/>
    <cellStyle name="Normal 12 2 2 7 2 2" xfId="16058" xr:uid="{BC32AED8-3586-4B6E-99C8-674354FBD2D1}"/>
    <cellStyle name="Normal 12 2 2 7 2 3" xfId="24505" xr:uid="{EC884C57-4E78-401F-9BA0-99BE1962CED5}"/>
    <cellStyle name="Normal 12 2 2 7 2 4" xfId="32952" xr:uid="{6AD8C02B-37CD-4ED5-AF63-790BE82A57FA}"/>
    <cellStyle name="Normal 12 2 2 7 3" xfId="11841" xr:uid="{0FF4E34F-CB35-4F89-A497-502639B0AD53}"/>
    <cellStyle name="Normal 12 2 2 7 4" xfId="20288" xr:uid="{91258305-5BCF-42C7-BFB2-49A653C18FB5}"/>
    <cellStyle name="Normal 12 2 2 7 5" xfId="28735" xr:uid="{3289C3FF-3BDC-4678-AC80-B90AAB3D07D2}"/>
    <cellStyle name="Normal 12 2 2 8" xfId="4666" xr:uid="{00000000-0005-0000-0000-0000F50D0000}"/>
    <cellStyle name="Normal 12 2 2 8 2" xfId="13992" xr:uid="{1D625DDD-6A2D-4E37-8446-F4873E03698A}"/>
    <cellStyle name="Normal 12 2 2 8 3" xfId="22439" xr:uid="{ECE755B7-E7A0-4D7C-9105-7F8A3E73BE04}"/>
    <cellStyle name="Normal 12 2 2 8 4" xfId="30886" xr:uid="{51F12AC7-34A8-4D57-BEB1-B3C406E8E01B}"/>
    <cellStyle name="Normal 12 2 2 9" xfId="8914" xr:uid="{85903DBC-FA0A-4A9D-9FB4-BA36A4B6F510}"/>
    <cellStyle name="Normal 12 2 3" xfId="263" xr:uid="{00000000-0005-0000-0000-0000F60D0000}"/>
    <cellStyle name="Normal 12 2 3 10" xfId="18224" xr:uid="{2F3AB0B0-3487-4A7B-AE16-919428860EB9}"/>
    <cellStyle name="Normal 12 2 3 11" xfId="26671" xr:uid="{8C0E20C2-B19B-417C-B4AC-873C29DB2942}"/>
    <cellStyle name="Normal 12 2 3 2" xfId="764" xr:uid="{00000000-0005-0000-0000-0000F70D0000}"/>
    <cellStyle name="Normal 12 2 3 2 2" xfId="3005" xr:uid="{00000000-0005-0000-0000-0000F80D0000}"/>
    <cellStyle name="Normal 12 2 3 2 2 2" xfId="7227" xr:uid="{00000000-0005-0000-0000-0000F90D0000}"/>
    <cellStyle name="Normal 12 2 3 2 2 2 2" xfId="16553" xr:uid="{707D2363-3C1A-474E-987A-AE1D3F3A363C}"/>
    <cellStyle name="Normal 12 2 3 2 2 2 3" xfId="25000" xr:uid="{A64C0427-7FED-4CB2-9D42-3E42E9CEF581}"/>
    <cellStyle name="Normal 12 2 3 2 2 2 4" xfId="33447" xr:uid="{9E3197AF-59C3-42BD-9A42-CD6C9D8CA0DF}"/>
    <cellStyle name="Normal 12 2 3 2 2 3" xfId="12336" xr:uid="{9FA9C382-B273-40DA-8CA4-529E46DCA85E}"/>
    <cellStyle name="Normal 12 2 3 2 2 4" xfId="20783" xr:uid="{C1E2B300-CC5F-449F-995A-A3A9B86B4DD7}"/>
    <cellStyle name="Normal 12 2 3 2 2 5" xfId="29230" xr:uid="{37FA9574-7EBD-4283-B579-C37253EFCE37}"/>
    <cellStyle name="Normal 12 2 3 2 3" xfId="5082" xr:uid="{00000000-0005-0000-0000-0000FA0D0000}"/>
    <cellStyle name="Normal 12 2 3 2 3 2" xfId="14408" xr:uid="{E303D450-89A4-4750-863A-08617947EA41}"/>
    <cellStyle name="Normal 12 2 3 2 3 3" xfId="22855" xr:uid="{2056F802-B226-4B0B-9C78-E0C0C5DC373A}"/>
    <cellStyle name="Normal 12 2 3 2 3 4" xfId="31302" xr:uid="{CFA9657C-77E9-47F6-B02D-6234E78D82F6}"/>
    <cellStyle name="Normal 12 2 3 2 4" xfId="9443" xr:uid="{61F0A971-1285-4215-8170-49D07520551A}"/>
    <cellStyle name="Normal 12 2 3 2 5" xfId="10191" xr:uid="{54D238F6-663B-4C8E-A12F-BAAA0E29157D}"/>
    <cellStyle name="Normal 12 2 3 2 6" xfId="18638" xr:uid="{2386CD35-A4C1-4495-9BBE-8633F404CFC6}"/>
    <cellStyle name="Normal 12 2 3 2 7" xfId="27085" xr:uid="{19307247-BC2B-40D7-BE4A-F848D4BAEDA0}"/>
    <cellStyle name="Normal 12 2 3 3" xfId="1187" xr:uid="{00000000-0005-0000-0000-0000FB0D0000}"/>
    <cellStyle name="Normal 12 2 3 3 2" xfId="3418" xr:uid="{00000000-0005-0000-0000-0000FC0D0000}"/>
    <cellStyle name="Normal 12 2 3 3 2 2" xfId="7640" xr:uid="{00000000-0005-0000-0000-0000FD0D0000}"/>
    <cellStyle name="Normal 12 2 3 3 2 2 2" xfId="16966" xr:uid="{9C17E5E7-E39F-4B33-887E-BBD233C98F3C}"/>
    <cellStyle name="Normal 12 2 3 3 2 2 3" xfId="25413" xr:uid="{86F8B490-5029-40B2-9091-4C8F99A645E3}"/>
    <cellStyle name="Normal 12 2 3 3 2 2 4" xfId="33860" xr:uid="{B8B7213E-E2F4-4EF7-A1C8-FF0AA0A97FD3}"/>
    <cellStyle name="Normal 12 2 3 3 2 3" xfId="12749" xr:uid="{A40734DD-0975-4993-B627-DC17AD2A37AD}"/>
    <cellStyle name="Normal 12 2 3 3 2 4" xfId="21196" xr:uid="{A84FAA5B-9E7E-408F-B135-5411473E4FEB}"/>
    <cellStyle name="Normal 12 2 3 3 2 5" xfId="29643" xr:uid="{02442F37-07FA-4D10-97C8-4514AD994F80}"/>
    <cellStyle name="Normal 12 2 3 3 3" xfId="5495" xr:uid="{00000000-0005-0000-0000-0000FE0D0000}"/>
    <cellStyle name="Normal 12 2 3 3 3 2" xfId="14821" xr:uid="{9187B471-D46B-4C3D-9257-A5BBE5BAC33E}"/>
    <cellStyle name="Normal 12 2 3 3 3 3" xfId="23268" xr:uid="{827F6C71-728A-4D6C-A926-090248A80149}"/>
    <cellStyle name="Normal 12 2 3 3 3 4" xfId="31715" xr:uid="{47BFDC84-E5DD-4B83-9DDE-BBC18E1B0CB3}"/>
    <cellStyle name="Normal 12 2 3 3 4" xfId="10604" xr:uid="{EDA59359-F3AF-4C90-8EEA-D368300E5286}"/>
    <cellStyle name="Normal 12 2 3 3 5" xfId="19051" xr:uid="{D62F3747-5957-4520-9747-4CE3FEB54879}"/>
    <cellStyle name="Normal 12 2 3 3 6" xfId="27498" xr:uid="{1E0F1518-39DB-4797-9F71-EB553B5EA5E3}"/>
    <cellStyle name="Normal 12 2 3 4" xfId="1601" xr:uid="{00000000-0005-0000-0000-0000FF0D0000}"/>
    <cellStyle name="Normal 12 2 3 4 2" xfId="3831" xr:uid="{00000000-0005-0000-0000-0000000E0000}"/>
    <cellStyle name="Normal 12 2 3 4 2 2" xfId="8053" xr:uid="{00000000-0005-0000-0000-0000010E0000}"/>
    <cellStyle name="Normal 12 2 3 4 2 2 2" xfId="17379" xr:uid="{3320D848-C41F-4D3A-BA72-987935FAEFF0}"/>
    <cellStyle name="Normal 12 2 3 4 2 2 3" xfId="25826" xr:uid="{8DF27238-665F-4B9E-BE48-2EFEBF9CDC25}"/>
    <cellStyle name="Normal 12 2 3 4 2 2 4" xfId="34273" xr:uid="{50AE4539-B0A3-48B8-93F9-2A026DB7527D}"/>
    <cellStyle name="Normal 12 2 3 4 2 3" xfId="13162" xr:uid="{70514789-3BA0-47DB-AD9B-CA4692536FAB}"/>
    <cellStyle name="Normal 12 2 3 4 2 4" xfId="21609" xr:uid="{FBD5791F-49F9-46B3-987E-386B34CCE8A4}"/>
    <cellStyle name="Normal 12 2 3 4 2 5" xfId="30056" xr:uid="{C2A9CEF9-CA7F-48CB-A40C-BCB127FCDAE5}"/>
    <cellStyle name="Normal 12 2 3 4 3" xfId="5908" xr:uid="{00000000-0005-0000-0000-0000020E0000}"/>
    <cellStyle name="Normal 12 2 3 4 3 2" xfId="15234" xr:uid="{FE148F70-B657-421D-9025-C103E3590B13}"/>
    <cellStyle name="Normal 12 2 3 4 3 3" xfId="23681" xr:uid="{CA0D50EF-0427-4EC1-95D7-39EF992EF068}"/>
    <cellStyle name="Normal 12 2 3 4 3 4" xfId="32128" xr:uid="{0812E380-C08D-405C-A9B9-A31D19C4BD65}"/>
    <cellStyle name="Normal 12 2 3 4 4" xfId="11017" xr:uid="{9873353C-1918-4EDE-833F-2398495119F8}"/>
    <cellStyle name="Normal 12 2 3 4 5" xfId="19464" xr:uid="{8D45F562-A02B-4AE3-8FE4-239F7959E064}"/>
    <cellStyle name="Normal 12 2 3 4 6" xfId="27911" xr:uid="{8B901223-DA08-4D90-B7E9-9D653838B64F}"/>
    <cellStyle name="Normal 12 2 3 5" xfId="2015" xr:uid="{00000000-0005-0000-0000-0000030E0000}"/>
    <cellStyle name="Normal 12 2 3 5 2" xfId="4244" xr:uid="{00000000-0005-0000-0000-0000040E0000}"/>
    <cellStyle name="Normal 12 2 3 5 2 2" xfId="8466" xr:uid="{00000000-0005-0000-0000-0000050E0000}"/>
    <cellStyle name="Normal 12 2 3 5 2 2 2" xfId="17792" xr:uid="{BD2B8665-B09E-4C8B-A9A5-86A15BCF6373}"/>
    <cellStyle name="Normal 12 2 3 5 2 2 3" xfId="26239" xr:uid="{69DF5CDF-E1B5-44D2-9051-CD759BFF4FF4}"/>
    <cellStyle name="Normal 12 2 3 5 2 2 4" xfId="34686" xr:uid="{7C77F59A-422D-465A-8E4C-41EA4F916BD3}"/>
    <cellStyle name="Normal 12 2 3 5 2 3" xfId="13575" xr:uid="{E81B3FE9-0181-4408-BF81-80B38DC0BF46}"/>
    <cellStyle name="Normal 12 2 3 5 2 4" xfId="22022" xr:uid="{FE7ADE49-71BC-4382-B32A-7349640FC49A}"/>
    <cellStyle name="Normal 12 2 3 5 2 5" xfId="30469" xr:uid="{0658A084-1249-4727-875A-9BFD2CCD9228}"/>
    <cellStyle name="Normal 12 2 3 5 3" xfId="6321" xr:uid="{00000000-0005-0000-0000-0000060E0000}"/>
    <cellStyle name="Normal 12 2 3 5 3 2" xfId="15647" xr:uid="{86ECE2DD-2799-4678-995C-616C69E78C79}"/>
    <cellStyle name="Normal 12 2 3 5 3 3" xfId="24094" xr:uid="{2847E21E-B7E9-48D9-A522-38A0E21923F1}"/>
    <cellStyle name="Normal 12 2 3 5 3 4" xfId="32541" xr:uid="{A72BF028-71F6-42D0-90F7-447244CECD82}"/>
    <cellStyle name="Normal 12 2 3 5 4" xfId="11430" xr:uid="{63C1BE72-8E76-4F5B-88AB-9C90AE6BDCAA}"/>
    <cellStyle name="Normal 12 2 3 5 5" xfId="19877" xr:uid="{81B2D506-8B16-4730-852F-1797A1240225}"/>
    <cellStyle name="Normal 12 2 3 5 6" xfId="28324" xr:uid="{B69E8D5A-F5A4-4CCD-9BCA-03308516BB64}"/>
    <cellStyle name="Normal 12 2 3 6" xfId="2451" xr:uid="{00000000-0005-0000-0000-0000070E0000}"/>
    <cellStyle name="Normal 12 2 3 6 2" xfId="6734" xr:uid="{00000000-0005-0000-0000-0000080E0000}"/>
    <cellStyle name="Normal 12 2 3 6 2 2" xfId="16060" xr:uid="{3AE75B12-AC41-49FA-AE7C-FC7E2EB284D6}"/>
    <cellStyle name="Normal 12 2 3 6 2 3" xfId="24507" xr:uid="{BF60777F-1D16-4B43-B8FB-C9DFACEF4CE4}"/>
    <cellStyle name="Normal 12 2 3 6 2 4" xfId="32954" xr:uid="{615647C6-402B-4D51-91F7-0244EB23AF0B}"/>
    <cellStyle name="Normal 12 2 3 6 3" xfId="11843" xr:uid="{135BC541-4E38-47E2-84E9-D1044E09ECD3}"/>
    <cellStyle name="Normal 12 2 3 6 4" xfId="20290" xr:uid="{FB1B7D21-1288-40A0-A48D-672D7DF27521}"/>
    <cellStyle name="Normal 12 2 3 6 5" xfId="28737" xr:uid="{843E48E2-9515-43D3-BA7D-44BE648A19CB}"/>
    <cellStyle name="Normal 12 2 3 7" xfId="4668" xr:uid="{00000000-0005-0000-0000-0000090E0000}"/>
    <cellStyle name="Normal 12 2 3 7 2" xfId="13994" xr:uid="{6FC438AD-1FEA-454D-94A8-84B9E1922B11}"/>
    <cellStyle name="Normal 12 2 3 7 3" xfId="22441" xr:uid="{41534D88-10A9-4DA8-9115-C92FF6F186BD}"/>
    <cellStyle name="Normal 12 2 3 7 4" xfId="30888" xr:uid="{EAB7FF75-12EE-4F1D-8856-4FDD28118CB8}"/>
    <cellStyle name="Normal 12 2 3 8" xfId="9018" xr:uid="{C3F41DC6-3A80-4145-A68D-169ABB54B6D0}"/>
    <cellStyle name="Normal 12 2 3 9" xfId="9777" xr:uid="{515F0031-56BD-4805-AE43-5535B16BA9C3}"/>
    <cellStyle name="Normal 12 2 4" xfId="761" xr:uid="{00000000-0005-0000-0000-00000A0E0000}"/>
    <cellStyle name="Normal 12 2 4 2" xfId="3002" xr:uid="{00000000-0005-0000-0000-00000B0E0000}"/>
    <cellStyle name="Normal 12 2 4 2 2" xfId="7224" xr:uid="{00000000-0005-0000-0000-00000C0E0000}"/>
    <cellStyle name="Normal 12 2 4 2 2 2" xfId="16550" xr:uid="{395FC033-92C3-4C2A-A2D2-F24BD9F55E94}"/>
    <cellStyle name="Normal 12 2 4 2 2 3" xfId="24997" xr:uid="{0F4FDD67-EE39-4B85-A996-B787856F901C}"/>
    <cellStyle name="Normal 12 2 4 2 2 4" xfId="33444" xr:uid="{1B170E5B-B71F-4649-8F7B-462B5908653B}"/>
    <cellStyle name="Normal 12 2 4 2 3" xfId="12333" xr:uid="{59486403-B2D9-4886-9F81-D8B40D82910C}"/>
    <cellStyle name="Normal 12 2 4 2 4" xfId="20780" xr:uid="{F05CDDE1-CD7B-431E-9C91-91DE56961E92}"/>
    <cellStyle name="Normal 12 2 4 2 5" xfId="29227" xr:uid="{2383393E-0712-42A2-911B-8F17BF252F05}"/>
    <cellStyle name="Normal 12 2 4 3" xfId="5079" xr:uid="{00000000-0005-0000-0000-00000D0E0000}"/>
    <cellStyle name="Normal 12 2 4 3 2" xfId="14405" xr:uid="{BDC72DC9-E4F3-4124-A184-374E435B5FF2}"/>
    <cellStyle name="Normal 12 2 4 3 3" xfId="22852" xr:uid="{40F68B7C-CAA3-492B-8A3F-D6AF8A8EAB9A}"/>
    <cellStyle name="Normal 12 2 4 3 4" xfId="31299" xr:uid="{15FFD2E3-704A-4369-B8FC-1A661EF54C61}"/>
    <cellStyle name="Normal 12 2 4 4" xfId="9236" xr:uid="{C3D0196D-4BB3-4870-9762-A3CF40E5B45B}"/>
    <cellStyle name="Normal 12 2 4 5" xfId="10188" xr:uid="{7BCE939A-72B4-4592-B94A-4684962BEEFA}"/>
    <cellStyle name="Normal 12 2 4 6" xfId="18635" xr:uid="{7DBA6EF7-08BA-4789-9FD9-0554C86B04FE}"/>
    <cellStyle name="Normal 12 2 4 7" xfId="27082" xr:uid="{B4724E81-11FA-4A0E-AEAC-BB83027F51B0}"/>
    <cellStyle name="Normal 12 2 5" xfId="1184" xr:uid="{00000000-0005-0000-0000-00000E0E0000}"/>
    <cellStyle name="Normal 12 2 5 2" xfId="3415" xr:uid="{00000000-0005-0000-0000-00000F0E0000}"/>
    <cellStyle name="Normal 12 2 5 2 2" xfId="7637" xr:uid="{00000000-0005-0000-0000-0000100E0000}"/>
    <cellStyle name="Normal 12 2 5 2 2 2" xfId="16963" xr:uid="{CD8554F3-F885-4DB3-9D3C-4080EB06811E}"/>
    <cellStyle name="Normal 12 2 5 2 2 3" xfId="25410" xr:uid="{967A406B-47C6-4AF7-A20C-03E6CC0B5240}"/>
    <cellStyle name="Normal 12 2 5 2 2 4" xfId="33857" xr:uid="{9F737BAF-BC7A-4863-89C4-84391E80A251}"/>
    <cellStyle name="Normal 12 2 5 2 3" xfId="12746" xr:uid="{3362E8CF-C313-4C42-B3FF-968E0C9F1289}"/>
    <cellStyle name="Normal 12 2 5 2 4" xfId="21193" xr:uid="{28BDE8B0-0EB1-4EC3-BE1F-271339B61361}"/>
    <cellStyle name="Normal 12 2 5 2 5" xfId="29640" xr:uid="{8D6CFE26-4CDB-4FD7-B8EC-6046C5FDD0A2}"/>
    <cellStyle name="Normal 12 2 5 3" xfId="5492" xr:uid="{00000000-0005-0000-0000-0000110E0000}"/>
    <cellStyle name="Normal 12 2 5 3 2" xfId="14818" xr:uid="{D358C962-FD1D-4A89-96EA-1F5FAB5E74D4}"/>
    <cellStyle name="Normal 12 2 5 3 3" xfId="23265" xr:uid="{8BB3A4A7-2972-45DE-A038-25A704D4B6D0}"/>
    <cellStyle name="Normal 12 2 5 3 4" xfId="31712" xr:uid="{9CBF9EC4-8F45-422E-9C39-7162DC61E9DC}"/>
    <cellStyle name="Normal 12 2 5 4" xfId="10601" xr:uid="{2D369B2E-1BA8-4582-B894-757658190715}"/>
    <cellStyle name="Normal 12 2 5 5" xfId="19048" xr:uid="{153DC010-A855-4C91-AE92-9236E5EE53E3}"/>
    <cellStyle name="Normal 12 2 5 6" xfId="27495" xr:uid="{E8994A29-1E36-4548-9677-7578764881A3}"/>
    <cellStyle name="Normal 12 2 6" xfId="1598" xr:uid="{00000000-0005-0000-0000-0000120E0000}"/>
    <cellStyle name="Normal 12 2 6 2" xfId="3828" xr:uid="{00000000-0005-0000-0000-0000130E0000}"/>
    <cellStyle name="Normal 12 2 6 2 2" xfId="8050" xr:uid="{00000000-0005-0000-0000-0000140E0000}"/>
    <cellStyle name="Normal 12 2 6 2 2 2" xfId="17376" xr:uid="{81824DF5-B8F9-4F6A-AFD0-5F1012703519}"/>
    <cellStyle name="Normal 12 2 6 2 2 3" xfId="25823" xr:uid="{19A55372-0F7E-4F6B-8B0E-EB83CBDC53FC}"/>
    <cellStyle name="Normal 12 2 6 2 2 4" xfId="34270" xr:uid="{7F0F28FA-C1FB-4EC6-A83A-30BF2C47C3A4}"/>
    <cellStyle name="Normal 12 2 6 2 3" xfId="13159" xr:uid="{7788FAA7-E529-4FD4-ADDF-BC06A95886B5}"/>
    <cellStyle name="Normal 12 2 6 2 4" xfId="21606" xr:uid="{FD275BF6-AE9C-498B-B730-2AD53283D831}"/>
    <cellStyle name="Normal 12 2 6 2 5" xfId="30053" xr:uid="{51E2EBFB-E842-4945-A4AF-5EBFC55DB5C2}"/>
    <cellStyle name="Normal 12 2 6 3" xfId="5905" xr:uid="{00000000-0005-0000-0000-0000150E0000}"/>
    <cellStyle name="Normal 12 2 6 3 2" xfId="15231" xr:uid="{3DC8D4FA-2381-44D4-B0CC-0ECBF6856034}"/>
    <cellStyle name="Normal 12 2 6 3 3" xfId="23678" xr:uid="{F93423F5-A836-47BC-B6D0-CE1EE2C5DCB0}"/>
    <cellStyle name="Normal 12 2 6 3 4" xfId="32125" xr:uid="{00A79037-CF46-457F-901E-9F9800F336F4}"/>
    <cellStyle name="Normal 12 2 6 4" xfId="11014" xr:uid="{A2101B2E-8D9B-4C39-9652-18996D5D106F}"/>
    <cellStyle name="Normal 12 2 6 5" xfId="19461" xr:uid="{9FE0EF6A-BEFE-4115-8A7E-3F00F5B61475}"/>
    <cellStyle name="Normal 12 2 6 6" xfId="27908" xr:uid="{23998DF7-750E-415F-A243-D0D0FFB8AB15}"/>
    <cellStyle name="Normal 12 2 7" xfId="2012" xr:uid="{00000000-0005-0000-0000-0000160E0000}"/>
    <cellStyle name="Normal 12 2 7 2" xfId="4241" xr:uid="{00000000-0005-0000-0000-0000170E0000}"/>
    <cellStyle name="Normal 12 2 7 2 2" xfId="8463" xr:uid="{00000000-0005-0000-0000-0000180E0000}"/>
    <cellStyle name="Normal 12 2 7 2 2 2" xfId="17789" xr:uid="{794AA29B-1C8C-461D-B016-317E81C4E942}"/>
    <cellStyle name="Normal 12 2 7 2 2 3" xfId="26236" xr:uid="{6B0D8C1E-0809-4E15-8545-70433E00B11D}"/>
    <cellStyle name="Normal 12 2 7 2 2 4" xfId="34683" xr:uid="{1D03658D-D6B0-4D42-B9F0-C57A8AB06341}"/>
    <cellStyle name="Normal 12 2 7 2 3" xfId="13572" xr:uid="{25F3B2F2-AC36-4F0E-8B7F-55205BDCD765}"/>
    <cellStyle name="Normal 12 2 7 2 4" xfId="22019" xr:uid="{7038B23E-BBA4-465F-AB7F-2306E3887E86}"/>
    <cellStyle name="Normal 12 2 7 2 5" xfId="30466" xr:uid="{C016645B-0114-43CA-8539-B185169E42AF}"/>
    <cellStyle name="Normal 12 2 7 3" xfId="6318" xr:uid="{00000000-0005-0000-0000-0000190E0000}"/>
    <cellStyle name="Normal 12 2 7 3 2" xfId="15644" xr:uid="{A2087D8B-46CD-49DF-AA26-F28B87485DCE}"/>
    <cellStyle name="Normal 12 2 7 3 3" xfId="24091" xr:uid="{0BAFF570-1EA4-4EF4-B1F8-054CFFCC1653}"/>
    <cellStyle name="Normal 12 2 7 3 4" xfId="32538" xr:uid="{100BBF68-2109-461B-B9FE-CBC1B400643F}"/>
    <cellStyle name="Normal 12 2 7 4" xfId="11427" xr:uid="{4F7A5EDB-7882-4438-9EF7-ED1138A5369D}"/>
    <cellStyle name="Normal 12 2 7 5" xfId="19874" xr:uid="{8C634E87-63D4-4036-9AEE-573AA9B04FD0}"/>
    <cellStyle name="Normal 12 2 7 6" xfId="28321" xr:uid="{4023A30F-250F-4EA6-9DAF-F13C057E3550}"/>
    <cellStyle name="Normal 12 2 8" xfId="2448" xr:uid="{00000000-0005-0000-0000-00001A0E0000}"/>
    <cellStyle name="Normal 12 2 8 2" xfId="6731" xr:uid="{00000000-0005-0000-0000-00001B0E0000}"/>
    <cellStyle name="Normal 12 2 8 2 2" xfId="16057" xr:uid="{1F2A0AC6-2B69-433F-BF12-44AB859B641A}"/>
    <cellStyle name="Normal 12 2 8 2 3" xfId="24504" xr:uid="{1C44A71D-D628-4FB8-8F62-757507564F66}"/>
    <cellStyle name="Normal 12 2 8 2 4" xfId="32951" xr:uid="{1CAB60E0-D79A-47B4-B51F-1AA455E032B4}"/>
    <cellStyle name="Normal 12 2 8 3" xfId="11840" xr:uid="{4CEED229-5B78-4B6A-9CB5-2C722D553C77}"/>
    <cellStyle name="Normal 12 2 8 4" xfId="20287" xr:uid="{F2C1E2EE-3EA1-4B00-8DD0-C5DA57CB9EF9}"/>
    <cellStyle name="Normal 12 2 8 5" xfId="28734" xr:uid="{9809CD5F-2DD8-4DFF-AD5F-556F5EA7F180}"/>
    <cellStyle name="Normal 12 2 9" xfId="4665" xr:uid="{00000000-0005-0000-0000-00001C0E0000}"/>
    <cellStyle name="Normal 12 2 9 2" xfId="13991" xr:uid="{E3338B9D-89F1-4F70-8BF9-E95D5458FC8E}"/>
    <cellStyle name="Normal 12 2 9 3" xfId="22438" xr:uid="{54C928AB-D97F-49C6-B5A3-B2F4D11A21A7}"/>
    <cellStyle name="Normal 12 2 9 4" xfId="30885" xr:uid="{ED2AA45F-297E-4824-BDA4-F239B549FCE9}"/>
    <cellStyle name="Normal 12 3" xfId="264" xr:uid="{00000000-0005-0000-0000-00001D0E0000}"/>
    <cellStyle name="Normal 12 3 10" xfId="9778" xr:uid="{E437D335-0DD1-42F9-9390-65D19EE3C6FA}"/>
    <cellStyle name="Normal 12 3 11" xfId="18225" xr:uid="{84A6FA08-C2D8-4A47-8C21-AD6000114376}"/>
    <cellStyle name="Normal 12 3 12" xfId="26672" xr:uid="{9F98CA86-B90A-48AC-9988-FC6605799943}"/>
    <cellStyle name="Normal 12 3 2" xfId="265" xr:uid="{00000000-0005-0000-0000-00001E0E0000}"/>
    <cellStyle name="Normal 12 3 2 10" xfId="18226" xr:uid="{291BC83D-D73D-4955-B393-FB5C1EDD13E0}"/>
    <cellStyle name="Normal 12 3 2 11" xfId="26673" xr:uid="{5B9AE395-16E6-4F4A-89CE-AFCFECFD0291}"/>
    <cellStyle name="Normal 12 3 2 2" xfId="766" xr:uid="{00000000-0005-0000-0000-00001F0E0000}"/>
    <cellStyle name="Normal 12 3 2 2 2" xfId="3007" xr:uid="{00000000-0005-0000-0000-0000200E0000}"/>
    <cellStyle name="Normal 12 3 2 2 2 2" xfId="7229" xr:uid="{00000000-0005-0000-0000-0000210E0000}"/>
    <cellStyle name="Normal 12 3 2 2 2 2 2" xfId="16555" xr:uid="{FAD3A890-E91C-41B2-95B8-471085B554AF}"/>
    <cellStyle name="Normal 12 3 2 2 2 2 3" xfId="25002" xr:uid="{564729C2-335F-4CD7-BE19-D83D8FCB6595}"/>
    <cellStyle name="Normal 12 3 2 2 2 2 4" xfId="33449" xr:uid="{3EBCC1BD-5335-4402-953D-40EE7088A225}"/>
    <cellStyle name="Normal 12 3 2 2 2 3" xfId="12338" xr:uid="{C9E9C559-1468-4B58-A196-52691CAE1B2B}"/>
    <cellStyle name="Normal 12 3 2 2 2 4" xfId="20785" xr:uid="{CD7F1A67-039F-4AED-8528-82979C388C0E}"/>
    <cellStyle name="Normal 12 3 2 2 2 5" xfId="29232" xr:uid="{BF01068B-C27C-4D56-8AC9-9977B70CA6E0}"/>
    <cellStyle name="Normal 12 3 2 2 3" xfId="5084" xr:uid="{00000000-0005-0000-0000-0000220E0000}"/>
    <cellStyle name="Normal 12 3 2 2 3 2" xfId="14410" xr:uid="{64118E69-021F-4702-BBA0-692271E97262}"/>
    <cellStyle name="Normal 12 3 2 2 3 3" xfId="22857" xr:uid="{5EF42F86-5A05-4473-9520-EE74E2BEF5C3}"/>
    <cellStyle name="Normal 12 3 2 2 3 4" xfId="31304" xr:uid="{9E558CCF-88DE-480C-9F6C-1D709B38665B}"/>
    <cellStyle name="Normal 12 3 2 2 4" xfId="9505" xr:uid="{B127619B-367D-40AD-851E-01DDBB2DCD13}"/>
    <cellStyle name="Normal 12 3 2 2 5" xfId="10193" xr:uid="{650B799E-4BA9-4EAD-A3A7-3930DF9DE514}"/>
    <cellStyle name="Normal 12 3 2 2 6" xfId="18640" xr:uid="{01BAAE70-3437-4688-8233-9AE43FDDB332}"/>
    <cellStyle name="Normal 12 3 2 2 7" xfId="27087" xr:uid="{BEC03C9F-6195-4DD3-8DB8-50835D2C1F2E}"/>
    <cellStyle name="Normal 12 3 2 3" xfId="1189" xr:uid="{00000000-0005-0000-0000-0000230E0000}"/>
    <cellStyle name="Normal 12 3 2 3 2" xfId="3420" xr:uid="{00000000-0005-0000-0000-0000240E0000}"/>
    <cellStyle name="Normal 12 3 2 3 2 2" xfId="7642" xr:uid="{00000000-0005-0000-0000-0000250E0000}"/>
    <cellStyle name="Normal 12 3 2 3 2 2 2" xfId="16968" xr:uid="{0DD28AB5-B045-4684-B317-643ED3BDD994}"/>
    <cellStyle name="Normal 12 3 2 3 2 2 3" xfId="25415" xr:uid="{E4B93BD3-A89B-487F-9765-094F66749C45}"/>
    <cellStyle name="Normal 12 3 2 3 2 2 4" xfId="33862" xr:uid="{A2A05F9B-A17E-4FEA-A945-0DA9F4362402}"/>
    <cellStyle name="Normal 12 3 2 3 2 3" xfId="12751" xr:uid="{6488054A-9FB4-4032-9A21-D8CB961329E6}"/>
    <cellStyle name="Normal 12 3 2 3 2 4" xfId="21198" xr:uid="{ACE45E72-9D6D-493B-809B-DDBF7045EC52}"/>
    <cellStyle name="Normal 12 3 2 3 2 5" xfId="29645" xr:uid="{53606317-E170-4EEE-ABC6-555614D61A60}"/>
    <cellStyle name="Normal 12 3 2 3 3" xfId="5497" xr:uid="{00000000-0005-0000-0000-0000260E0000}"/>
    <cellStyle name="Normal 12 3 2 3 3 2" xfId="14823" xr:uid="{561E6A08-F281-4600-AEB5-146181C7C685}"/>
    <cellStyle name="Normal 12 3 2 3 3 3" xfId="23270" xr:uid="{D18F1607-2003-4C86-9217-A30FB7510F73}"/>
    <cellStyle name="Normal 12 3 2 3 3 4" xfId="31717" xr:uid="{FF5A18C8-FD34-4B34-BB99-C156867068E1}"/>
    <cellStyle name="Normal 12 3 2 3 4" xfId="10606" xr:uid="{E91A6CA3-1B6B-44BA-8760-0BA56118A259}"/>
    <cellStyle name="Normal 12 3 2 3 5" xfId="19053" xr:uid="{C5C2900B-E963-42B3-B289-4D28B5BAB5F7}"/>
    <cellStyle name="Normal 12 3 2 3 6" xfId="27500" xr:uid="{29308486-0A43-4F36-95E2-ADF29E3E65FF}"/>
    <cellStyle name="Normal 12 3 2 4" xfId="1603" xr:uid="{00000000-0005-0000-0000-0000270E0000}"/>
    <cellStyle name="Normal 12 3 2 4 2" xfId="3833" xr:uid="{00000000-0005-0000-0000-0000280E0000}"/>
    <cellStyle name="Normal 12 3 2 4 2 2" xfId="8055" xr:uid="{00000000-0005-0000-0000-0000290E0000}"/>
    <cellStyle name="Normal 12 3 2 4 2 2 2" xfId="17381" xr:uid="{E1A0FCD6-5C42-46F0-A409-E38CCD79085A}"/>
    <cellStyle name="Normal 12 3 2 4 2 2 3" xfId="25828" xr:uid="{18166764-0DC2-423C-AA89-F5396534F1F0}"/>
    <cellStyle name="Normal 12 3 2 4 2 2 4" xfId="34275" xr:uid="{6BFC44EF-CB78-466D-8968-FE6B177F12E3}"/>
    <cellStyle name="Normal 12 3 2 4 2 3" xfId="13164" xr:uid="{D9F0ACD7-9D0B-46AC-B767-D744FC52E73A}"/>
    <cellStyle name="Normal 12 3 2 4 2 4" xfId="21611" xr:uid="{1AD4D7B2-7054-44BA-BAC6-DAEEA2B25519}"/>
    <cellStyle name="Normal 12 3 2 4 2 5" xfId="30058" xr:uid="{21D589F2-28DC-43EB-B6DD-4A1E60B6C067}"/>
    <cellStyle name="Normal 12 3 2 4 3" xfId="5910" xr:uid="{00000000-0005-0000-0000-00002A0E0000}"/>
    <cellStyle name="Normal 12 3 2 4 3 2" xfId="15236" xr:uid="{08103DE4-9170-4452-9334-C737F92E8557}"/>
    <cellStyle name="Normal 12 3 2 4 3 3" xfId="23683" xr:uid="{1FC04503-FB24-45BB-9E8D-729AEDF3078E}"/>
    <cellStyle name="Normal 12 3 2 4 3 4" xfId="32130" xr:uid="{939B20F7-C14D-4A32-8F64-C1CE64298B47}"/>
    <cellStyle name="Normal 12 3 2 4 4" xfId="11019" xr:uid="{AE2AC054-D9CC-44AE-91AB-90CAEE07CEFA}"/>
    <cellStyle name="Normal 12 3 2 4 5" xfId="19466" xr:uid="{B2B2B429-9336-4915-A2CE-A06233837F32}"/>
    <cellStyle name="Normal 12 3 2 4 6" xfId="27913" xr:uid="{A3650007-EC54-4C60-B22A-38E37BCED87A}"/>
    <cellStyle name="Normal 12 3 2 5" xfId="2017" xr:uid="{00000000-0005-0000-0000-00002B0E0000}"/>
    <cellStyle name="Normal 12 3 2 5 2" xfId="4246" xr:uid="{00000000-0005-0000-0000-00002C0E0000}"/>
    <cellStyle name="Normal 12 3 2 5 2 2" xfId="8468" xr:uid="{00000000-0005-0000-0000-00002D0E0000}"/>
    <cellStyle name="Normal 12 3 2 5 2 2 2" xfId="17794" xr:uid="{E53896A9-A246-4A9B-A97D-ABF0A58401F6}"/>
    <cellStyle name="Normal 12 3 2 5 2 2 3" xfId="26241" xr:uid="{1469F000-0078-4017-99DE-CAAB73FC8928}"/>
    <cellStyle name="Normal 12 3 2 5 2 2 4" xfId="34688" xr:uid="{F98A0FFF-42B2-41AB-87B2-75FFF1F30C27}"/>
    <cellStyle name="Normal 12 3 2 5 2 3" xfId="13577" xr:uid="{74DE0AE0-0EEC-49E5-88B2-2937AC76AB03}"/>
    <cellStyle name="Normal 12 3 2 5 2 4" xfId="22024" xr:uid="{8A15E875-CCEC-4CEB-8C6A-2C6C7AFE0F7B}"/>
    <cellStyle name="Normal 12 3 2 5 2 5" xfId="30471" xr:uid="{A5928F33-E154-4CC4-8CEA-775A7450F9A5}"/>
    <cellStyle name="Normal 12 3 2 5 3" xfId="6323" xr:uid="{00000000-0005-0000-0000-00002E0E0000}"/>
    <cellStyle name="Normal 12 3 2 5 3 2" xfId="15649" xr:uid="{3906D83C-795A-4D3F-A892-568670746FBF}"/>
    <cellStyle name="Normal 12 3 2 5 3 3" xfId="24096" xr:uid="{46BD6DD5-4A23-490A-9D84-0F175B818F22}"/>
    <cellStyle name="Normal 12 3 2 5 3 4" xfId="32543" xr:uid="{44F80C52-8B45-4B43-B571-E62F6F588008}"/>
    <cellStyle name="Normal 12 3 2 5 4" xfId="11432" xr:uid="{9F5F3379-0268-4D21-85A8-A794B548932C}"/>
    <cellStyle name="Normal 12 3 2 5 5" xfId="19879" xr:uid="{FF3A6895-CFF0-4466-B0CE-5C24CEFA9D16}"/>
    <cellStyle name="Normal 12 3 2 5 6" xfId="28326" xr:uid="{9B24CEDC-9641-42F3-AB76-74865807D7C7}"/>
    <cellStyle name="Normal 12 3 2 6" xfId="2453" xr:uid="{00000000-0005-0000-0000-00002F0E0000}"/>
    <cellStyle name="Normal 12 3 2 6 2" xfId="6736" xr:uid="{00000000-0005-0000-0000-0000300E0000}"/>
    <cellStyle name="Normal 12 3 2 6 2 2" xfId="16062" xr:uid="{EC9F0FD0-0BC7-4B29-922C-5AD7D5DEE208}"/>
    <cellStyle name="Normal 12 3 2 6 2 3" xfId="24509" xr:uid="{D5BE1E42-1F85-4D2D-B4F4-1A4C224E3B97}"/>
    <cellStyle name="Normal 12 3 2 6 2 4" xfId="32956" xr:uid="{C0EE9DEC-A095-4147-8E16-68B9BE28E9C2}"/>
    <cellStyle name="Normal 12 3 2 6 3" xfId="11845" xr:uid="{1E94C6F6-C789-4142-8379-03024FC3D36F}"/>
    <cellStyle name="Normal 12 3 2 6 4" xfId="20292" xr:uid="{FBD928AB-E863-4ECE-94AA-7FBC319FB14A}"/>
    <cellStyle name="Normal 12 3 2 6 5" xfId="28739" xr:uid="{6645A777-8126-4313-B6B8-793FDE58D2EA}"/>
    <cellStyle name="Normal 12 3 2 7" xfId="4670" xr:uid="{00000000-0005-0000-0000-0000310E0000}"/>
    <cellStyle name="Normal 12 3 2 7 2" xfId="13996" xr:uid="{B39A6E3B-5F6F-4C19-9F50-92AAFD63AEA8}"/>
    <cellStyle name="Normal 12 3 2 7 3" xfId="22443" xr:uid="{3772B0BD-F7E2-41FA-A32C-5DC4DD93915F}"/>
    <cellStyle name="Normal 12 3 2 7 4" xfId="30890" xr:uid="{FA5909B9-AA5E-4D48-BDDA-CC27FE684647}"/>
    <cellStyle name="Normal 12 3 2 8" xfId="9080" xr:uid="{403F3083-4A9F-4295-B676-C31241B8936E}"/>
    <cellStyle name="Normal 12 3 2 9" xfId="9779" xr:uid="{FED2CA51-B6F1-483C-ACB9-2EAC6A3A1AE7}"/>
    <cellStyle name="Normal 12 3 3" xfId="765" xr:uid="{00000000-0005-0000-0000-0000320E0000}"/>
    <cellStyle name="Normal 12 3 3 2" xfId="3006" xr:uid="{00000000-0005-0000-0000-0000330E0000}"/>
    <cellStyle name="Normal 12 3 3 2 2" xfId="7228" xr:uid="{00000000-0005-0000-0000-0000340E0000}"/>
    <cellStyle name="Normal 12 3 3 2 2 2" xfId="16554" xr:uid="{A3ED0B53-0660-4D47-A631-7BFAC20611BD}"/>
    <cellStyle name="Normal 12 3 3 2 2 3" xfId="25001" xr:uid="{F53D31E1-47C9-4BD2-B41F-CEFD02555029}"/>
    <cellStyle name="Normal 12 3 3 2 2 4" xfId="33448" xr:uid="{73C9C8B9-460D-4DD3-9440-A5D51C236FF0}"/>
    <cellStyle name="Normal 12 3 3 2 3" xfId="12337" xr:uid="{AB3A0DCE-1A9D-432E-966A-6B6B41F0E943}"/>
    <cellStyle name="Normal 12 3 3 2 4" xfId="20784" xr:uid="{D1DAC704-2167-4633-B8B6-50B0474DEB28}"/>
    <cellStyle name="Normal 12 3 3 2 5" xfId="29231" xr:uid="{1176A65A-37AA-468C-B7A4-1E645D6BDDA7}"/>
    <cellStyle name="Normal 12 3 3 3" xfId="5083" xr:uid="{00000000-0005-0000-0000-0000350E0000}"/>
    <cellStyle name="Normal 12 3 3 3 2" xfId="14409" xr:uid="{847B905E-A3DB-489F-A7D6-D1C3EF670471}"/>
    <cellStyle name="Normal 12 3 3 3 3" xfId="22856" xr:uid="{FC9E9757-BB70-455E-9A99-415B7751CF11}"/>
    <cellStyle name="Normal 12 3 3 3 4" xfId="31303" xr:uid="{8A8F5CA7-415F-41C8-BEE6-E367FB2E9499}"/>
    <cellStyle name="Normal 12 3 3 4" xfId="9298" xr:uid="{A6F9D711-F86A-406D-B160-91678C261745}"/>
    <cellStyle name="Normal 12 3 3 5" xfId="10192" xr:uid="{CF1F8028-DD45-45E7-9239-292430CADB35}"/>
    <cellStyle name="Normal 12 3 3 6" xfId="18639" xr:uid="{0B0E0480-1335-4FBB-8CB0-EBC81392D0EB}"/>
    <cellStyle name="Normal 12 3 3 7" xfId="27086" xr:uid="{418421B3-A5FB-4322-BE02-0F838E86FDBF}"/>
    <cellStyle name="Normal 12 3 4" xfId="1188" xr:uid="{00000000-0005-0000-0000-0000360E0000}"/>
    <cellStyle name="Normal 12 3 4 2" xfId="3419" xr:uid="{00000000-0005-0000-0000-0000370E0000}"/>
    <cellStyle name="Normal 12 3 4 2 2" xfId="7641" xr:uid="{00000000-0005-0000-0000-0000380E0000}"/>
    <cellStyle name="Normal 12 3 4 2 2 2" xfId="16967" xr:uid="{4EB6C71E-9AB3-4C21-AAD3-E4F93EA75A4E}"/>
    <cellStyle name="Normal 12 3 4 2 2 3" xfId="25414" xr:uid="{6942305F-F9F1-4A64-A79A-F51FAA6A169E}"/>
    <cellStyle name="Normal 12 3 4 2 2 4" xfId="33861" xr:uid="{941CB804-95D0-41B2-9775-077FEE4FAC7B}"/>
    <cellStyle name="Normal 12 3 4 2 3" xfId="12750" xr:uid="{4D255EF4-B295-44BE-B8E2-A15C871D4557}"/>
    <cellStyle name="Normal 12 3 4 2 4" xfId="21197" xr:uid="{357B5C11-B58C-4709-BD90-E21B3FC0DC9F}"/>
    <cellStyle name="Normal 12 3 4 2 5" xfId="29644" xr:uid="{22980556-DD75-4BD9-9151-9FE36B635AD1}"/>
    <cellStyle name="Normal 12 3 4 3" xfId="5496" xr:uid="{00000000-0005-0000-0000-0000390E0000}"/>
    <cellStyle name="Normal 12 3 4 3 2" xfId="14822" xr:uid="{F361C809-870C-4416-83E1-F0815409D8B8}"/>
    <cellStyle name="Normal 12 3 4 3 3" xfId="23269" xr:uid="{6DC02789-4AF4-42F9-A888-DE7AC7EE93D6}"/>
    <cellStyle name="Normal 12 3 4 3 4" xfId="31716" xr:uid="{5D14920E-0BC0-45A7-9138-86CAE074EA2A}"/>
    <cellStyle name="Normal 12 3 4 4" xfId="10605" xr:uid="{9481F80C-7616-4381-AA79-CF5B3D156EEF}"/>
    <cellStyle name="Normal 12 3 4 5" xfId="19052" xr:uid="{76FAB00D-50C5-45BC-A887-4C4761F1BF65}"/>
    <cellStyle name="Normal 12 3 4 6" xfId="27499" xr:uid="{8FAC2B76-AF87-478A-A90E-42BDE3E8FE02}"/>
    <cellStyle name="Normal 12 3 5" xfId="1602" xr:uid="{00000000-0005-0000-0000-00003A0E0000}"/>
    <cellStyle name="Normal 12 3 5 2" xfId="3832" xr:uid="{00000000-0005-0000-0000-00003B0E0000}"/>
    <cellStyle name="Normal 12 3 5 2 2" xfId="8054" xr:uid="{00000000-0005-0000-0000-00003C0E0000}"/>
    <cellStyle name="Normal 12 3 5 2 2 2" xfId="17380" xr:uid="{14F13D90-9B43-4B6D-9269-B249E52045A6}"/>
    <cellStyle name="Normal 12 3 5 2 2 3" xfId="25827" xr:uid="{BF161EC2-BD9E-4288-A6CE-D89F7BBC6253}"/>
    <cellStyle name="Normal 12 3 5 2 2 4" xfId="34274" xr:uid="{EE225C88-EE57-4072-A989-D73A661672F5}"/>
    <cellStyle name="Normal 12 3 5 2 3" xfId="13163" xr:uid="{AB215C95-47EC-4655-B7AC-D2646E3D9A26}"/>
    <cellStyle name="Normal 12 3 5 2 4" xfId="21610" xr:uid="{43272FC9-B28C-472F-A206-BD2A97727E78}"/>
    <cellStyle name="Normal 12 3 5 2 5" xfId="30057" xr:uid="{0DA7DF0D-4EB0-4660-B0E9-49A22B1EF60D}"/>
    <cellStyle name="Normal 12 3 5 3" xfId="5909" xr:uid="{00000000-0005-0000-0000-00003D0E0000}"/>
    <cellStyle name="Normal 12 3 5 3 2" xfId="15235" xr:uid="{0D692085-DD9F-4343-864B-5134C4BCD3DB}"/>
    <cellStyle name="Normal 12 3 5 3 3" xfId="23682" xr:uid="{F2AA7107-39CC-41EF-8CF2-CA48EFC51497}"/>
    <cellStyle name="Normal 12 3 5 3 4" xfId="32129" xr:uid="{5CCD0AEB-6E8F-4E9B-81AE-099EFD5FD5DA}"/>
    <cellStyle name="Normal 12 3 5 4" xfId="11018" xr:uid="{37158DD1-4947-4234-A03E-25AC9544FB4B}"/>
    <cellStyle name="Normal 12 3 5 5" xfId="19465" xr:uid="{BCE338E5-A859-4F9A-B767-F092937F2D00}"/>
    <cellStyle name="Normal 12 3 5 6" xfId="27912" xr:uid="{B96B6236-1CB8-43B6-A331-A34A52A31D60}"/>
    <cellStyle name="Normal 12 3 6" xfId="2016" xr:uid="{00000000-0005-0000-0000-00003E0E0000}"/>
    <cellStyle name="Normal 12 3 6 2" xfId="4245" xr:uid="{00000000-0005-0000-0000-00003F0E0000}"/>
    <cellStyle name="Normal 12 3 6 2 2" xfId="8467" xr:uid="{00000000-0005-0000-0000-0000400E0000}"/>
    <cellStyle name="Normal 12 3 6 2 2 2" xfId="17793" xr:uid="{4B157EFD-73B9-4A88-875E-32CE0BBEAA5B}"/>
    <cellStyle name="Normal 12 3 6 2 2 3" xfId="26240" xr:uid="{F0614602-CAD6-403A-B612-4F497DD0C61C}"/>
    <cellStyle name="Normal 12 3 6 2 2 4" xfId="34687" xr:uid="{2EDCF43B-9E2F-42DC-B08C-85A7B37BEE18}"/>
    <cellStyle name="Normal 12 3 6 2 3" xfId="13576" xr:uid="{123C889A-3116-4BFF-B8F8-3506609B749E}"/>
    <cellStyle name="Normal 12 3 6 2 4" xfId="22023" xr:uid="{1063CBC7-AAFC-4237-9B66-81B413C63F6C}"/>
    <cellStyle name="Normal 12 3 6 2 5" xfId="30470" xr:uid="{0E633FFA-7BE0-4AD8-B552-EB443B6C5D3C}"/>
    <cellStyle name="Normal 12 3 6 3" xfId="6322" xr:uid="{00000000-0005-0000-0000-0000410E0000}"/>
    <cellStyle name="Normal 12 3 6 3 2" xfId="15648" xr:uid="{8B8E2399-CC2D-418F-BBC9-3ECD667D1938}"/>
    <cellStyle name="Normal 12 3 6 3 3" xfId="24095" xr:uid="{7361F706-9CBB-4502-9C5F-4B1184381C92}"/>
    <cellStyle name="Normal 12 3 6 3 4" xfId="32542" xr:uid="{D6634075-A58F-449D-859F-BE312AB3AA7C}"/>
    <cellStyle name="Normal 12 3 6 4" xfId="11431" xr:uid="{6C92E2EE-08E9-402D-814F-9E971B2D58B0}"/>
    <cellStyle name="Normal 12 3 6 5" xfId="19878" xr:uid="{C4B4B4A0-B2BC-437D-9542-355F9A3EE877}"/>
    <cellStyle name="Normal 12 3 6 6" xfId="28325" xr:uid="{A840EFA8-DCCE-4BC0-9566-9FE65BE65DB1}"/>
    <cellStyle name="Normal 12 3 7" xfId="2452" xr:uid="{00000000-0005-0000-0000-0000420E0000}"/>
    <cellStyle name="Normal 12 3 7 2" xfId="6735" xr:uid="{00000000-0005-0000-0000-0000430E0000}"/>
    <cellStyle name="Normal 12 3 7 2 2" xfId="16061" xr:uid="{84B448E9-6DC9-4BDC-AC5E-80ABDF59921D}"/>
    <cellStyle name="Normal 12 3 7 2 3" xfId="24508" xr:uid="{A8079B2E-297C-4B3D-87BD-CE7B91C211F4}"/>
    <cellStyle name="Normal 12 3 7 2 4" xfId="32955" xr:uid="{2FD96E9A-0E0C-4C38-B613-73F8B7E5B148}"/>
    <cellStyle name="Normal 12 3 7 3" xfId="11844" xr:uid="{A1F4569B-28CA-4FF0-8C1D-3A6D2F6A2AD7}"/>
    <cellStyle name="Normal 12 3 7 4" xfId="20291" xr:uid="{7441184C-9108-4A34-A606-CC17628F0D33}"/>
    <cellStyle name="Normal 12 3 7 5" xfId="28738" xr:uid="{4D8E974B-02DF-45C0-89DC-215C644E7A14}"/>
    <cellStyle name="Normal 12 3 8" xfId="4669" xr:uid="{00000000-0005-0000-0000-0000440E0000}"/>
    <cellStyle name="Normal 12 3 8 2" xfId="13995" xr:uid="{35E27FE4-E4B5-420F-AC23-93DDC78C7E60}"/>
    <cellStyle name="Normal 12 3 8 3" xfId="22442" xr:uid="{3F2E7F37-A841-4561-B143-F4D5061032DB}"/>
    <cellStyle name="Normal 12 3 8 4" xfId="30889" xr:uid="{B1D416FD-44CC-4026-BEFE-961C834583ED}"/>
    <cellStyle name="Normal 12 3 9" xfId="8873" xr:uid="{72AE7E6C-F254-4BFC-80A7-F73848FA4F21}"/>
    <cellStyle name="Normal 12 4" xfId="266" xr:uid="{00000000-0005-0000-0000-0000450E0000}"/>
    <cellStyle name="Normal 12 4 10" xfId="18227" xr:uid="{86796328-19A2-4E04-90E8-0F7C1DB2866B}"/>
    <cellStyle name="Normal 12 4 11" xfId="26674" xr:uid="{02C55D15-D9E0-4110-999A-4E72393DD519}"/>
    <cellStyle name="Normal 12 4 2" xfId="767" xr:uid="{00000000-0005-0000-0000-0000460E0000}"/>
    <cellStyle name="Normal 12 4 2 2" xfId="3008" xr:uid="{00000000-0005-0000-0000-0000470E0000}"/>
    <cellStyle name="Normal 12 4 2 2 2" xfId="7230" xr:uid="{00000000-0005-0000-0000-0000480E0000}"/>
    <cellStyle name="Normal 12 4 2 2 2 2" xfId="16556" xr:uid="{017F60F6-28FD-4088-B0A2-C44889FB9E30}"/>
    <cellStyle name="Normal 12 4 2 2 2 3" xfId="25003" xr:uid="{9017F272-B13B-4E05-A831-C1F5A04F76CC}"/>
    <cellStyle name="Normal 12 4 2 2 2 4" xfId="33450" xr:uid="{10CAE639-D4E8-40E8-9843-4997B7F25392}"/>
    <cellStyle name="Normal 12 4 2 2 3" xfId="12339" xr:uid="{A20945C4-536D-40BD-BBE1-FD8CCBD1905D}"/>
    <cellStyle name="Normal 12 4 2 2 4" xfId="20786" xr:uid="{F6A816D5-66B5-4141-B819-F9EF60101805}"/>
    <cellStyle name="Normal 12 4 2 2 5" xfId="29233" xr:uid="{392B1415-7DFE-4122-A252-A85C80F2ED9B}"/>
    <cellStyle name="Normal 12 4 2 3" xfId="5085" xr:uid="{00000000-0005-0000-0000-0000490E0000}"/>
    <cellStyle name="Normal 12 4 2 3 2" xfId="14411" xr:uid="{DCF9205C-77A0-40C1-AE57-EFA7783C3D7E}"/>
    <cellStyle name="Normal 12 4 2 3 3" xfId="22858" xr:uid="{85C2A7F3-28DD-4BB3-B23F-6E63CA74E8D6}"/>
    <cellStyle name="Normal 12 4 2 3 4" xfId="31305" xr:uid="{F5DB1D8B-DE23-4426-A61C-644C2F7258C9}"/>
    <cellStyle name="Normal 12 4 2 4" xfId="9402" xr:uid="{F40C9AB7-F4D0-4A65-BBAA-FF5409160FE5}"/>
    <cellStyle name="Normal 12 4 2 5" xfId="10194" xr:uid="{D5168701-E90B-4235-9699-D38995738A9C}"/>
    <cellStyle name="Normal 12 4 2 6" xfId="18641" xr:uid="{6CC48870-7BF8-4960-8E02-F499C2CDCE51}"/>
    <cellStyle name="Normal 12 4 2 7" xfId="27088" xr:uid="{465AF40D-7138-47B1-83AA-12F76D5D1960}"/>
    <cellStyle name="Normal 12 4 3" xfId="1190" xr:uid="{00000000-0005-0000-0000-00004A0E0000}"/>
    <cellStyle name="Normal 12 4 3 2" xfId="3421" xr:uid="{00000000-0005-0000-0000-00004B0E0000}"/>
    <cellStyle name="Normal 12 4 3 2 2" xfId="7643" xr:uid="{00000000-0005-0000-0000-00004C0E0000}"/>
    <cellStyle name="Normal 12 4 3 2 2 2" xfId="16969" xr:uid="{7349C290-B270-44EA-965C-1F2385916F1C}"/>
    <cellStyle name="Normal 12 4 3 2 2 3" xfId="25416" xr:uid="{14003480-0B3C-4B03-81A2-60F6C5E2ECDA}"/>
    <cellStyle name="Normal 12 4 3 2 2 4" xfId="33863" xr:uid="{C30C4FE5-7753-45D3-9580-E1BB6B08E35B}"/>
    <cellStyle name="Normal 12 4 3 2 3" xfId="12752" xr:uid="{C3FF6B69-E82B-41ED-88D7-D55CEC790298}"/>
    <cellStyle name="Normal 12 4 3 2 4" xfId="21199" xr:uid="{E2411421-53AE-4A28-A495-081A2D9DB82D}"/>
    <cellStyle name="Normal 12 4 3 2 5" xfId="29646" xr:uid="{221EBA18-B23A-4C40-9763-68C2B349BF1D}"/>
    <cellStyle name="Normal 12 4 3 3" xfId="5498" xr:uid="{00000000-0005-0000-0000-00004D0E0000}"/>
    <cellStyle name="Normal 12 4 3 3 2" xfId="14824" xr:uid="{8F3DA2AB-2412-4198-B4BC-E3F4D842D363}"/>
    <cellStyle name="Normal 12 4 3 3 3" xfId="23271" xr:uid="{EEDE4206-5577-4E3F-B1D9-22D9D7165155}"/>
    <cellStyle name="Normal 12 4 3 3 4" xfId="31718" xr:uid="{1674423F-5473-471D-8B63-A5404091CE9A}"/>
    <cellStyle name="Normal 12 4 3 4" xfId="10607" xr:uid="{66A1EA98-7A43-47E1-BCA5-4CD8C577364B}"/>
    <cellStyle name="Normal 12 4 3 5" xfId="19054" xr:uid="{095BD70B-C282-4AD7-BAD3-99F9A26A1B5A}"/>
    <cellStyle name="Normal 12 4 3 6" xfId="27501" xr:uid="{170F4DD0-AA2F-4C75-B0EB-9E27FFFC1D5B}"/>
    <cellStyle name="Normal 12 4 4" xfId="1604" xr:uid="{00000000-0005-0000-0000-00004E0E0000}"/>
    <cellStyle name="Normal 12 4 4 2" xfId="3834" xr:uid="{00000000-0005-0000-0000-00004F0E0000}"/>
    <cellStyle name="Normal 12 4 4 2 2" xfId="8056" xr:uid="{00000000-0005-0000-0000-0000500E0000}"/>
    <cellStyle name="Normal 12 4 4 2 2 2" xfId="17382" xr:uid="{33C75B85-934B-4D34-AC96-11B5779B3BAA}"/>
    <cellStyle name="Normal 12 4 4 2 2 3" xfId="25829" xr:uid="{72D54814-F18A-4E89-90D0-4481CDF229A8}"/>
    <cellStyle name="Normal 12 4 4 2 2 4" xfId="34276" xr:uid="{8AF23EF6-700D-460C-885F-399014FF85AA}"/>
    <cellStyle name="Normal 12 4 4 2 3" xfId="13165" xr:uid="{9DFB5294-2FA8-4B5C-A1D4-E0ED54AF06CA}"/>
    <cellStyle name="Normal 12 4 4 2 4" xfId="21612" xr:uid="{1D95CED9-F8A5-4D14-92F8-91DD6231781F}"/>
    <cellStyle name="Normal 12 4 4 2 5" xfId="30059" xr:uid="{DB03DAA2-F6FD-4C67-BB0D-0A776DABF628}"/>
    <cellStyle name="Normal 12 4 4 3" xfId="5911" xr:uid="{00000000-0005-0000-0000-0000510E0000}"/>
    <cellStyle name="Normal 12 4 4 3 2" xfId="15237" xr:uid="{77627B31-A92D-43B0-95E5-2A864E5EEE23}"/>
    <cellStyle name="Normal 12 4 4 3 3" xfId="23684" xr:uid="{A8E056E9-D741-4611-9547-E5419802FE46}"/>
    <cellStyle name="Normal 12 4 4 3 4" xfId="32131" xr:uid="{8AA93623-CB32-4C44-B2B7-AFCF08ABE451}"/>
    <cellStyle name="Normal 12 4 4 4" xfId="11020" xr:uid="{B59E67D1-91BF-46CB-B39E-4C42FA25FABF}"/>
    <cellStyle name="Normal 12 4 4 5" xfId="19467" xr:uid="{F9EBA2E3-F3D3-4C8A-BB3C-F038F0CE33D9}"/>
    <cellStyle name="Normal 12 4 4 6" xfId="27914" xr:uid="{BC938A56-A3FF-4823-A6CA-803ABC079476}"/>
    <cellStyle name="Normal 12 4 5" xfId="2018" xr:uid="{00000000-0005-0000-0000-0000520E0000}"/>
    <cellStyle name="Normal 12 4 5 2" xfId="4247" xr:uid="{00000000-0005-0000-0000-0000530E0000}"/>
    <cellStyle name="Normal 12 4 5 2 2" xfId="8469" xr:uid="{00000000-0005-0000-0000-0000540E0000}"/>
    <cellStyle name="Normal 12 4 5 2 2 2" xfId="17795" xr:uid="{2941C122-C1BE-4FAE-98E8-9645191F1BC8}"/>
    <cellStyle name="Normal 12 4 5 2 2 3" xfId="26242" xr:uid="{8785D9DA-0189-4907-A57B-372C17A9BA68}"/>
    <cellStyle name="Normal 12 4 5 2 2 4" xfId="34689" xr:uid="{0CFAF55B-A90B-4B26-B568-B0A453DAE218}"/>
    <cellStyle name="Normal 12 4 5 2 3" xfId="13578" xr:uid="{6AF31A63-1CCC-4A3D-A2CA-7BD65874E720}"/>
    <cellStyle name="Normal 12 4 5 2 4" xfId="22025" xr:uid="{E0D05A80-69CC-4CED-B0E1-DC78EA4EDB0D}"/>
    <cellStyle name="Normal 12 4 5 2 5" xfId="30472" xr:uid="{A4513D17-C9A2-4CD8-91F7-49CB4CC2C65F}"/>
    <cellStyle name="Normal 12 4 5 3" xfId="6324" xr:uid="{00000000-0005-0000-0000-0000550E0000}"/>
    <cellStyle name="Normal 12 4 5 3 2" xfId="15650" xr:uid="{D4AC8D97-1ABE-4452-B69E-FA900A035C55}"/>
    <cellStyle name="Normal 12 4 5 3 3" xfId="24097" xr:uid="{D22A8E67-DB84-4C6C-9722-2F3DB9997256}"/>
    <cellStyle name="Normal 12 4 5 3 4" xfId="32544" xr:uid="{E8FD00E2-5DE1-40B7-ABB1-57FE8F8AF41A}"/>
    <cellStyle name="Normal 12 4 5 4" xfId="11433" xr:uid="{D03EF955-4ACD-4427-BB79-B867600BAA23}"/>
    <cellStyle name="Normal 12 4 5 5" xfId="19880" xr:uid="{8A393676-AB79-429C-BF55-834267B4DB68}"/>
    <cellStyle name="Normal 12 4 5 6" xfId="28327" xr:uid="{66ABA86D-CCF4-40A6-93CA-4C5767418667}"/>
    <cellStyle name="Normal 12 4 6" xfId="2454" xr:uid="{00000000-0005-0000-0000-0000560E0000}"/>
    <cellStyle name="Normal 12 4 6 2" xfId="6737" xr:uid="{00000000-0005-0000-0000-0000570E0000}"/>
    <cellStyle name="Normal 12 4 6 2 2" xfId="16063" xr:uid="{46A32B29-B52A-4026-9D5A-6AE7CE218258}"/>
    <cellStyle name="Normal 12 4 6 2 3" xfId="24510" xr:uid="{74C27CAB-9982-492E-85CD-1C9436ADEB90}"/>
    <cellStyle name="Normal 12 4 6 2 4" xfId="32957" xr:uid="{F21B9B84-BCE2-44E5-B7EE-5F526384BE3A}"/>
    <cellStyle name="Normal 12 4 6 3" xfId="11846" xr:uid="{9B998974-D254-4A9B-87AE-6DA7125BBB85}"/>
    <cellStyle name="Normal 12 4 6 4" xfId="20293" xr:uid="{F5DBC035-0AAC-40DC-81C8-41C05A7FDF01}"/>
    <cellStyle name="Normal 12 4 6 5" xfId="28740" xr:uid="{C34464FC-9740-45CD-900B-93AFEDD26633}"/>
    <cellStyle name="Normal 12 4 7" xfId="4671" xr:uid="{00000000-0005-0000-0000-0000580E0000}"/>
    <cellStyle name="Normal 12 4 7 2" xfId="13997" xr:uid="{9E14C3E5-55C0-4602-B9E8-95BDCC862590}"/>
    <cellStyle name="Normal 12 4 7 3" xfId="22444" xr:uid="{8FDDB79F-A451-46B5-9502-002CC88E4C36}"/>
    <cellStyle name="Normal 12 4 7 4" xfId="30891" xr:uid="{C27B891A-4A3B-40A6-950F-1F34B3C92588}"/>
    <cellStyle name="Normal 12 4 8" xfId="8977" xr:uid="{5BFFE5F3-99F6-4DA1-A3EF-BF749B3B7ACB}"/>
    <cellStyle name="Normal 12 4 9" xfId="9780" xr:uid="{57496E4A-CAEC-44BC-B59E-179DC32FDD17}"/>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2 2 2" xfId="16549" xr:uid="{3A5FB90C-1279-4BE6-B75C-098BAF729AE6}"/>
    <cellStyle name="Normal 12 6 2 2 3" xfId="24996" xr:uid="{243A96C9-07C8-42D2-9B73-D2D4B935BFBD}"/>
    <cellStyle name="Normal 12 6 2 2 4" xfId="33443" xr:uid="{C68E5836-7EBE-4215-BD40-29DA9A86AC52}"/>
    <cellStyle name="Normal 12 6 2 3" xfId="12332" xr:uid="{BFC1E5EB-81E4-400A-A278-F95BF45B7F50}"/>
    <cellStyle name="Normal 12 6 2 4" xfId="20779" xr:uid="{5F56F7BD-EFB5-4571-8AAE-073F4C57B720}"/>
    <cellStyle name="Normal 12 6 2 5" xfId="29226" xr:uid="{01296418-B59A-4DC4-8EAE-D609B523B81C}"/>
    <cellStyle name="Normal 12 6 3" xfId="5078" xr:uid="{00000000-0005-0000-0000-00005D0E0000}"/>
    <cellStyle name="Normal 12 6 3 2" xfId="14404" xr:uid="{395F26F9-05F3-4F7A-A0F8-771CEBB59576}"/>
    <cellStyle name="Normal 12 6 3 3" xfId="22851" xr:uid="{18051CBF-3626-431F-902C-974A8C127297}"/>
    <cellStyle name="Normal 12 6 3 4" xfId="31298" xr:uid="{7F293A15-3AD2-4916-9982-5EE470C4718E}"/>
    <cellStyle name="Normal 12 6 4" xfId="9194" xr:uid="{92D32932-3865-4F6F-A551-9A99EC116A43}"/>
    <cellStyle name="Normal 12 6 5" xfId="10187" xr:uid="{241F6783-34D6-4C39-A416-C9FBF8BD8C93}"/>
    <cellStyle name="Normal 12 6 6" xfId="18634" xr:uid="{35E9E872-2456-4411-9AD9-FD68BF36A4D0}"/>
    <cellStyle name="Normal 12 6 7" xfId="27081" xr:uid="{DFAA3C99-05C0-4CA6-88A3-080C68D16416}"/>
    <cellStyle name="Normal 12 7" xfId="1183" xr:uid="{00000000-0005-0000-0000-00005E0E0000}"/>
    <cellStyle name="Normal 12 7 2" xfId="3414" xr:uid="{00000000-0005-0000-0000-00005F0E0000}"/>
    <cellStyle name="Normal 12 7 2 2" xfId="7636" xr:uid="{00000000-0005-0000-0000-0000600E0000}"/>
    <cellStyle name="Normal 12 7 2 2 2" xfId="16962" xr:uid="{BE35D71E-64AD-4C92-B01F-E3E8A2830F9B}"/>
    <cellStyle name="Normal 12 7 2 2 3" xfId="25409" xr:uid="{72E910E9-7D90-40BB-A0E0-2D3F7CAB071C}"/>
    <cellStyle name="Normal 12 7 2 2 4" xfId="33856" xr:uid="{A99C9D57-977A-4504-A5B8-B7F7B49C9EBD}"/>
    <cellStyle name="Normal 12 7 2 3" xfId="12745" xr:uid="{8D733599-69CD-4145-ABFF-CCF3FC4F4C7B}"/>
    <cellStyle name="Normal 12 7 2 4" xfId="21192" xr:uid="{A5A9B97B-A700-4ADF-831D-FDFF5D044EBE}"/>
    <cellStyle name="Normal 12 7 2 5" xfId="29639" xr:uid="{CB4359AA-B4AF-44A7-8885-7F0CB3061F74}"/>
    <cellStyle name="Normal 12 7 3" xfId="5491" xr:uid="{00000000-0005-0000-0000-0000610E0000}"/>
    <cellStyle name="Normal 12 7 3 2" xfId="14817" xr:uid="{7968FFF4-9517-4EC2-89DE-78007AF77EBE}"/>
    <cellStyle name="Normal 12 7 3 3" xfId="23264" xr:uid="{57E8C892-77B3-45E0-B7FE-FBF698B35624}"/>
    <cellStyle name="Normal 12 7 3 4" xfId="31711" xr:uid="{82941DD5-A62D-456B-8C79-4E3F1E1E62B7}"/>
    <cellStyle name="Normal 12 7 4" xfId="10600" xr:uid="{817C18D5-BB45-46BA-B93A-ECC278A286C9}"/>
    <cellStyle name="Normal 12 7 5" xfId="19047" xr:uid="{52D8BB38-0D73-482A-8358-F78F3E64B248}"/>
    <cellStyle name="Normal 12 7 6" xfId="27494" xr:uid="{12403C3E-60BC-4B19-8B82-0C543FEA2EF6}"/>
    <cellStyle name="Normal 12 8" xfId="1597" xr:uid="{00000000-0005-0000-0000-0000620E0000}"/>
    <cellStyle name="Normal 12 8 2" xfId="3827" xr:uid="{00000000-0005-0000-0000-0000630E0000}"/>
    <cellStyle name="Normal 12 8 2 2" xfId="8049" xr:uid="{00000000-0005-0000-0000-0000640E0000}"/>
    <cellStyle name="Normal 12 8 2 2 2" xfId="17375" xr:uid="{07CE2EC2-1B07-4593-8743-DD36FF5C597E}"/>
    <cellStyle name="Normal 12 8 2 2 3" xfId="25822" xr:uid="{A26CA715-E2C0-49FC-A85A-0F45F062E673}"/>
    <cellStyle name="Normal 12 8 2 2 4" xfId="34269" xr:uid="{AC39F6E9-2DE8-47C5-8213-FFF70AD0F1D0}"/>
    <cellStyle name="Normal 12 8 2 3" xfId="13158" xr:uid="{7873D9B9-E817-416D-ADA8-8081B7D1A8D5}"/>
    <cellStyle name="Normal 12 8 2 4" xfId="21605" xr:uid="{42E8711A-9FD6-40D2-B2CE-8B2716A7252C}"/>
    <cellStyle name="Normal 12 8 2 5" xfId="30052" xr:uid="{11BDE558-CDD5-458B-8D7F-80701621AEA4}"/>
    <cellStyle name="Normal 12 8 3" xfId="5904" xr:uid="{00000000-0005-0000-0000-0000650E0000}"/>
    <cellStyle name="Normal 12 8 3 2" xfId="15230" xr:uid="{B8D3376B-6F51-4B7E-8A4E-7301979EDF0D}"/>
    <cellStyle name="Normal 12 8 3 3" xfId="23677" xr:uid="{815E6CEF-3B8E-44CE-8B1D-B51666DCB7C0}"/>
    <cellStyle name="Normal 12 8 3 4" xfId="32124" xr:uid="{BEA0FBA3-7E78-4250-B7A3-1562D6532D80}"/>
    <cellStyle name="Normal 12 8 4" xfId="11013" xr:uid="{FB69F4D5-9119-4F17-BCE7-A68E92B467C0}"/>
    <cellStyle name="Normal 12 8 5" xfId="19460" xr:uid="{B61F9CB3-8ABB-4AD2-901F-7927CA8DF89B}"/>
    <cellStyle name="Normal 12 8 6" xfId="27907" xr:uid="{C001E65F-33B5-4C68-BF9D-A1A6F0B85CE9}"/>
    <cellStyle name="Normal 12 9" xfId="2011" xr:uid="{00000000-0005-0000-0000-0000660E0000}"/>
    <cellStyle name="Normal 12 9 2" xfId="4240" xr:uid="{00000000-0005-0000-0000-0000670E0000}"/>
    <cellStyle name="Normal 12 9 2 2" xfId="8462" xr:uid="{00000000-0005-0000-0000-0000680E0000}"/>
    <cellStyle name="Normal 12 9 2 2 2" xfId="17788" xr:uid="{B1DDCD56-6C75-4174-92E0-0D42335491A3}"/>
    <cellStyle name="Normal 12 9 2 2 3" xfId="26235" xr:uid="{932ED06F-0D5E-4823-A88D-4F72E8319283}"/>
    <cellStyle name="Normal 12 9 2 2 4" xfId="34682" xr:uid="{FA16AB8A-68A0-4966-965A-A5C5007B15AD}"/>
    <cellStyle name="Normal 12 9 2 3" xfId="13571" xr:uid="{4FCA1F96-039F-49AA-9D9B-C9BC1368DE68}"/>
    <cellStyle name="Normal 12 9 2 4" xfId="22018" xr:uid="{8C899036-F76A-451B-AE69-8DD1782F242B}"/>
    <cellStyle name="Normal 12 9 2 5" xfId="30465" xr:uid="{4349EF3C-7C9F-4794-8EB6-6B953969B18F}"/>
    <cellStyle name="Normal 12 9 3" xfId="6317" xr:uid="{00000000-0005-0000-0000-0000690E0000}"/>
    <cellStyle name="Normal 12 9 3 2" xfId="15643" xr:uid="{505790E6-7050-4D18-A778-0EFE363903A0}"/>
    <cellStyle name="Normal 12 9 3 3" xfId="24090" xr:uid="{9A1FE339-36B7-4CA4-AB63-7C7AF454C750}"/>
    <cellStyle name="Normal 12 9 3 4" xfId="32537" xr:uid="{BF5CAED6-DA5D-4D4E-8CD5-BBEFA5003FDA}"/>
    <cellStyle name="Normal 12 9 4" xfId="11426" xr:uid="{7067A8A9-84DC-4E32-B32A-CB8499665C88}"/>
    <cellStyle name="Normal 12 9 5" xfId="19873" xr:uid="{CC84E068-A531-4628-9722-6C2D0D03E62D}"/>
    <cellStyle name="Normal 12 9 6" xfId="28320" xr:uid="{5866BDFA-2EC2-4A43-8C6F-460BF3AF3D56}"/>
    <cellStyle name="Normal 13" xfId="268" xr:uid="{00000000-0005-0000-0000-00006A0E0000}"/>
    <cellStyle name="Normal 13 2" xfId="269" xr:uid="{00000000-0005-0000-0000-00006B0E0000}"/>
    <cellStyle name="Normal 14" xfId="270" xr:uid="{00000000-0005-0000-0000-00006C0E0000}"/>
    <cellStyle name="Normal 14 10" xfId="18228" xr:uid="{8674F3F0-22B4-4CEA-A6FB-9323BC052D7B}"/>
    <cellStyle name="Normal 14 11" xfId="26675" xr:uid="{4840E8F5-691B-4964-8AE4-85023772B9E1}"/>
    <cellStyle name="Normal 14 2" xfId="768" xr:uid="{00000000-0005-0000-0000-00006D0E0000}"/>
    <cellStyle name="Normal 14 2 2" xfId="3009" xr:uid="{00000000-0005-0000-0000-00006E0E0000}"/>
    <cellStyle name="Normal 14 2 2 2" xfId="7231" xr:uid="{00000000-0005-0000-0000-00006F0E0000}"/>
    <cellStyle name="Normal 14 2 2 2 2" xfId="16557" xr:uid="{98304A4A-79C0-4055-AF5F-63524A70143E}"/>
    <cellStyle name="Normal 14 2 2 2 3" xfId="25004" xr:uid="{37EE5F63-49FB-4FB1-B9B1-A93F4647D83F}"/>
    <cellStyle name="Normal 14 2 2 2 4" xfId="33451" xr:uid="{D9B96C21-2A3E-43AE-BEED-A8B8CCFCEBD2}"/>
    <cellStyle name="Normal 14 2 2 3" xfId="12340" xr:uid="{5FEA16A4-2DA2-4515-9C4F-C5A2F2F36367}"/>
    <cellStyle name="Normal 14 2 2 4" xfId="20787" xr:uid="{B00AE449-9FAD-4A0F-A777-74E35C9C195A}"/>
    <cellStyle name="Normal 14 2 2 5" xfId="29234" xr:uid="{8C562910-09EB-43D8-8251-57652351ADDE}"/>
    <cellStyle name="Normal 14 2 3" xfId="5086" xr:uid="{00000000-0005-0000-0000-0000700E0000}"/>
    <cellStyle name="Normal 14 2 3 2" xfId="14412" xr:uid="{84DFC8F9-DAF4-49A6-8DA5-B4F0772A0C08}"/>
    <cellStyle name="Normal 14 2 3 3" xfId="22859" xr:uid="{D069DC3C-795B-4171-A271-423303853B43}"/>
    <cellStyle name="Normal 14 2 3 4" xfId="31306" xr:uid="{976F55E8-C768-49BD-A169-67A972606C10}"/>
    <cellStyle name="Normal 14 2 4" xfId="9371" xr:uid="{E1AFB5B4-F468-480A-B09F-3374B2F03BDA}"/>
    <cellStyle name="Normal 14 2 5" xfId="10195" xr:uid="{DDBCDD8E-6273-4862-B10E-9ECFDF4C3C8D}"/>
    <cellStyle name="Normal 14 2 6" xfId="18642" xr:uid="{D212B9CE-2D74-4C73-B1CA-169900DEE005}"/>
    <cellStyle name="Normal 14 2 7" xfId="27089" xr:uid="{91C59196-43A4-430C-B991-1684E80AE82C}"/>
    <cellStyle name="Normal 14 3" xfId="1191" xr:uid="{00000000-0005-0000-0000-0000710E0000}"/>
    <cellStyle name="Normal 14 3 2" xfId="3422" xr:uid="{00000000-0005-0000-0000-0000720E0000}"/>
    <cellStyle name="Normal 14 3 2 2" xfId="7644" xr:uid="{00000000-0005-0000-0000-0000730E0000}"/>
    <cellStyle name="Normal 14 3 2 2 2" xfId="16970" xr:uid="{9153199C-7006-46DA-8E22-52A64F90A3FB}"/>
    <cellStyle name="Normal 14 3 2 2 3" xfId="25417" xr:uid="{7E77A2EF-ADDB-4A93-B46E-F6082C5F4A39}"/>
    <cellStyle name="Normal 14 3 2 2 4" xfId="33864" xr:uid="{26E90955-1856-43AE-976A-15CA824F66A8}"/>
    <cellStyle name="Normal 14 3 2 3" xfId="12753" xr:uid="{019AA256-369D-4DBD-A9BC-495602BA7655}"/>
    <cellStyle name="Normal 14 3 2 4" xfId="21200" xr:uid="{CF9AFAB2-8F7A-4CB3-B64B-82D279B8F59B}"/>
    <cellStyle name="Normal 14 3 2 5" xfId="29647" xr:uid="{FFF0E5D8-B1F6-4ACB-A19A-960678C7805B}"/>
    <cellStyle name="Normal 14 3 3" xfId="5499" xr:uid="{00000000-0005-0000-0000-0000740E0000}"/>
    <cellStyle name="Normal 14 3 3 2" xfId="14825" xr:uid="{11CF0B3F-2F12-47F2-9199-1B38EB6A9CC2}"/>
    <cellStyle name="Normal 14 3 3 3" xfId="23272" xr:uid="{2EEE84F7-A3B3-4988-80B2-635625C5623E}"/>
    <cellStyle name="Normal 14 3 3 4" xfId="31719" xr:uid="{22F29B99-F63C-4D44-9719-E6C368904CFA}"/>
    <cellStyle name="Normal 14 3 4" xfId="10608" xr:uid="{2F11D7EF-2201-4A61-8AEC-A352785BD7F9}"/>
    <cellStyle name="Normal 14 3 5" xfId="19055" xr:uid="{B609C672-FE86-4184-8D2A-1270099A3BC3}"/>
    <cellStyle name="Normal 14 3 6" xfId="27502" xr:uid="{82CF6E66-904A-4D2D-9798-2C1A336B9A63}"/>
    <cellStyle name="Normal 14 4" xfId="1605" xr:uid="{00000000-0005-0000-0000-0000750E0000}"/>
    <cellStyle name="Normal 14 4 2" xfId="3835" xr:uid="{00000000-0005-0000-0000-0000760E0000}"/>
    <cellStyle name="Normal 14 4 2 2" xfId="8057" xr:uid="{00000000-0005-0000-0000-0000770E0000}"/>
    <cellStyle name="Normal 14 4 2 2 2" xfId="17383" xr:uid="{C0526555-0F79-4830-8B1C-4E927FC18DD8}"/>
    <cellStyle name="Normal 14 4 2 2 3" xfId="25830" xr:uid="{6757FC21-A1AA-4748-B012-6B14907349D3}"/>
    <cellStyle name="Normal 14 4 2 2 4" xfId="34277" xr:uid="{D48C5E0D-B364-44BC-9EA0-56BAAE089FF2}"/>
    <cellStyle name="Normal 14 4 2 3" xfId="13166" xr:uid="{BAA4F57F-5CA2-4D31-8185-82AB4E992E44}"/>
    <cellStyle name="Normal 14 4 2 4" xfId="21613" xr:uid="{639D9752-9E2C-4671-96F8-07557BF7CE5A}"/>
    <cellStyle name="Normal 14 4 2 5" xfId="30060" xr:uid="{3498A619-A1BA-4E1C-9297-7FEED79672F0}"/>
    <cellStyle name="Normal 14 4 3" xfId="5912" xr:uid="{00000000-0005-0000-0000-0000780E0000}"/>
    <cellStyle name="Normal 14 4 3 2" xfId="15238" xr:uid="{FA4CAFB2-7B8C-487F-957E-E650AF85B02B}"/>
    <cellStyle name="Normal 14 4 3 3" xfId="23685" xr:uid="{C0D7DF9C-E7D1-4AA3-ACE0-96B8D5C287D0}"/>
    <cellStyle name="Normal 14 4 3 4" xfId="32132" xr:uid="{CFE4B86C-6F49-4DFC-A349-7918E8B70161}"/>
    <cellStyle name="Normal 14 4 4" xfId="11021" xr:uid="{006B5E2C-CECB-4B93-8778-1E2766213A19}"/>
    <cellStyle name="Normal 14 4 5" xfId="19468" xr:uid="{D384D6D4-285A-4645-A7AD-0AFAF5D77BE3}"/>
    <cellStyle name="Normal 14 4 6" xfId="27915" xr:uid="{995BD878-1BC9-4A8D-A6B7-DA2BDE4A9AC2}"/>
    <cellStyle name="Normal 14 5" xfId="2019" xr:uid="{00000000-0005-0000-0000-0000790E0000}"/>
    <cellStyle name="Normal 14 5 2" xfId="4248" xr:uid="{00000000-0005-0000-0000-00007A0E0000}"/>
    <cellStyle name="Normal 14 5 2 2" xfId="8470" xr:uid="{00000000-0005-0000-0000-00007B0E0000}"/>
    <cellStyle name="Normal 14 5 2 2 2" xfId="17796" xr:uid="{729C58EB-198D-48F8-ADF5-F276509FC55D}"/>
    <cellStyle name="Normal 14 5 2 2 3" xfId="26243" xr:uid="{F33C2E70-CD0C-4974-9FA5-CB35A16FCB8B}"/>
    <cellStyle name="Normal 14 5 2 2 4" xfId="34690" xr:uid="{45706564-B32B-47A0-BEBF-BB176313B350}"/>
    <cellStyle name="Normal 14 5 2 3" xfId="13579" xr:uid="{3C672DBF-E3D5-45B1-8394-892A5E709975}"/>
    <cellStyle name="Normal 14 5 2 4" xfId="22026" xr:uid="{AB0916CE-6F7E-467A-8FC6-04B8753D388F}"/>
    <cellStyle name="Normal 14 5 2 5" xfId="30473" xr:uid="{7E570240-1AC0-48C7-8EAE-4767761A1022}"/>
    <cellStyle name="Normal 14 5 3" xfId="6325" xr:uid="{00000000-0005-0000-0000-00007C0E0000}"/>
    <cellStyle name="Normal 14 5 3 2" xfId="15651" xr:uid="{72185706-C6CE-4197-90C2-70B7E7A07E62}"/>
    <cellStyle name="Normal 14 5 3 3" xfId="24098" xr:uid="{7EB00E44-D6C9-4C1B-BAA4-B5AFECA5D39F}"/>
    <cellStyle name="Normal 14 5 3 4" xfId="32545" xr:uid="{0739AFF0-3AC2-4DBD-B660-33F84D441E50}"/>
    <cellStyle name="Normal 14 5 4" xfId="11434" xr:uid="{46C2D569-E292-468A-9057-DFAD294B29D3}"/>
    <cellStyle name="Normal 14 5 5" xfId="19881" xr:uid="{F6B5C95C-4B34-4E58-9A57-2AF0E37928E6}"/>
    <cellStyle name="Normal 14 5 6" xfId="28328" xr:uid="{C1F49104-6A97-44D6-8F61-2317337B0BB2}"/>
    <cellStyle name="Normal 14 6" xfId="2455" xr:uid="{00000000-0005-0000-0000-00007D0E0000}"/>
    <cellStyle name="Normal 14 6 2" xfId="6738" xr:uid="{00000000-0005-0000-0000-00007E0E0000}"/>
    <cellStyle name="Normal 14 6 2 2" xfId="16064" xr:uid="{683167C7-803D-4BD8-8BEB-68E496C01082}"/>
    <cellStyle name="Normal 14 6 2 3" xfId="24511" xr:uid="{578C2680-AF86-4B0A-8530-CC4F4D15A55B}"/>
    <cellStyle name="Normal 14 6 2 4" xfId="32958" xr:uid="{0D2E43F7-E6B4-4B3D-9763-35354B362E30}"/>
    <cellStyle name="Normal 14 6 3" xfId="11847" xr:uid="{C0E41518-CCCC-47F1-A10A-D495AB94E132}"/>
    <cellStyle name="Normal 14 6 4" xfId="20294" xr:uid="{8E7585D8-DE55-4456-81A3-32FB15980470}"/>
    <cellStyle name="Normal 14 6 5" xfId="28741" xr:uid="{DA51695F-5B8E-4033-AA50-33589536B2D5}"/>
    <cellStyle name="Normal 14 7" xfId="4672" xr:uid="{00000000-0005-0000-0000-00007F0E0000}"/>
    <cellStyle name="Normal 14 7 2" xfId="13998" xr:uid="{875FB8C4-BF72-45EA-B2E1-88AD873DFA29}"/>
    <cellStyle name="Normal 14 7 3" xfId="22445" xr:uid="{C9C5D14D-D332-401F-A6C4-528AFF3CC5F8}"/>
    <cellStyle name="Normal 14 7 4" xfId="30892" xr:uid="{3C68127E-D03C-450B-8C9C-5B64A6802446}"/>
    <cellStyle name="Normal 14 8" xfId="8946" xr:uid="{DD997A1C-6669-41AA-8AC1-78121AFC796C}"/>
    <cellStyle name="Normal 14 9" xfId="9781" xr:uid="{9E9716C9-036D-485D-B3A7-B2EE95B57ED9}"/>
    <cellStyle name="Normal 15" xfId="4496" xr:uid="{00000000-0005-0000-0000-0000800E0000}"/>
    <cellStyle name="Normal 15 2" xfId="9578" xr:uid="{99513E76-E7E2-49D8-ADC5-F882C61FFC79}"/>
    <cellStyle name="Normal 15 3" xfId="9155" xr:uid="{47700DD8-A88A-4CB4-BFAD-BA75A2D4FC8E}"/>
    <cellStyle name="Normal 15 4" xfId="13824" xr:uid="{9588064C-1C0C-49CF-AB85-F2A3DA434220}"/>
    <cellStyle name="Normal 15 5" xfId="22271" xr:uid="{32BE9C23-9BC9-425F-AB5D-2A1120E1A68E}"/>
    <cellStyle name="Normal 15 6" xfId="30718" xr:uid="{42A8F691-E364-4041-9063-3EBFFA8B9B5D}"/>
    <cellStyle name="Normal 16" xfId="4500" xr:uid="{00000000-0005-0000-0000-0000810E0000}"/>
    <cellStyle name="Normal 16 2" xfId="8715" xr:uid="{00000000-0005-0000-0000-0000820E0000}"/>
    <cellStyle name="Normal 16 2 2" xfId="18041" xr:uid="{8C1415F6-5950-4155-BDA3-C059EF6B649E}"/>
    <cellStyle name="Normal 16 2 3" xfId="26488" xr:uid="{40F72E78-39A4-4A23-A079-660A4FDDAAAF}"/>
    <cellStyle name="Normal 16 2 4" xfId="34935" xr:uid="{78F80631-BE05-4E8B-BEEB-AF95B5ADA261}"/>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3 2 2 2 2 3" xfId="18057" xr:uid="{1FC98681-E78A-4605-B2A7-C236D6393ABC}"/>
    <cellStyle name="Normal 16 3 2 2 2 2 4" xfId="26504" xr:uid="{9C025D89-D8B7-4A8D-8A50-F5ACDB566E34}"/>
    <cellStyle name="Normal 16 3 2 2 2 2 5" xfId="34951" xr:uid="{81E6E5D7-D53D-41ED-9336-3741718CB8E1}"/>
    <cellStyle name="Normal 16 3 2 2 2 3" xfId="18054" xr:uid="{7A41D024-5ECB-4AAE-933B-BFA9660B115E}"/>
    <cellStyle name="Normal 16 3 2 2 2 4" xfId="26501" xr:uid="{C9130212-ECD9-4D4B-84BF-13A6CBA688FE}"/>
    <cellStyle name="Normal 16 3 2 2 2 5" xfId="34948" xr:uid="{C8A0CE84-6FE9-4827-A43A-DB30742684C3}"/>
    <cellStyle name="Normal 16 3 2 2 3" xfId="18050" xr:uid="{F2F7970B-A3A9-47D4-B276-95C4197379F3}"/>
    <cellStyle name="Normal 16 3 2 2 4" xfId="26497" xr:uid="{BC112D16-C6AE-43C2-9922-F652736AE226}"/>
    <cellStyle name="Normal 16 3 2 2 5" xfId="34944" xr:uid="{C2DBB47E-CB6E-4BBB-9A79-D156A8924070}"/>
    <cellStyle name="Normal 16 3 2 3" xfId="18047" xr:uid="{955B0AA7-0A3A-4B5C-AD86-B208D94A212F}"/>
    <cellStyle name="Normal 16 3 2 4" xfId="26494" xr:uid="{99599C98-2448-4B0A-83EE-1FD9C19BD341}"/>
    <cellStyle name="Normal 16 3 2 5" xfId="34941" xr:uid="{3D135EDA-C5B0-4C5E-B100-09ED2CADB2B0}"/>
    <cellStyle name="Normal 16 3 3" xfId="18044" xr:uid="{EC31916F-25E2-4E07-B9D5-FB65BC190CEE}"/>
    <cellStyle name="Normal 16 3 4" xfId="26491" xr:uid="{94CC09C9-8DBD-4A8C-AA3F-4AAF6DFBD773}"/>
    <cellStyle name="Normal 16 3 5" xfId="34938" xr:uid="{4D575523-DA8A-4678-9838-DD391BF03AAC}"/>
    <cellStyle name="Normal 16 4" xfId="9612" xr:uid="{8729F6E8-3534-4DAE-B0B2-B2AF3CDCD313}"/>
    <cellStyle name="Normal 16 5" xfId="13827" xr:uid="{79FD63A5-2A5A-47CF-B2C3-0D92DC508DFD}"/>
    <cellStyle name="Normal 16 6" xfId="22274" xr:uid="{2ADE7B7B-3451-452C-BA88-2E573F40A444}"/>
    <cellStyle name="Normal 16 7" xfId="30721" xr:uid="{376550DE-D25F-4770-8E6E-7596E1DF28BD}"/>
    <cellStyle name="Normal 17" xfId="8728" xr:uid="{3FF0972C-833B-4475-99D8-1A6907499E71}"/>
    <cellStyle name="Normal 17 2" xfId="9157" xr:uid="{6C872296-5E17-4821-9139-E52AD113B06C}"/>
    <cellStyle name="Normal 17 3" xfId="9154" xr:uid="{DC3FF210-EC1F-47CE-8CCE-F8F5460671B1}"/>
    <cellStyle name="Normal 17 4" xfId="18053" xr:uid="{01C1534B-6B4C-40A1-AA1E-5D7156ABE206}"/>
    <cellStyle name="Normal 17 5" xfId="26500" xr:uid="{A97673CE-6111-42F9-9969-F45E2D09F405}"/>
    <cellStyle name="Normal 17 6" xfId="34947" xr:uid="{2F4B2CB7-DB3B-40F2-AFF5-3FA827699F44}"/>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17797" xr:uid="{B2B00D24-31A0-45CA-8FC2-DDE095876499}"/>
    <cellStyle name="Normal 2 4 2 10 2 2 3" xfId="26244" xr:uid="{592C622E-81D7-4685-A4E3-1208B3335632}"/>
    <cellStyle name="Normal 2 4 2 10 2 2 4" xfId="34691" xr:uid="{5147DED6-F7A3-4FBB-AD83-DA2F1DDB65CF}"/>
    <cellStyle name="Normal 2 4 2 10 2 3" xfId="13580" xr:uid="{B8077210-9A3C-48EB-964C-F983F06BD048}"/>
    <cellStyle name="Normal 2 4 2 10 2 4" xfId="22027" xr:uid="{FDDD7A23-337D-4754-8CBF-B2C894EBBA1E}"/>
    <cellStyle name="Normal 2 4 2 10 2 5" xfId="30474" xr:uid="{88C67982-E38D-4669-99D4-0EBEF09FEC95}"/>
    <cellStyle name="Normal 2 4 2 10 3" xfId="6326" xr:uid="{00000000-0005-0000-0000-0000910E0000}"/>
    <cellStyle name="Normal 2 4 2 10 3 2" xfId="15652" xr:uid="{B517F85A-D42E-4751-907F-D8D307E176CF}"/>
    <cellStyle name="Normal 2 4 2 10 3 3" xfId="24099" xr:uid="{5D1DB833-7551-4B8F-8D25-23022F32C84E}"/>
    <cellStyle name="Normal 2 4 2 10 3 4" xfId="32546" xr:uid="{F4283F3B-612D-4337-8EC1-50F4C6CD29D6}"/>
    <cellStyle name="Normal 2 4 2 10 4" xfId="11435" xr:uid="{85539A58-CBEC-4E6C-BE58-BB1C2AFD7F21}"/>
    <cellStyle name="Normal 2 4 2 10 5" xfId="19882" xr:uid="{F21D2F1D-624A-46FE-8C12-70BBB9614F4C}"/>
    <cellStyle name="Normal 2 4 2 10 6" xfId="28329" xr:uid="{76C719B8-0201-44FE-BEB6-405F8BD99825}"/>
    <cellStyle name="Normal 2 4 2 11" xfId="2456" xr:uid="{00000000-0005-0000-0000-0000920E0000}"/>
    <cellStyle name="Normal 2 4 2 11 2" xfId="6739" xr:uid="{00000000-0005-0000-0000-0000930E0000}"/>
    <cellStyle name="Normal 2 4 2 11 2 2" xfId="16065" xr:uid="{1825AA7A-ECD0-4766-AB21-180187640C55}"/>
    <cellStyle name="Normal 2 4 2 11 2 3" xfId="24512" xr:uid="{052A92E2-9D32-4219-8DFF-6E5FE382CC04}"/>
    <cellStyle name="Normal 2 4 2 11 2 4" xfId="32959" xr:uid="{561AFC50-A3A6-48B5-90E9-59B4DC79B47D}"/>
    <cellStyle name="Normal 2 4 2 11 3" xfId="11848" xr:uid="{5A3FBDFF-5A76-46B4-9B13-95CDE14C17A3}"/>
    <cellStyle name="Normal 2 4 2 11 4" xfId="20295" xr:uid="{3D0E5080-5FDD-4B14-85AE-7D6F5A097DC4}"/>
    <cellStyle name="Normal 2 4 2 11 5" xfId="28742" xr:uid="{FA6A60ED-A2A7-4AA8-B264-4DAE7CD81171}"/>
    <cellStyle name="Normal 2 4 2 12" xfId="4673" xr:uid="{00000000-0005-0000-0000-0000940E0000}"/>
    <cellStyle name="Normal 2 4 2 12 2" xfId="13999" xr:uid="{29D4B2AB-23C8-4A72-AEF9-F13E6FF8ABBC}"/>
    <cellStyle name="Normal 2 4 2 12 3" xfId="22446" xr:uid="{B6A4DC92-113C-4A01-B0F5-C328D5FE35A1}"/>
    <cellStyle name="Normal 2 4 2 12 4" xfId="30893" xr:uid="{87124E92-FE52-483B-8524-515E79224DCC}"/>
    <cellStyle name="Normal 2 4 2 13" xfId="8757" xr:uid="{563A76DD-F7DD-49F0-A61E-0419F4C31301}"/>
    <cellStyle name="Normal 2 4 2 14" xfId="9782" xr:uid="{3FB93CEE-2F1A-419B-9997-F6832F07F319}"/>
    <cellStyle name="Normal 2 4 2 15" xfId="18229" xr:uid="{D28AECF6-D819-4B65-991C-567FDC50D926}"/>
    <cellStyle name="Normal 2 4 2 16" xfId="26676" xr:uid="{7BFEBDC1-287A-4DBF-A04E-A8B0D0F15B03}"/>
    <cellStyle name="Normal 2 4 2 2" xfId="280" xr:uid="{00000000-0005-0000-0000-0000950E0000}"/>
    <cellStyle name="Normal 2 4 2 3" xfId="281" xr:uid="{00000000-0005-0000-0000-0000960E0000}"/>
    <cellStyle name="Normal 2 4 2 3 10" xfId="4674" xr:uid="{00000000-0005-0000-0000-0000970E0000}"/>
    <cellStyle name="Normal 2 4 2 3 10 2" xfId="14000" xr:uid="{A6411A67-1CAF-4904-B524-83BE8B1E1070}"/>
    <cellStyle name="Normal 2 4 2 3 10 3" xfId="22447" xr:uid="{1506CE45-1367-408E-91EC-5BC2B14DBDFE}"/>
    <cellStyle name="Normal 2 4 2 3 10 4" xfId="30894" xr:uid="{D84BFAFB-1F87-4AFF-98D8-12BD16CAB699}"/>
    <cellStyle name="Normal 2 4 2 3 11" xfId="8788" xr:uid="{EAD3D227-C8EF-4F54-8D24-EE1EA1F017BB}"/>
    <cellStyle name="Normal 2 4 2 3 12" xfId="9783" xr:uid="{C9543CE0-DEBF-40C2-98A1-CCE97865B8B2}"/>
    <cellStyle name="Normal 2 4 2 3 13" xfId="18230" xr:uid="{CE1E716C-CCB2-4E1A-BAEC-7EA84AC44EEE}"/>
    <cellStyle name="Normal 2 4 2 3 14" xfId="26677" xr:uid="{22E122EE-277F-47D3-B0E2-7C44175B0776}"/>
    <cellStyle name="Normal 2 4 2 3 2" xfId="282" xr:uid="{00000000-0005-0000-0000-0000980E0000}"/>
    <cellStyle name="Normal 2 4 2 3 2 10" xfId="8813" xr:uid="{C03AE35D-2438-4E07-AE9C-6D04EC6DA2B7}"/>
    <cellStyle name="Normal 2 4 2 3 2 11" xfId="9784" xr:uid="{652C1AAC-38BA-4AEC-B35D-DF8940097697}"/>
    <cellStyle name="Normal 2 4 2 3 2 12" xfId="18231" xr:uid="{E6E5CF6F-4DE6-4063-9A13-9367A36297FB}"/>
    <cellStyle name="Normal 2 4 2 3 2 13" xfId="26678" xr:uid="{4D54E7F1-D802-43A0-989B-A9935EFF70A8}"/>
    <cellStyle name="Normal 2 4 2 3 2 2" xfId="283" xr:uid="{00000000-0005-0000-0000-0000990E0000}"/>
    <cellStyle name="Normal 2 4 2 3 2 2 10" xfId="9785" xr:uid="{68929D23-C13E-46FF-8782-16B797486240}"/>
    <cellStyle name="Normal 2 4 2 3 2 2 11" xfId="18232" xr:uid="{DD8BD8EB-7A9B-4CD4-9A3B-90F8E6DB38A7}"/>
    <cellStyle name="Normal 2 4 2 3 2 2 12" xfId="26679" xr:uid="{7FA574D0-8232-4EC3-8508-F62D239149F3}"/>
    <cellStyle name="Normal 2 4 2 3 2 2 2" xfId="284" xr:uid="{00000000-0005-0000-0000-00009A0E0000}"/>
    <cellStyle name="Normal 2 4 2 3 2 2 2 10" xfId="18233" xr:uid="{047BC1E9-B189-4699-BBBF-2B1E125EE333}"/>
    <cellStyle name="Normal 2 4 2 3 2 2 2 11" xfId="26680" xr:uid="{7DC28F40-AFB6-43B9-9C6C-0C7729CCD8E7}"/>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16562" xr:uid="{B1EE86B7-5B89-42DA-96C0-D3E04E89CF7A}"/>
    <cellStyle name="Normal 2 4 2 3 2 2 2 2 2 2 3" xfId="25009" xr:uid="{105B1BC3-4B9B-40B4-8BF0-15F445EEAB82}"/>
    <cellStyle name="Normal 2 4 2 3 2 2 2 2 2 2 4" xfId="33456" xr:uid="{A74F21A0-0185-4EF2-AF2B-272AD77CABEE}"/>
    <cellStyle name="Normal 2 4 2 3 2 2 2 2 2 3" xfId="12345" xr:uid="{B52D5EEA-C642-4302-8F30-71AAE6ED88EB}"/>
    <cellStyle name="Normal 2 4 2 3 2 2 2 2 2 4" xfId="20792" xr:uid="{F7910281-73A7-4A7F-8503-2935C970C6A1}"/>
    <cellStyle name="Normal 2 4 2 3 2 2 2 2 2 5" xfId="29239" xr:uid="{87097416-3217-4AE3-A676-06E1BD821BFD}"/>
    <cellStyle name="Normal 2 4 2 3 2 2 2 2 3" xfId="5091" xr:uid="{00000000-0005-0000-0000-00009E0E0000}"/>
    <cellStyle name="Normal 2 4 2 3 2 2 2 2 3 2" xfId="14417" xr:uid="{B07971F1-93A6-473B-9EF8-5396EEEBDE52}"/>
    <cellStyle name="Normal 2 4 2 3 2 2 2 2 3 3" xfId="22864" xr:uid="{D30CE503-91A7-4A42-ABA5-4C6FB8827BD6}"/>
    <cellStyle name="Normal 2 4 2 3 2 2 2 2 3 4" xfId="31311" xr:uid="{FEFF6416-06EF-4057-8EC7-3A7BE04E7150}"/>
    <cellStyle name="Normal 2 4 2 3 2 2 2 2 4" xfId="9548" xr:uid="{29E7289E-B3F4-4F63-9B9C-B531B0E50CEB}"/>
    <cellStyle name="Normal 2 4 2 3 2 2 2 2 5" xfId="10200" xr:uid="{2160A931-D1A4-471F-86CC-7FDC9C7C6BF3}"/>
    <cellStyle name="Normal 2 4 2 3 2 2 2 2 6" xfId="18647" xr:uid="{0C4E652A-5EDF-49CC-9E3A-280D0267468F}"/>
    <cellStyle name="Normal 2 4 2 3 2 2 2 2 7" xfId="27094" xr:uid="{27EEFBDB-2F9F-4D5B-83CB-D298BA70451D}"/>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16975" xr:uid="{3E5181F3-6050-4379-B177-F59FA0BBE7FF}"/>
    <cellStyle name="Normal 2 4 2 3 2 2 2 3 2 2 3" xfId="25422" xr:uid="{D148A91D-E339-47B7-8EDF-D8DEDFC40872}"/>
    <cellStyle name="Normal 2 4 2 3 2 2 2 3 2 2 4" xfId="33869" xr:uid="{91D94B95-6E71-4E12-B505-84C542BBC83C}"/>
    <cellStyle name="Normal 2 4 2 3 2 2 2 3 2 3" xfId="12758" xr:uid="{A9FC2D5D-6DB9-4819-A8AE-A3FEFB718C97}"/>
    <cellStyle name="Normal 2 4 2 3 2 2 2 3 2 4" xfId="21205" xr:uid="{8300840A-E0F0-41B3-8614-F1D5BA486486}"/>
    <cellStyle name="Normal 2 4 2 3 2 2 2 3 2 5" xfId="29652" xr:uid="{5139BF37-C655-40D9-8D5F-1A6AECCAD132}"/>
    <cellStyle name="Normal 2 4 2 3 2 2 2 3 3" xfId="5504" xr:uid="{00000000-0005-0000-0000-0000A20E0000}"/>
    <cellStyle name="Normal 2 4 2 3 2 2 2 3 3 2" xfId="14830" xr:uid="{3B741E8B-C725-45F2-B8C9-82224D65A9E1}"/>
    <cellStyle name="Normal 2 4 2 3 2 2 2 3 3 3" xfId="23277" xr:uid="{FAC9C69D-A873-4907-B226-9F7A6C16A740}"/>
    <cellStyle name="Normal 2 4 2 3 2 2 2 3 3 4" xfId="31724" xr:uid="{C164D4A8-9112-452A-A1F3-81820EF21C3D}"/>
    <cellStyle name="Normal 2 4 2 3 2 2 2 3 4" xfId="10613" xr:uid="{59B836F8-7CB3-4978-91A6-A13B8F04858A}"/>
    <cellStyle name="Normal 2 4 2 3 2 2 2 3 5" xfId="19060" xr:uid="{4BA58A20-4727-43A5-A105-A4DA293C7B8E}"/>
    <cellStyle name="Normal 2 4 2 3 2 2 2 3 6" xfId="27507" xr:uid="{39B9C844-2D94-4E48-8FE6-FB075DDB8336}"/>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17388" xr:uid="{A6137042-8D39-4E6C-9542-C701071EAE69}"/>
    <cellStyle name="Normal 2 4 2 3 2 2 2 4 2 2 3" xfId="25835" xr:uid="{61255AEC-0D57-4596-AFBF-752224759EDB}"/>
    <cellStyle name="Normal 2 4 2 3 2 2 2 4 2 2 4" xfId="34282" xr:uid="{066F6135-9B76-4CEC-910F-E1594F74D09A}"/>
    <cellStyle name="Normal 2 4 2 3 2 2 2 4 2 3" xfId="13171" xr:uid="{85B12FA4-6E3B-488F-A5CE-BCA97D704AAE}"/>
    <cellStyle name="Normal 2 4 2 3 2 2 2 4 2 4" xfId="21618" xr:uid="{E9B3B21D-F874-449A-9F03-E71C1DED1540}"/>
    <cellStyle name="Normal 2 4 2 3 2 2 2 4 2 5" xfId="30065" xr:uid="{944810C4-0DB8-4C12-8856-F4F25A0D127E}"/>
    <cellStyle name="Normal 2 4 2 3 2 2 2 4 3" xfId="5917" xr:uid="{00000000-0005-0000-0000-0000A60E0000}"/>
    <cellStyle name="Normal 2 4 2 3 2 2 2 4 3 2" xfId="15243" xr:uid="{1FEB3D71-4F66-4C51-951F-BC10DCB7E74D}"/>
    <cellStyle name="Normal 2 4 2 3 2 2 2 4 3 3" xfId="23690" xr:uid="{B09B2812-F571-4780-ACBF-C233334368F3}"/>
    <cellStyle name="Normal 2 4 2 3 2 2 2 4 3 4" xfId="32137" xr:uid="{7BEFB0DD-FDA3-4ECF-B97B-B1F027D57B3F}"/>
    <cellStyle name="Normal 2 4 2 3 2 2 2 4 4" xfId="11026" xr:uid="{4EA6021D-0850-49E9-AABD-B00E8C6501D2}"/>
    <cellStyle name="Normal 2 4 2 3 2 2 2 4 5" xfId="19473" xr:uid="{3B6BC69F-9E84-4CF5-BC03-6F3A223989B9}"/>
    <cellStyle name="Normal 2 4 2 3 2 2 2 4 6" xfId="27920" xr:uid="{A7B25973-A291-48BD-9366-D812CAD5AB15}"/>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17801" xr:uid="{C5D6715E-379A-4C0B-9CC2-2D93058614ED}"/>
    <cellStyle name="Normal 2 4 2 3 2 2 2 5 2 2 3" xfId="26248" xr:uid="{ACD29B53-4D7E-44D9-96CF-F212B755C153}"/>
    <cellStyle name="Normal 2 4 2 3 2 2 2 5 2 2 4" xfId="34695" xr:uid="{BC91E6DA-FE25-48DA-BB7F-F0B1006DC752}"/>
    <cellStyle name="Normal 2 4 2 3 2 2 2 5 2 3" xfId="13584" xr:uid="{23B3DC16-D45A-42E7-A6AE-C02B6B8A515A}"/>
    <cellStyle name="Normal 2 4 2 3 2 2 2 5 2 4" xfId="22031" xr:uid="{0E0CD537-B239-46CD-96CA-DEC64D06D05E}"/>
    <cellStyle name="Normal 2 4 2 3 2 2 2 5 2 5" xfId="30478" xr:uid="{6F565313-8CFA-4092-95C3-F015DB7ABC84}"/>
    <cellStyle name="Normal 2 4 2 3 2 2 2 5 3" xfId="6330" xr:uid="{00000000-0005-0000-0000-0000AA0E0000}"/>
    <cellStyle name="Normal 2 4 2 3 2 2 2 5 3 2" xfId="15656" xr:uid="{B0F304AD-F8C2-48A1-8FDC-0759D8FF8708}"/>
    <cellStyle name="Normal 2 4 2 3 2 2 2 5 3 3" xfId="24103" xr:uid="{F5535ABE-55F6-46BC-9413-C4D3A228FAEF}"/>
    <cellStyle name="Normal 2 4 2 3 2 2 2 5 3 4" xfId="32550" xr:uid="{736D968C-E811-4F39-B980-B06FAC39EDFF}"/>
    <cellStyle name="Normal 2 4 2 3 2 2 2 5 4" xfId="11439" xr:uid="{B272051F-F7B0-43F9-B2CF-57297AF8D492}"/>
    <cellStyle name="Normal 2 4 2 3 2 2 2 5 5" xfId="19886" xr:uid="{A15CED2E-0288-42E8-80CA-5125ECCDB774}"/>
    <cellStyle name="Normal 2 4 2 3 2 2 2 5 6" xfId="28333" xr:uid="{7F72BD11-5E69-4E55-AAC7-BA1C61FF1C65}"/>
    <cellStyle name="Normal 2 4 2 3 2 2 2 6" xfId="2460" xr:uid="{00000000-0005-0000-0000-0000AB0E0000}"/>
    <cellStyle name="Normal 2 4 2 3 2 2 2 6 2" xfId="6743" xr:uid="{00000000-0005-0000-0000-0000AC0E0000}"/>
    <cellStyle name="Normal 2 4 2 3 2 2 2 6 2 2" xfId="16069" xr:uid="{DDDBAFE8-0B28-4947-ACA8-5B1F2CFF7259}"/>
    <cellStyle name="Normal 2 4 2 3 2 2 2 6 2 3" xfId="24516" xr:uid="{4F2D8738-B652-4E35-B06E-C05BF02934AC}"/>
    <cellStyle name="Normal 2 4 2 3 2 2 2 6 2 4" xfId="32963" xr:uid="{E6378E35-936F-4C01-A915-224FC86E2C71}"/>
    <cellStyle name="Normal 2 4 2 3 2 2 2 6 3" xfId="11852" xr:uid="{0094F456-3BC8-4A34-AAC0-DDF4EB4FF894}"/>
    <cellStyle name="Normal 2 4 2 3 2 2 2 6 4" xfId="20299" xr:uid="{01572941-FC18-430B-B49F-DBEEF9A65731}"/>
    <cellStyle name="Normal 2 4 2 3 2 2 2 6 5" xfId="28746" xr:uid="{30799560-21AB-4CD1-B32E-653F5F3A8CFA}"/>
    <cellStyle name="Normal 2 4 2 3 2 2 2 7" xfId="4677" xr:uid="{00000000-0005-0000-0000-0000AD0E0000}"/>
    <cellStyle name="Normal 2 4 2 3 2 2 2 7 2" xfId="14003" xr:uid="{A0951240-4D4C-4C36-9F0A-1EE7EA7C47D8}"/>
    <cellStyle name="Normal 2 4 2 3 2 2 2 7 3" xfId="22450" xr:uid="{0886D23B-E34E-4350-A166-8E92BD96357E}"/>
    <cellStyle name="Normal 2 4 2 3 2 2 2 7 4" xfId="30897" xr:uid="{2FEC82F3-82A4-4E0B-9063-92D2DCED2F67}"/>
    <cellStyle name="Normal 2 4 2 3 2 2 2 8" xfId="9123" xr:uid="{9F0183A9-880D-46D9-BB7D-5696E4723F5F}"/>
    <cellStyle name="Normal 2 4 2 3 2 2 2 9" xfId="9786" xr:uid="{C5469C41-0BCF-46BB-9C4F-1B1FF5699568}"/>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16561" xr:uid="{B7ECD64A-A6B8-4F45-87E1-2907838466AA}"/>
    <cellStyle name="Normal 2 4 2 3 2 2 3 2 2 3" xfId="25008" xr:uid="{0E965106-526E-43C1-85A1-7DC081525BF0}"/>
    <cellStyle name="Normal 2 4 2 3 2 2 3 2 2 4" xfId="33455" xr:uid="{9B722ED7-0F6F-4817-A3CD-48CD0EC63FCF}"/>
    <cellStyle name="Normal 2 4 2 3 2 2 3 2 3" xfId="12344" xr:uid="{E85F7682-EDFF-4ADA-A28F-98B114B744B0}"/>
    <cellStyle name="Normal 2 4 2 3 2 2 3 2 4" xfId="20791" xr:uid="{C1A3C24A-65AE-4912-AA3C-36DF5D2DA6E4}"/>
    <cellStyle name="Normal 2 4 2 3 2 2 3 2 5" xfId="29238" xr:uid="{4E20A4CA-AC09-4769-BF03-C527A7777679}"/>
    <cellStyle name="Normal 2 4 2 3 2 2 3 3" xfId="5090" xr:uid="{00000000-0005-0000-0000-0000B10E0000}"/>
    <cellStyle name="Normal 2 4 2 3 2 2 3 3 2" xfId="14416" xr:uid="{5E95C298-66D2-4A96-8975-FB2C5EC0786F}"/>
    <cellStyle name="Normal 2 4 2 3 2 2 3 3 3" xfId="22863" xr:uid="{DFC16FDD-02EE-4D95-A1B3-D55E07750FC4}"/>
    <cellStyle name="Normal 2 4 2 3 2 2 3 3 4" xfId="31310" xr:uid="{841C88DB-0476-4A8C-9DB0-D619EB6B59D1}"/>
    <cellStyle name="Normal 2 4 2 3 2 2 3 4" xfId="9341" xr:uid="{4F113FF5-050D-47D1-A7D5-F829C93D993D}"/>
    <cellStyle name="Normal 2 4 2 3 2 2 3 5" xfId="10199" xr:uid="{2737EDE6-7A5F-4A7E-8A77-1189867726BE}"/>
    <cellStyle name="Normal 2 4 2 3 2 2 3 6" xfId="18646" xr:uid="{0F043929-DC66-492D-A6B5-306B2ED5D1D6}"/>
    <cellStyle name="Normal 2 4 2 3 2 2 3 7" xfId="27093" xr:uid="{2E9CC6B4-1495-47E6-969F-2EAD39D72DF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16974" xr:uid="{F67B25D3-FC23-4A1D-8AAF-B13322D4D665}"/>
    <cellStyle name="Normal 2 4 2 3 2 2 4 2 2 3" xfId="25421" xr:uid="{6B7124AF-FBBF-4510-8397-5393CF26B4FE}"/>
    <cellStyle name="Normal 2 4 2 3 2 2 4 2 2 4" xfId="33868" xr:uid="{EB91D122-9F83-41D5-A24E-B5EE5517DBEA}"/>
    <cellStyle name="Normal 2 4 2 3 2 2 4 2 3" xfId="12757" xr:uid="{D9B037CC-EBCB-40CC-A99F-55587BB936DE}"/>
    <cellStyle name="Normal 2 4 2 3 2 2 4 2 4" xfId="21204" xr:uid="{73932564-C0F7-4158-A5AB-484569242408}"/>
    <cellStyle name="Normal 2 4 2 3 2 2 4 2 5" xfId="29651" xr:uid="{4C75B610-065A-45AE-A98B-8044E412CC8B}"/>
    <cellStyle name="Normal 2 4 2 3 2 2 4 3" xfId="5503" xr:uid="{00000000-0005-0000-0000-0000B50E0000}"/>
    <cellStyle name="Normal 2 4 2 3 2 2 4 3 2" xfId="14829" xr:uid="{1874B249-5F6A-44A6-B1B4-FE7A4925EF3B}"/>
    <cellStyle name="Normal 2 4 2 3 2 2 4 3 3" xfId="23276" xr:uid="{524446D5-A001-41ED-957C-67637EE379FF}"/>
    <cellStyle name="Normal 2 4 2 3 2 2 4 3 4" xfId="31723" xr:uid="{23B5F20A-6E1B-4478-91EA-AD0BFAC67642}"/>
    <cellStyle name="Normal 2 4 2 3 2 2 4 4" xfId="10612" xr:uid="{4F7C8F1A-0182-40B2-B831-99AAE5C9CE6A}"/>
    <cellStyle name="Normal 2 4 2 3 2 2 4 5" xfId="19059" xr:uid="{A151DE9F-248C-4A77-8907-C95FD351A7D9}"/>
    <cellStyle name="Normal 2 4 2 3 2 2 4 6" xfId="27506" xr:uid="{FD612D13-2CB9-4C83-AB88-AA1B48815DA4}"/>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17387" xr:uid="{655E6CFF-27A3-48B9-960D-1FECCF9C84A8}"/>
    <cellStyle name="Normal 2 4 2 3 2 2 5 2 2 3" xfId="25834" xr:uid="{5566C17E-98AE-4DD2-9EA1-24F44482EC4F}"/>
    <cellStyle name="Normal 2 4 2 3 2 2 5 2 2 4" xfId="34281" xr:uid="{7A0AC5AC-C10B-408C-A000-5E4FC039F288}"/>
    <cellStyle name="Normal 2 4 2 3 2 2 5 2 3" xfId="13170" xr:uid="{6881CA3D-A371-430C-82A2-430FEC5E1FC8}"/>
    <cellStyle name="Normal 2 4 2 3 2 2 5 2 4" xfId="21617" xr:uid="{714213FE-A99B-445E-A404-76878B49BEE0}"/>
    <cellStyle name="Normal 2 4 2 3 2 2 5 2 5" xfId="30064" xr:uid="{02E5BCA7-0E57-4F05-B6C8-6B8BC07FF19D}"/>
    <cellStyle name="Normal 2 4 2 3 2 2 5 3" xfId="5916" xr:uid="{00000000-0005-0000-0000-0000B90E0000}"/>
    <cellStyle name="Normal 2 4 2 3 2 2 5 3 2" xfId="15242" xr:uid="{37CE514C-36B5-4C07-9AD2-93339659890D}"/>
    <cellStyle name="Normal 2 4 2 3 2 2 5 3 3" xfId="23689" xr:uid="{4D088A16-AAF3-4D67-BC2E-E3759D31B26F}"/>
    <cellStyle name="Normal 2 4 2 3 2 2 5 3 4" xfId="32136" xr:uid="{6F5BE6E9-30BA-46C6-AFC8-3D84EEAEC15C}"/>
    <cellStyle name="Normal 2 4 2 3 2 2 5 4" xfId="11025" xr:uid="{16DC7F12-D46F-41A7-8E79-434F47FA28C8}"/>
    <cellStyle name="Normal 2 4 2 3 2 2 5 5" xfId="19472" xr:uid="{E8B96336-BAAA-43B1-9AD6-E917DD646B2A}"/>
    <cellStyle name="Normal 2 4 2 3 2 2 5 6" xfId="27919" xr:uid="{7522F3C2-8135-48B8-B81C-92BB9CF41D55}"/>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17800" xr:uid="{80C2F208-C34E-4B4B-B6CB-7883ED32AC34}"/>
    <cellStyle name="Normal 2 4 2 3 2 2 6 2 2 3" xfId="26247" xr:uid="{8F40BA47-A5A3-4EA1-866E-1F119ABCCE5D}"/>
    <cellStyle name="Normal 2 4 2 3 2 2 6 2 2 4" xfId="34694" xr:uid="{004F4ABA-B8D5-4A0C-87CC-F89A0255B3F6}"/>
    <cellStyle name="Normal 2 4 2 3 2 2 6 2 3" xfId="13583" xr:uid="{E9BB7B3C-637D-43B0-9272-8F69D589E0BE}"/>
    <cellStyle name="Normal 2 4 2 3 2 2 6 2 4" xfId="22030" xr:uid="{1B2665B9-4535-4956-A09E-3A0C6CA0B335}"/>
    <cellStyle name="Normal 2 4 2 3 2 2 6 2 5" xfId="30477" xr:uid="{2489C03B-0869-496F-9D15-4D0A500FAE26}"/>
    <cellStyle name="Normal 2 4 2 3 2 2 6 3" xfId="6329" xr:uid="{00000000-0005-0000-0000-0000BD0E0000}"/>
    <cellStyle name="Normal 2 4 2 3 2 2 6 3 2" xfId="15655" xr:uid="{34CA1A2F-43E4-4522-B7E1-E167A5C1BD37}"/>
    <cellStyle name="Normal 2 4 2 3 2 2 6 3 3" xfId="24102" xr:uid="{80E09704-DD43-4B4A-B10D-075C446FE49A}"/>
    <cellStyle name="Normal 2 4 2 3 2 2 6 3 4" xfId="32549" xr:uid="{00770367-0318-4156-9CDF-FB4F15FEBF14}"/>
    <cellStyle name="Normal 2 4 2 3 2 2 6 4" xfId="11438" xr:uid="{84E5FDFE-9885-451D-A982-2A2FA21E2C48}"/>
    <cellStyle name="Normal 2 4 2 3 2 2 6 5" xfId="19885" xr:uid="{A0C259FE-1BF3-46B8-8C7D-34CB82E547AC}"/>
    <cellStyle name="Normal 2 4 2 3 2 2 6 6" xfId="28332" xr:uid="{642459ED-C6E7-47B2-8368-CBB332B252BD}"/>
    <cellStyle name="Normal 2 4 2 3 2 2 7" xfId="2459" xr:uid="{00000000-0005-0000-0000-0000BE0E0000}"/>
    <cellStyle name="Normal 2 4 2 3 2 2 7 2" xfId="6742" xr:uid="{00000000-0005-0000-0000-0000BF0E0000}"/>
    <cellStyle name="Normal 2 4 2 3 2 2 7 2 2" xfId="16068" xr:uid="{49B71FC4-7450-49FA-B72A-EEFE9D830527}"/>
    <cellStyle name="Normal 2 4 2 3 2 2 7 2 3" xfId="24515" xr:uid="{95F30D36-567E-4204-9E42-486D315AA542}"/>
    <cellStyle name="Normal 2 4 2 3 2 2 7 2 4" xfId="32962" xr:uid="{86C83762-C73D-4C4E-9A6E-A87A8109E0AF}"/>
    <cellStyle name="Normal 2 4 2 3 2 2 7 3" xfId="11851" xr:uid="{944D6804-8566-4796-AE02-8CCEBF98CEF7}"/>
    <cellStyle name="Normal 2 4 2 3 2 2 7 4" xfId="20298" xr:uid="{157BE52C-C09A-4C5B-8296-F3A212668511}"/>
    <cellStyle name="Normal 2 4 2 3 2 2 7 5" xfId="28745" xr:uid="{10DF492D-54A6-43FC-8437-AE4C934AE10F}"/>
    <cellStyle name="Normal 2 4 2 3 2 2 8" xfId="4676" xr:uid="{00000000-0005-0000-0000-0000C00E0000}"/>
    <cellStyle name="Normal 2 4 2 3 2 2 8 2" xfId="14002" xr:uid="{55B9F6D3-9E05-4E2D-B088-25DB730E194E}"/>
    <cellStyle name="Normal 2 4 2 3 2 2 8 3" xfId="22449" xr:uid="{D3D6237A-8A78-42F3-8F5E-D6F4D1E15DE8}"/>
    <cellStyle name="Normal 2 4 2 3 2 2 8 4" xfId="30896" xr:uid="{E87E3DCE-E4D1-4FB6-9343-6B14F58588D7}"/>
    <cellStyle name="Normal 2 4 2 3 2 2 9" xfId="8916" xr:uid="{1EF18CC7-44BB-43EB-8DB6-D193CEF128C1}"/>
    <cellStyle name="Normal 2 4 2 3 2 3" xfId="285" xr:uid="{00000000-0005-0000-0000-0000C10E0000}"/>
    <cellStyle name="Normal 2 4 2 3 2 3 10" xfId="18234" xr:uid="{AB2E59B9-E2F4-49B5-AFC5-3E2A8D74FE47}"/>
    <cellStyle name="Normal 2 4 2 3 2 3 11" xfId="26681" xr:uid="{4FF2E657-257D-4B44-B7A8-BD32D82E3DF5}"/>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16563" xr:uid="{954747B1-0BE9-4F9D-93CB-BC8867B6DEA9}"/>
    <cellStyle name="Normal 2 4 2 3 2 3 2 2 2 3" xfId="25010" xr:uid="{DE8D9D52-5195-4CF6-8159-6E40A9AC1A63}"/>
    <cellStyle name="Normal 2 4 2 3 2 3 2 2 2 4" xfId="33457" xr:uid="{72A4A7C9-D99E-483C-B815-74262CC8FCE4}"/>
    <cellStyle name="Normal 2 4 2 3 2 3 2 2 3" xfId="12346" xr:uid="{12847895-9D65-4C04-B31C-7765CD965EB9}"/>
    <cellStyle name="Normal 2 4 2 3 2 3 2 2 4" xfId="20793" xr:uid="{699EC87D-7D55-416A-82C5-8E54B8F292AE}"/>
    <cellStyle name="Normal 2 4 2 3 2 3 2 2 5" xfId="29240" xr:uid="{D510126C-E69B-4B69-9370-371D07376864}"/>
    <cellStyle name="Normal 2 4 2 3 2 3 2 3" xfId="5092" xr:uid="{00000000-0005-0000-0000-0000C50E0000}"/>
    <cellStyle name="Normal 2 4 2 3 2 3 2 3 2" xfId="14418" xr:uid="{A682D171-5CA2-4EAA-8BAA-C4D1E436FF12}"/>
    <cellStyle name="Normal 2 4 2 3 2 3 2 3 3" xfId="22865" xr:uid="{ABB1F7CB-CBB6-4869-932C-573D78ECC64A}"/>
    <cellStyle name="Normal 2 4 2 3 2 3 2 3 4" xfId="31312" xr:uid="{E3638F00-AF15-4E44-9F5E-00FA76D4BE79}"/>
    <cellStyle name="Normal 2 4 2 3 2 3 2 4" xfId="9445" xr:uid="{67F9E33C-8554-469D-8D7A-1147F632F3B0}"/>
    <cellStyle name="Normal 2 4 2 3 2 3 2 5" xfId="10201" xr:uid="{8167A935-5C9C-4767-AF5C-F2317D3C111A}"/>
    <cellStyle name="Normal 2 4 2 3 2 3 2 6" xfId="18648" xr:uid="{909CBDAC-0151-4F50-8D06-3AE2154A1502}"/>
    <cellStyle name="Normal 2 4 2 3 2 3 2 7" xfId="27095" xr:uid="{5186565F-FD75-4D3B-88AD-995F978A86FB}"/>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16976" xr:uid="{E136CFB2-BF2C-4793-A661-C0C56BCAE19E}"/>
    <cellStyle name="Normal 2 4 2 3 2 3 3 2 2 3" xfId="25423" xr:uid="{B22174AD-1725-4023-B9E2-02BA382F4E0A}"/>
    <cellStyle name="Normal 2 4 2 3 2 3 3 2 2 4" xfId="33870" xr:uid="{5C9C8ACC-680D-4894-80DB-59358403D6F8}"/>
    <cellStyle name="Normal 2 4 2 3 2 3 3 2 3" xfId="12759" xr:uid="{5AE5672E-159B-431D-8950-B3F7D789F36A}"/>
    <cellStyle name="Normal 2 4 2 3 2 3 3 2 4" xfId="21206" xr:uid="{ED80DAE4-8E19-42A7-BDF3-C116DD403C17}"/>
    <cellStyle name="Normal 2 4 2 3 2 3 3 2 5" xfId="29653" xr:uid="{A3C16492-9077-4021-9750-E7E8028CBCAB}"/>
    <cellStyle name="Normal 2 4 2 3 2 3 3 3" xfId="5505" xr:uid="{00000000-0005-0000-0000-0000C90E0000}"/>
    <cellStyle name="Normal 2 4 2 3 2 3 3 3 2" xfId="14831" xr:uid="{3220F74D-5143-4E9E-8774-66AB3A53A820}"/>
    <cellStyle name="Normal 2 4 2 3 2 3 3 3 3" xfId="23278" xr:uid="{AD5169BB-6C62-4C01-B81F-0D5FF5990459}"/>
    <cellStyle name="Normal 2 4 2 3 2 3 3 3 4" xfId="31725" xr:uid="{9C48A2F7-A499-4F4B-AFCC-A086EE1C66D7}"/>
    <cellStyle name="Normal 2 4 2 3 2 3 3 4" xfId="10614" xr:uid="{D7C955DE-372B-4688-BAF2-7212D7BD03E6}"/>
    <cellStyle name="Normal 2 4 2 3 2 3 3 5" xfId="19061" xr:uid="{74630A63-73F1-449F-B21B-D8FA19A483E7}"/>
    <cellStyle name="Normal 2 4 2 3 2 3 3 6" xfId="27508" xr:uid="{9077BD3E-B74C-48F3-8613-EFE5181EDB3C}"/>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17389" xr:uid="{1A786FC0-50F3-474D-819D-040E02CF12A8}"/>
    <cellStyle name="Normal 2 4 2 3 2 3 4 2 2 3" xfId="25836" xr:uid="{37D5885C-CD68-4E35-9BE5-3D93AA5C6883}"/>
    <cellStyle name="Normal 2 4 2 3 2 3 4 2 2 4" xfId="34283" xr:uid="{FECC9236-9E0E-4127-9388-9736043F9962}"/>
    <cellStyle name="Normal 2 4 2 3 2 3 4 2 3" xfId="13172" xr:uid="{6CADDCA8-A3C7-4DDD-8D6E-A710D22E3559}"/>
    <cellStyle name="Normal 2 4 2 3 2 3 4 2 4" xfId="21619" xr:uid="{3C3567A0-2CBA-4B60-8382-5E02FAC3F58B}"/>
    <cellStyle name="Normal 2 4 2 3 2 3 4 2 5" xfId="30066" xr:uid="{4C267D93-D4D6-4852-9E27-C2126D180D94}"/>
    <cellStyle name="Normal 2 4 2 3 2 3 4 3" xfId="5918" xr:uid="{00000000-0005-0000-0000-0000CD0E0000}"/>
    <cellStyle name="Normal 2 4 2 3 2 3 4 3 2" xfId="15244" xr:uid="{C20392D5-91C0-43B4-B5DE-434F7156D51D}"/>
    <cellStyle name="Normal 2 4 2 3 2 3 4 3 3" xfId="23691" xr:uid="{D1DBDBBE-0ADD-4922-B1D8-38F8EB0AA6CC}"/>
    <cellStyle name="Normal 2 4 2 3 2 3 4 3 4" xfId="32138" xr:uid="{5F414680-D959-49CA-BAAD-FB1EEBEB7EAD}"/>
    <cellStyle name="Normal 2 4 2 3 2 3 4 4" xfId="11027" xr:uid="{11336EEF-7808-4955-9488-23BF7587ED42}"/>
    <cellStyle name="Normal 2 4 2 3 2 3 4 5" xfId="19474" xr:uid="{28402555-0508-4BFD-B1B4-B17E4CBF8B86}"/>
    <cellStyle name="Normal 2 4 2 3 2 3 4 6" xfId="27921" xr:uid="{E0840BE0-63E0-46AA-BD3C-91425CE7226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17802" xr:uid="{0379195C-A01C-45B3-AB9B-90C5F021B3A4}"/>
    <cellStyle name="Normal 2 4 2 3 2 3 5 2 2 3" xfId="26249" xr:uid="{3D01515D-3D32-4B87-B0A5-F920107599E1}"/>
    <cellStyle name="Normal 2 4 2 3 2 3 5 2 2 4" xfId="34696" xr:uid="{A697A9F5-E935-4E93-9882-BBCF4A3940E6}"/>
    <cellStyle name="Normal 2 4 2 3 2 3 5 2 3" xfId="13585" xr:uid="{45C2F26F-DF68-42E0-922D-3BB6729DFE1E}"/>
    <cellStyle name="Normal 2 4 2 3 2 3 5 2 4" xfId="22032" xr:uid="{E05CC68F-5A19-48F4-9575-AB4A98BC5159}"/>
    <cellStyle name="Normal 2 4 2 3 2 3 5 2 5" xfId="30479" xr:uid="{4AEFF2EE-A4FA-45FB-B323-BC3CCF3806A6}"/>
    <cellStyle name="Normal 2 4 2 3 2 3 5 3" xfId="6331" xr:uid="{00000000-0005-0000-0000-0000D10E0000}"/>
    <cellStyle name="Normal 2 4 2 3 2 3 5 3 2" xfId="15657" xr:uid="{97CD36E9-87DA-486B-A700-7DA6BD15D97E}"/>
    <cellStyle name="Normal 2 4 2 3 2 3 5 3 3" xfId="24104" xr:uid="{5B1667E5-82FB-407C-8048-BD66AF7A3174}"/>
    <cellStyle name="Normal 2 4 2 3 2 3 5 3 4" xfId="32551" xr:uid="{C2E9903A-71F7-43D0-8AD4-A967AB38BED4}"/>
    <cellStyle name="Normal 2 4 2 3 2 3 5 4" xfId="11440" xr:uid="{1F756BA3-C33D-4F98-B933-5108AA5022FE}"/>
    <cellStyle name="Normal 2 4 2 3 2 3 5 5" xfId="19887" xr:uid="{70A3EAEF-B2C6-4F0C-93D8-016F1F34EE1B}"/>
    <cellStyle name="Normal 2 4 2 3 2 3 5 6" xfId="28334" xr:uid="{E013C427-5B8B-4D53-82B8-7B355CF8EC10}"/>
    <cellStyle name="Normal 2 4 2 3 2 3 6" xfId="2461" xr:uid="{00000000-0005-0000-0000-0000D20E0000}"/>
    <cellStyle name="Normal 2 4 2 3 2 3 6 2" xfId="6744" xr:uid="{00000000-0005-0000-0000-0000D30E0000}"/>
    <cellStyle name="Normal 2 4 2 3 2 3 6 2 2" xfId="16070" xr:uid="{DAB1FE4E-D239-4B99-8D02-A223D8E2A144}"/>
    <cellStyle name="Normal 2 4 2 3 2 3 6 2 3" xfId="24517" xr:uid="{58934549-A716-4CC3-B594-B73D5EE75C9D}"/>
    <cellStyle name="Normal 2 4 2 3 2 3 6 2 4" xfId="32964" xr:uid="{2B92F54E-EC52-4CBD-B774-0264D21F2BD4}"/>
    <cellStyle name="Normal 2 4 2 3 2 3 6 3" xfId="11853" xr:uid="{95059E81-CE8D-4E4B-A53A-48F99FA52072}"/>
    <cellStyle name="Normal 2 4 2 3 2 3 6 4" xfId="20300" xr:uid="{486507B7-875A-4051-AAFD-4EDDE619EB08}"/>
    <cellStyle name="Normal 2 4 2 3 2 3 6 5" xfId="28747" xr:uid="{C059CC35-D3F7-4F53-80D8-84CC45843385}"/>
    <cellStyle name="Normal 2 4 2 3 2 3 7" xfId="4678" xr:uid="{00000000-0005-0000-0000-0000D40E0000}"/>
    <cellStyle name="Normal 2 4 2 3 2 3 7 2" xfId="14004" xr:uid="{D3EDD54A-FBE0-4A7B-9542-2301D70E1169}"/>
    <cellStyle name="Normal 2 4 2 3 2 3 7 3" xfId="22451" xr:uid="{3BB2E709-7FF1-4863-81F5-240A09AFF909}"/>
    <cellStyle name="Normal 2 4 2 3 2 3 7 4" xfId="30898" xr:uid="{5E729EAD-35DC-45BB-A098-DB12A85F69D1}"/>
    <cellStyle name="Normal 2 4 2 3 2 3 8" xfId="9020" xr:uid="{5718F785-8E2C-4B45-91D1-4597173D90A6}"/>
    <cellStyle name="Normal 2 4 2 3 2 3 9" xfId="9787" xr:uid="{01C6E373-96CC-4CB1-9CF3-89DAE989F557}"/>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16560" xr:uid="{50E315B4-EF62-4ED2-B725-58F857BAD01E}"/>
    <cellStyle name="Normal 2 4 2 3 2 4 2 2 3" xfId="25007" xr:uid="{C24CCC2B-7C6B-4CC9-8B69-2377E2C948EE}"/>
    <cellStyle name="Normal 2 4 2 3 2 4 2 2 4" xfId="33454" xr:uid="{91A2F916-DAEA-49A3-A791-B9E4930CD5A0}"/>
    <cellStyle name="Normal 2 4 2 3 2 4 2 3" xfId="12343" xr:uid="{BD919206-C8C0-471C-9A41-CC861E8CF1CE}"/>
    <cellStyle name="Normal 2 4 2 3 2 4 2 4" xfId="20790" xr:uid="{DC031343-6C39-45CE-80A8-41FD63748C30}"/>
    <cellStyle name="Normal 2 4 2 3 2 4 2 5" xfId="29237" xr:uid="{3254DE84-94A9-446B-A6ED-1B69B9AE4F09}"/>
    <cellStyle name="Normal 2 4 2 3 2 4 3" xfId="5089" xr:uid="{00000000-0005-0000-0000-0000D80E0000}"/>
    <cellStyle name="Normal 2 4 2 3 2 4 3 2" xfId="14415" xr:uid="{D63BFD77-E283-45CB-8733-3E5E4001370F}"/>
    <cellStyle name="Normal 2 4 2 3 2 4 3 3" xfId="22862" xr:uid="{66E8D9A8-C7F4-4384-964E-82B7FCD8716E}"/>
    <cellStyle name="Normal 2 4 2 3 2 4 3 4" xfId="31309" xr:uid="{E1EC63CC-5C22-4B42-86B0-986592887B19}"/>
    <cellStyle name="Normal 2 4 2 3 2 4 4" xfId="9238" xr:uid="{BC6E5A3D-C256-46E9-A109-D643C24AA206}"/>
    <cellStyle name="Normal 2 4 2 3 2 4 5" xfId="10198" xr:uid="{58140ABD-6FB0-47EB-9BEC-2A4E93C8C383}"/>
    <cellStyle name="Normal 2 4 2 3 2 4 6" xfId="18645" xr:uid="{6480A136-AD25-4C21-A662-C3DCBABC3287}"/>
    <cellStyle name="Normal 2 4 2 3 2 4 7" xfId="27092" xr:uid="{CBE4B0EA-1B7E-4B89-A4D2-0A046E5EE17A}"/>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16973" xr:uid="{3C189EA4-BC2B-43C9-934F-2E46398DD44B}"/>
    <cellStyle name="Normal 2 4 2 3 2 5 2 2 3" xfId="25420" xr:uid="{C3EC0BE7-1F9C-4851-A408-96950C48ACAB}"/>
    <cellStyle name="Normal 2 4 2 3 2 5 2 2 4" xfId="33867" xr:uid="{C66F719A-931E-4162-92E5-12A4D423DA8E}"/>
    <cellStyle name="Normal 2 4 2 3 2 5 2 3" xfId="12756" xr:uid="{497F1638-2515-49FC-8D44-2D95AC6FB3FF}"/>
    <cellStyle name="Normal 2 4 2 3 2 5 2 4" xfId="21203" xr:uid="{BE09E7D3-1B99-44D9-896F-65315E4C990F}"/>
    <cellStyle name="Normal 2 4 2 3 2 5 2 5" xfId="29650" xr:uid="{800A2DEC-13B8-4EDC-BB60-800C428F833D}"/>
    <cellStyle name="Normal 2 4 2 3 2 5 3" xfId="5502" xr:uid="{00000000-0005-0000-0000-0000DC0E0000}"/>
    <cellStyle name="Normal 2 4 2 3 2 5 3 2" xfId="14828" xr:uid="{BAF9FEF0-17FC-43EB-9739-18E00D6C84F3}"/>
    <cellStyle name="Normal 2 4 2 3 2 5 3 3" xfId="23275" xr:uid="{DE478E2B-C7E0-4243-BDF7-5F5F4356F28F}"/>
    <cellStyle name="Normal 2 4 2 3 2 5 3 4" xfId="31722" xr:uid="{F7E664FC-381D-4399-92DA-244D897752A1}"/>
    <cellStyle name="Normal 2 4 2 3 2 5 4" xfId="10611" xr:uid="{49B90F0B-FD28-40BC-BE93-DD3E86C6174D}"/>
    <cellStyle name="Normal 2 4 2 3 2 5 5" xfId="19058" xr:uid="{C7B279BD-200B-4C54-A34E-6814936764BF}"/>
    <cellStyle name="Normal 2 4 2 3 2 5 6" xfId="27505" xr:uid="{005DD636-379C-4497-B73D-82A4F3C970CC}"/>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17386" xr:uid="{8BC23FD1-CF4B-4060-A927-62FEB7D52DCA}"/>
    <cellStyle name="Normal 2 4 2 3 2 6 2 2 3" xfId="25833" xr:uid="{AA09BC63-3AB9-4369-AB11-2B78E08A1844}"/>
    <cellStyle name="Normal 2 4 2 3 2 6 2 2 4" xfId="34280" xr:uid="{91994971-792F-4765-B812-BEBB2B767162}"/>
    <cellStyle name="Normal 2 4 2 3 2 6 2 3" xfId="13169" xr:uid="{59582888-8FB7-4EB8-B6F8-2F38C8282657}"/>
    <cellStyle name="Normal 2 4 2 3 2 6 2 4" xfId="21616" xr:uid="{30CE71F8-ADA2-4B3E-838F-664D45EA9CD1}"/>
    <cellStyle name="Normal 2 4 2 3 2 6 2 5" xfId="30063" xr:uid="{2DD600EC-E998-45E7-8EC6-C9CBC1BF0074}"/>
    <cellStyle name="Normal 2 4 2 3 2 6 3" xfId="5915" xr:uid="{00000000-0005-0000-0000-0000E00E0000}"/>
    <cellStyle name="Normal 2 4 2 3 2 6 3 2" xfId="15241" xr:uid="{902737D0-F3FA-487F-A7D1-B1EA75B799D5}"/>
    <cellStyle name="Normal 2 4 2 3 2 6 3 3" xfId="23688" xr:uid="{70AA82C4-12EE-4FE5-8422-4C32F7D23D99}"/>
    <cellStyle name="Normal 2 4 2 3 2 6 3 4" xfId="32135" xr:uid="{9669EC34-B74F-46F8-9369-32F150BABC85}"/>
    <cellStyle name="Normal 2 4 2 3 2 6 4" xfId="11024" xr:uid="{C0282FF2-1DC5-48A5-BB14-28E4F4E2463B}"/>
    <cellStyle name="Normal 2 4 2 3 2 6 5" xfId="19471" xr:uid="{EB46D9DC-0CC8-4E31-9A1E-FF18185BE109}"/>
    <cellStyle name="Normal 2 4 2 3 2 6 6" xfId="27918" xr:uid="{D8053781-EDCA-43E6-868C-694925037D74}"/>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17799" xr:uid="{C9E715B3-6518-4D0B-8A2C-7A3F2CA83FAE}"/>
    <cellStyle name="Normal 2 4 2 3 2 7 2 2 3" xfId="26246" xr:uid="{FEDDE7B5-84E8-4C2B-88AA-D3E21FBD6A14}"/>
    <cellStyle name="Normal 2 4 2 3 2 7 2 2 4" xfId="34693" xr:uid="{4B768CD6-D4AA-40CB-BD40-75C381D25839}"/>
    <cellStyle name="Normal 2 4 2 3 2 7 2 3" xfId="13582" xr:uid="{AFFD27C3-EC20-42FB-8CB1-1A8F73DC7B92}"/>
    <cellStyle name="Normal 2 4 2 3 2 7 2 4" xfId="22029" xr:uid="{B87E3B5E-A012-4A13-8974-CFD0EA352FF0}"/>
    <cellStyle name="Normal 2 4 2 3 2 7 2 5" xfId="30476" xr:uid="{75D9E00D-53FF-4A32-BF80-5DF3835DD92A}"/>
    <cellStyle name="Normal 2 4 2 3 2 7 3" xfId="6328" xr:uid="{00000000-0005-0000-0000-0000E40E0000}"/>
    <cellStyle name="Normal 2 4 2 3 2 7 3 2" xfId="15654" xr:uid="{AD2991D4-6899-426F-82D0-699A7BB26D24}"/>
    <cellStyle name="Normal 2 4 2 3 2 7 3 3" xfId="24101" xr:uid="{564B83C4-A0CD-45A3-B0DB-2DFD4226B3BF}"/>
    <cellStyle name="Normal 2 4 2 3 2 7 3 4" xfId="32548" xr:uid="{98513134-8067-4E34-B1B8-583565E20B27}"/>
    <cellStyle name="Normal 2 4 2 3 2 7 4" xfId="11437" xr:uid="{70BE600B-BDBB-4FA2-B500-784D0AF80291}"/>
    <cellStyle name="Normal 2 4 2 3 2 7 5" xfId="19884" xr:uid="{90999994-3983-4ADC-9A34-BE5D32D59661}"/>
    <cellStyle name="Normal 2 4 2 3 2 7 6" xfId="28331" xr:uid="{15144713-FACD-4623-AAE2-4ADA76875086}"/>
    <cellStyle name="Normal 2 4 2 3 2 8" xfId="2458" xr:uid="{00000000-0005-0000-0000-0000E50E0000}"/>
    <cellStyle name="Normal 2 4 2 3 2 8 2" xfId="6741" xr:uid="{00000000-0005-0000-0000-0000E60E0000}"/>
    <cellStyle name="Normal 2 4 2 3 2 8 2 2" xfId="16067" xr:uid="{E3154E99-460E-4F9D-AF42-DC74C125E002}"/>
    <cellStyle name="Normal 2 4 2 3 2 8 2 3" xfId="24514" xr:uid="{DD79C766-1ADE-42CA-A137-5DF529EF9A65}"/>
    <cellStyle name="Normal 2 4 2 3 2 8 2 4" xfId="32961" xr:uid="{2BC14C94-C8F2-4112-86CC-DF059A0A6136}"/>
    <cellStyle name="Normal 2 4 2 3 2 8 3" xfId="11850" xr:uid="{E13A3C2C-23DD-453A-9FBC-AE608DE2EDE9}"/>
    <cellStyle name="Normal 2 4 2 3 2 8 4" xfId="20297" xr:uid="{D155AC69-2907-4890-94BD-7B0EC523C646}"/>
    <cellStyle name="Normal 2 4 2 3 2 8 5" xfId="28744" xr:uid="{5FBFCD81-EEC8-4893-8C98-52AFF95E5474}"/>
    <cellStyle name="Normal 2 4 2 3 2 9" xfId="4675" xr:uid="{00000000-0005-0000-0000-0000E70E0000}"/>
    <cellStyle name="Normal 2 4 2 3 2 9 2" xfId="14001" xr:uid="{C5DECACE-01B3-44E3-B678-8E66E3F27221}"/>
    <cellStyle name="Normal 2 4 2 3 2 9 3" xfId="22448" xr:uid="{AA94F114-FD99-466A-866B-BA4083BA90C5}"/>
    <cellStyle name="Normal 2 4 2 3 2 9 4" xfId="30895" xr:uid="{DF803FF0-DD9D-4E2E-9DDE-6DF43A5C5A45}"/>
    <cellStyle name="Normal 2 4 2 3 3" xfId="286" xr:uid="{00000000-0005-0000-0000-0000E80E0000}"/>
    <cellStyle name="Normal 2 4 2 3 3 10" xfId="9788" xr:uid="{8994AC19-71B3-49A3-BA2D-2C512AF61BA4}"/>
    <cellStyle name="Normal 2 4 2 3 3 11" xfId="18235" xr:uid="{4174D4FB-C2F0-415A-8717-2B36D6968000}"/>
    <cellStyle name="Normal 2 4 2 3 3 12" xfId="26682" xr:uid="{BB767BF0-989E-4ACB-BBA8-62FBE5C3C79F}"/>
    <cellStyle name="Normal 2 4 2 3 3 2" xfId="287" xr:uid="{00000000-0005-0000-0000-0000E90E0000}"/>
    <cellStyle name="Normal 2 4 2 3 3 2 10" xfId="18236" xr:uid="{BA2E397D-AD4A-4D14-97CF-92DF4187F0E5}"/>
    <cellStyle name="Normal 2 4 2 3 3 2 11" xfId="26683" xr:uid="{64E672CF-3C76-4D57-B95C-06BD37C483E5}"/>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16565" xr:uid="{30C72C73-9FE1-41F6-95DE-0E15F8A7E40A}"/>
    <cellStyle name="Normal 2 4 2 3 3 2 2 2 2 3" xfId="25012" xr:uid="{2458547F-CE52-4502-BDB3-4E577CF9F8BD}"/>
    <cellStyle name="Normal 2 4 2 3 3 2 2 2 2 4" xfId="33459" xr:uid="{B1E5241E-A013-4B00-9A3F-DC12D1A2F3ED}"/>
    <cellStyle name="Normal 2 4 2 3 3 2 2 2 3" xfId="12348" xr:uid="{03630534-6317-4A6E-B3FF-551B93B9290F}"/>
    <cellStyle name="Normal 2 4 2 3 3 2 2 2 4" xfId="20795" xr:uid="{4AC81370-6114-4B33-A1BF-56063B2A1C10}"/>
    <cellStyle name="Normal 2 4 2 3 3 2 2 2 5" xfId="29242" xr:uid="{75DC6440-60E6-446D-96A3-31A6656EC5A5}"/>
    <cellStyle name="Normal 2 4 2 3 3 2 2 3" xfId="5094" xr:uid="{00000000-0005-0000-0000-0000ED0E0000}"/>
    <cellStyle name="Normal 2 4 2 3 3 2 2 3 2" xfId="14420" xr:uid="{EF8A01DE-D2BB-459A-8D27-F7CDF9990992}"/>
    <cellStyle name="Normal 2 4 2 3 3 2 2 3 3" xfId="22867" xr:uid="{9B80DD3F-3D10-475F-8BF1-CD0604ED3ABB}"/>
    <cellStyle name="Normal 2 4 2 3 3 2 2 3 4" xfId="31314" xr:uid="{686DC869-7F2B-4F04-9A39-8E0774482514}"/>
    <cellStyle name="Normal 2 4 2 3 3 2 2 4" xfId="9523" xr:uid="{49BCB42B-3FEB-4D87-8E20-52FE775F87DD}"/>
    <cellStyle name="Normal 2 4 2 3 3 2 2 5" xfId="10203" xr:uid="{3A13F1B6-6F37-4FBC-BFD5-6E262B584802}"/>
    <cellStyle name="Normal 2 4 2 3 3 2 2 6" xfId="18650" xr:uid="{361B5378-4055-421E-BABE-3458BA9F33DB}"/>
    <cellStyle name="Normal 2 4 2 3 3 2 2 7" xfId="27097" xr:uid="{AFF14E9F-BAF5-4417-A874-2E78FB0CA165}"/>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16978" xr:uid="{89E53827-2D62-45FD-A943-B96D5BC97A99}"/>
    <cellStyle name="Normal 2 4 2 3 3 2 3 2 2 3" xfId="25425" xr:uid="{D875D541-B6D6-42C0-8424-8B241CE66A2D}"/>
    <cellStyle name="Normal 2 4 2 3 3 2 3 2 2 4" xfId="33872" xr:uid="{1AF6B919-5FBB-4B56-9570-1B93AB1B8607}"/>
    <cellStyle name="Normal 2 4 2 3 3 2 3 2 3" xfId="12761" xr:uid="{E070B34C-DDE0-4E26-92D2-0064DA5E1F45}"/>
    <cellStyle name="Normal 2 4 2 3 3 2 3 2 4" xfId="21208" xr:uid="{ABF472E9-1278-441C-87CE-50ED89D3B071}"/>
    <cellStyle name="Normal 2 4 2 3 3 2 3 2 5" xfId="29655" xr:uid="{54D39E1D-50C0-4F4A-8A9A-181AAD1A2C20}"/>
    <cellStyle name="Normal 2 4 2 3 3 2 3 3" xfId="5507" xr:uid="{00000000-0005-0000-0000-0000F10E0000}"/>
    <cellStyle name="Normal 2 4 2 3 3 2 3 3 2" xfId="14833" xr:uid="{F098204E-5683-4533-9295-BC521755EFC6}"/>
    <cellStyle name="Normal 2 4 2 3 3 2 3 3 3" xfId="23280" xr:uid="{F1A63505-BA9A-4B2F-9B6D-411846E6D725}"/>
    <cellStyle name="Normal 2 4 2 3 3 2 3 3 4" xfId="31727" xr:uid="{BB376F6A-C974-42C8-8D2E-2D7FF18D12BB}"/>
    <cellStyle name="Normal 2 4 2 3 3 2 3 4" xfId="10616" xr:uid="{1463E4F0-313C-4E53-A7A2-32565AC7A1C7}"/>
    <cellStyle name="Normal 2 4 2 3 3 2 3 5" xfId="19063" xr:uid="{AD48404F-DE39-45C3-AE42-F1E6F1B21ECD}"/>
    <cellStyle name="Normal 2 4 2 3 3 2 3 6" xfId="27510" xr:uid="{B76209B9-0787-4058-98F8-713299266C0B}"/>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17391" xr:uid="{2A629737-DACD-4B98-956B-B6F0EF40159F}"/>
    <cellStyle name="Normal 2 4 2 3 3 2 4 2 2 3" xfId="25838" xr:uid="{D7CA4D89-0C41-4FBB-AAF4-EA509B47BA0F}"/>
    <cellStyle name="Normal 2 4 2 3 3 2 4 2 2 4" xfId="34285" xr:uid="{4784843D-298B-4D11-8166-550582A43679}"/>
    <cellStyle name="Normal 2 4 2 3 3 2 4 2 3" xfId="13174" xr:uid="{D92939AF-EA53-45EC-9D43-EB26D56066AA}"/>
    <cellStyle name="Normal 2 4 2 3 3 2 4 2 4" xfId="21621" xr:uid="{DBFB8A78-626E-4F7D-BDC9-4520CC9C8155}"/>
    <cellStyle name="Normal 2 4 2 3 3 2 4 2 5" xfId="30068" xr:uid="{2164C0C8-3DE8-44CA-9562-E464904F6920}"/>
    <cellStyle name="Normal 2 4 2 3 3 2 4 3" xfId="5920" xr:uid="{00000000-0005-0000-0000-0000F50E0000}"/>
    <cellStyle name="Normal 2 4 2 3 3 2 4 3 2" xfId="15246" xr:uid="{4348845D-9F71-4C8A-A1E2-FAF703A8E522}"/>
    <cellStyle name="Normal 2 4 2 3 3 2 4 3 3" xfId="23693" xr:uid="{C65C578D-404A-4ABB-B607-283F82263B34}"/>
    <cellStyle name="Normal 2 4 2 3 3 2 4 3 4" xfId="32140" xr:uid="{5634DCF9-D67E-49DB-BB05-78FA3686EAAB}"/>
    <cellStyle name="Normal 2 4 2 3 3 2 4 4" xfId="11029" xr:uid="{3BB5ABD8-BF6F-4B99-8482-1D8F8D6BA797}"/>
    <cellStyle name="Normal 2 4 2 3 3 2 4 5" xfId="19476" xr:uid="{3A92A6A2-E410-4025-8D67-DFD3E5C6972F}"/>
    <cellStyle name="Normal 2 4 2 3 3 2 4 6" xfId="27923" xr:uid="{5DF6D328-6D62-45A5-9249-95F0D74D354F}"/>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17804" xr:uid="{03123401-5FC0-4500-BED1-0A85A317C7FE}"/>
    <cellStyle name="Normal 2 4 2 3 3 2 5 2 2 3" xfId="26251" xr:uid="{25F564AB-D5C0-4DC7-93FC-208D8E111983}"/>
    <cellStyle name="Normal 2 4 2 3 3 2 5 2 2 4" xfId="34698" xr:uid="{52DA7494-BA42-4ABE-BC81-E29B739E3561}"/>
    <cellStyle name="Normal 2 4 2 3 3 2 5 2 3" xfId="13587" xr:uid="{4308CC63-28A8-4506-B492-4C5A1C630B8A}"/>
    <cellStyle name="Normal 2 4 2 3 3 2 5 2 4" xfId="22034" xr:uid="{BC7B9B37-70EA-40D0-823A-42608E774C85}"/>
    <cellStyle name="Normal 2 4 2 3 3 2 5 2 5" xfId="30481" xr:uid="{7D120F56-2725-4ACB-BCE4-C91736F7829C}"/>
    <cellStyle name="Normal 2 4 2 3 3 2 5 3" xfId="6333" xr:uid="{00000000-0005-0000-0000-0000F90E0000}"/>
    <cellStyle name="Normal 2 4 2 3 3 2 5 3 2" xfId="15659" xr:uid="{FBC923D8-85DC-45A2-9FAD-722B07EA8407}"/>
    <cellStyle name="Normal 2 4 2 3 3 2 5 3 3" xfId="24106" xr:uid="{1886345F-B006-49A6-A709-D5741D7D0369}"/>
    <cellStyle name="Normal 2 4 2 3 3 2 5 3 4" xfId="32553" xr:uid="{9BEC121A-6E2C-4D72-B2B5-EDCD03916037}"/>
    <cellStyle name="Normal 2 4 2 3 3 2 5 4" xfId="11442" xr:uid="{89B5B688-5088-4ADE-A9CB-1731F742A1EE}"/>
    <cellStyle name="Normal 2 4 2 3 3 2 5 5" xfId="19889" xr:uid="{8A3FEA01-BD73-4450-98E4-BACCD0527B25}"/>
    <cellStyle name="Normal 2 4 2 3 3 2 5 6" xfId="28336" xr:uid="{4D690196-BDC6-42F0-8B3A-4A899DC70FB1}"/>
    <cellStyle name="Normal 2 4 2 3 3 2 6" xfId="2463" xr:uid="{00000000-0005-0000-0000-0000FA0E0000}"/>
    <cellStyle name="Normal 2 4 2 3 3 2 6 2" xfId="6746" xr:uid="{00000000-0005-0000-0000-0000FB0E0000}"/>
    <cellStyle name="Normal 2 4 2 3 3 2 6 2 2" xfId="16072" xr:uid="{AE806A9A-0895-49C0-8D76-767F4B645A11}"/>
    <cellStyle name="Normal 2 4 2 3 3 2 6 2 3" xfId="24519" xr:uid="{27A49F58-EC57-4D23-8F9B-E9E25CAE1F88}"/>
    <cellStyle name="Normal 2 4 2 3 3 2 6 2 4" xfId="32966" xr:uid="{7C831328-2ABF-4AFD-B6F6-026DE49C492E}"/>
    <cellStyle name="Normal 2 4 2 3 3 2 6 3" xfId="11855" xr:uid="{4B11958E-0B6B-4A64-9BA2-0A029B6F72A9}"/>
    <cellStyle name="Normal 2 4 2 3 3 2 6 4" xfId="20302" xr:uid="{65403433-7BB4-41D8-ADF6-35A822FB7CC4}"/>
    <cellStyle name="Normal 2 4 2 3 3 2 6 5" xfId="28749" xr:uid="{6220085D-ED52-4A76-AF72-F89431301314}"/>
    <cellStyle name="Normal 2 4 2 3 3 2 7" xfId="4680" xr:uid="{00000000-0005-0000-0000-0000FC0E0000}"/>
    <cellStyle name="Normal 2 4 2 3 3 2 7 2" xfId="14006" xr:uid="{0A533A03-B707-4F9B-9202-48C3C30B5DFA}"/>
    <cellStyle name="Normal 2 4 2 3 3 2 7 3" xfId="22453" xr:uid="{F017470E-0D4E-44A2-955D-BECC9C824C73}"/>
    <cellStyle name="Normal 2 4 2 3 3 2 7 4" xfId="30900" xr:uid="{C6401968-3A9E-45BC-85A0-D3437BB455F1}"/>
    <cellStyle name="Normal 2 4 2 3 3 2 8" xfId="9098" xr:uid="{15335B31-FFDD-479D-88EC-FAB83DC4E6EC}"/>
    <cellStyle name="Normal 2 4 2 3 3 2 9" xfId="9789" xr:uid="{7BBEF582-5B77-41EC-948C-FEB4C58F1291}"/>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16564" xr:uid="{A644C61B-93CD-40CC-8A6D-72698BC57E3F}"/>
    <cellStyle name="Normal 2 4 2 3 3 3 2 2 3" xfId="25011" xr:uid="{3786E36D-085B-48EA-8D46-3A19C173787E}"/>
    <cellStyle name="Normal 2 4 2 3 3 3 2 2 4" xfId="33458" xr:uid="{763A8CC4-5D56-49A6-82E8-BBFCBF1A1209}"/>
    <cellStyle name="Normal 2 4 2 3 3 3 2 3" xfId="12347" xr:uid="{E6150F1D-1128-4811-B055-AEDB47A253F5}"/>
    <cellStyle name="Normal 2 4 2 3 3 3 2 4" xfId="20794" xr:uid="{CFF5D946-A573-46D6-B098-F997CBB33523}"/>
    <cellStyle name="Normal 2 4 2 3 3 3 2 5" xfId="29241" xr:uid="{53AF93B0-3288-41EA-BAE9-7EC860F2DBA3}"/>
    <cellStyle name="Normal 2 4 2 3 3 3 3" xfId="5093" xr:uid="{00000000-0005-0000-0000-0000000F0000}"/>
    <cellStyle name="Normal 2 4 2 3 3 3 3 2" xfId="14419" xr:uid="{2DDA654C-67AD-4108-86C4-1BA12AA2DA7C}"/>
    <cellStyle name="Normal 2 4 2 3 3 3 3 3" xfId="22866" xr:uid="{9A4922C4-C727-43D0-A98B-52BC307E7F12}"/>
    <cellStyle name="Normal 2 4 2 3 3 3 3 4" xfId="31313" xr:uid="{2E80559E-822C-4DB6-B938-F7D3EC305A93}"/>
    <cellStyle name="Normal 2 4 2 3 3 3 4" xfId="9316" xr:uid="{C8C83D09-5A3A-4C90-8A04-9D7CD8C85B11}"/>
    <cellStyle name="Normal 2 4 2 3 3 3 5" xfId="10202" xr:uid="{76A9D269-91EC-4C3A-8F4D-70CC7ED6FACC}"/>
    <cellStyle name="Normal 2 4 2 3 3 3 6" xfId="18649" xr:uid="{207C3B42-0C5A-4218-8DE7-41227F4CCB0D}"/>
    <cellStyle name="Normal 2 4 2 3 3 3 7" xfId="27096" xr:uid="{168FE417-7287-4BBB-87AA-82F6D82D6C88}"/>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16977" xr:uid="{010215FC-8193-4D63-8303-5413380F169E}"/>
    <cellStyle name="Normal 2 4 2 3 3 4 2 2 3" xfId="25424" xr:uid="{3C15E342-51FC-44F3-BA6D-3D10FE5FC316}"/>
    <cellStyle name="Normal 2 4 2 3 3 4 2 2 4" xfId="33871" xr:uid="{EC2A785A-4D33-483F-A2B9-AD3CA9491001}"/>
    <cellStyle name="Normal 2 4 2 3 3 4 2 3" xfId="12760" xr:uid="{20E75CEB-6E0B-4FDE-8424-0B01D016303C}"/>
    <cellStyle name="Normal 2 4 2 3 3 4 2 4" xfId="21207" xr:uid="{F15B6568-CABE-42D0-AF2A-0954DCFF833E}"/>
    <cellStyle name="Normal 2 4 2 3 3 4 2 5" xfId="29654" xr:uid="{81C1BA05-F34B-4948-9A26-DF5243E28CA2}"/>
    <cellStyle name="Normal 2 4 2 3 3 4 3" xfId="5506" xr:uid="{00000000-0005-0000-0000-0000040F0000}"/>
    <cellStyle name="Normal 2 4 2 3 3 4 3 2" xfId="14832" xr:uid="{15E0626B-D006-4EA0-A341-76D665DAE07B}"/>
    <cellStyle name="Normal 2 4 2 3 3 4 3 3" xfId="23279" xr:uid="{AB8EFCDC-4BC7-4E6C-B6E9-224CF751707D}"/>
    <cellStyle name="Normal 2 4 2 3 3 4 3 4" xfId="31726" xr:uid="{97A09CB4-394A-4289-9404-FBB6F2B740AB}"/>
    <cellStyle name="Normal 2 4 2 3 3 4 4" xfId="10615" xr:uid="{FA2F822E-BCD5-475C-B70C-3CE58AB0E994}"/>
    <cellStyle name="Normal 2 4 2 3 3 4 5" xfId="19062" xr:uid="{3D88A141-FDD3-4684-9A79-1B5FCD1AEED9}"/>
    <cellStyle name="Normal 2 4 2 3 3 4 6" xfId="27509" xr:uid="{6FFBA47B-D3A6-4432-9827-76C0628215CB}"/>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17390" xr:uid="{3A6D2972-1CD6-40D6-B972-72DCA3C05308}"/>
    <cellStyle name="Normal 2 4 2 3 3 5 2 2 3" xfId="25837" xr:uid="{E39E09FE-76B7-41B6-A399-CB88EBF1670C}"/>
    <cellStyle name="Normal 2 4 2 3 3 5 2 2 4" xfId="34284" xr:uid="{EAFC3C7E-9B3D-42D1-8B61-80E95E8592A2}"/>
    <cellStyle name="Normal 2 4 2 3 3 5 2 3" xfId="13173" xr:uid="{456D2195-5B5A-413A-AFD1-104FAE1EBE43}"/>
    <cellStyle name="Normal 2 4 2 3 3 5 2 4" xfId="21620" xr:uid="{D908E662-3C0A-48FA-8767-759DC6F5C6A2}"/>
    <cellStyle name="Normal 2 4 2 3 3 5 2 5" xfId="30067" xr:uid="{76FC10F6-0BB3-47AB-867D-EA0556D2E4BA}"/>
    <cellStyle name="Normal 2 4 2 3 3 5 3" xfId="5919" xr:uid="{00000000-0005-0000-0000-0000080F0000}"/>
    <cellStyle name="Normal 2 4 2 3 3 5 3 2" xfId="15245" xr:uid="{7FBD49F5-1CDA-4BDD-BA06-C23995F0E749}"/>
    <cellStyle name="Normal 2 4 2 3 3 5 3 3" xfId="23692" xr:uid="{96E57DB9-AEDD-4DB8-915D-8C0B5B9069A3}"/>
    <cellStyle name="Normal 2 4 2 3 3 5 3 4" xfId="32139" xr:uid="{6CACE19B-1645-40FC-8212-9960041750C3}"/>
    <cellStyle name="Normal 2 4 2 3 3 5 4" xfId="11028" xr:uid="{414BAA5A-3A95-4896-9025-929873985B49}"/>
    <cellStyle name="Normal 2 4 2 3 3 5 5" xfId="19475" xr:uid="{72F35E93-5F4C-4F6B-B6F9-65E0A18F55C2}"/>
    <cellStyle name="Normal 2 4 2 3 3 5 6" xfId="27922" xr:uid="{FC126D0A-8DC4-459F-8CFD-31365C355834}"/>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17803" xr:uid="{E325A55C-B995-4997-8AC8-05E4E7736D34}"/>
    <cellStyle name="Normal 2 4 2 3 3 6 2 2 3" xfId="26250" xr:uid="{A800DE13-E67B-4637-863B-6DFB6083A8D2}"/>
    <cellStyle name="Normal 2 4 2 3 3 6 2 2 4" xfId="34697" xr:uid="{8F1B9E7C-13C2-4A0F-87F2-D16A798B20BB}"/>
    <cellStyle name="Normal 2 4 2 3 3 6 2 3" xfId="13586" xr:uid="{5980F5C9-FD5D-4ED3-AE43-09D4C2663B75}"/>
    <cellStyle name="Normal 2 4 2 3 3 6 2 4" xfId="22033" xr:uid="{C7508D87-1B29-4151-8C2C-0C837942EBBE}"/>
    <cellStyle name="Normal 2 4 2 3 3 6 2 5" xfId="30480" xr:uid="{70C6B15A-39DA-47B2-87AC-178DFC2D05F3}"/>
    <cellStyle name="Normal 2 4 2 3 3 6 3" xfId="6332" xr:uid="{00000000-0005-0000-0000-00000C0F0000}"/>
    <cellStyle name="Normal 2 4 2 3 3 6 3 2" xfId="15658" xr:uid="{3F330590-D98B-4005-AE13-67AE1B989C08}"/>
    <cellStyle name="Normal 2 4 2 3 3 6 3 3" xfId="24105" xr:uid="{31B4E999-31A5-410E-919A-F7868296DCA8}"/>
    <cellStyle name="Normal 2 4 2 3 3 6 3 4" xfId="32552" xr:uid="{7F57F83A-CF44-452A-B9DC-A23F340CDA37}"/>
    <cellStyle name="Normal 2 4 2 3 3 6 4" xfId="11441" xr:uid="{B7DF02D1-3120-4A24-AF49-BD84C53C8B6F}"/>
    <cellStyle name="Normal 2 4 2 3 3 6 5" xfId="19888" xr:uid="{6DB01E36-4C53-41F4-ACAB-D7043F4A4BA5}"/>
    <cellStyle name="Normal 2 4 2 3 3 6 6" xfId="28335" xr:uid="{5845C341-42D3-413C-9B6E-E5B5A699270D}"/>
    <cellStyle name="Normal 2 4 2 3 3 7" xfId="2462" xr:uid="{00000000-0005-0000-0000-00000D0F0000}"/>
    <cellStyle name="Normal 2 4 2 3 3 7 2" xfId="6745" xr:uid="{00000000-0005-0000-0000-00000E0F0000}"/>
    <cellStyle name="Normal 2 4 2 3 3 7 2 2" xfId="16071" xr:uid="{C205176B-F542-44ED-9180-FD72C3A46185}"/>
    <cellStyle name="Normal 2 4 2 3 3 7 2 3" xfId="24518" xr:uid="{E4AD87E0-8CC4-4861-BA99-324E265D9937}"/>
    <cellStyle name="Normal 2 4 2 3 3 7 2 4" xfId="32965" xr:uid="{F13A59F5-63FB-4352-97F9-C101EB2191A5}"/>
    <cellStyle name="Normal 2 4 2 3 3 7 3" xfId="11854" xr:uid="{2A1F1ED1-4FC6-472C-9C34-4A1440016398}"/>
    <cellStyle name="Normal 2 4 2 3 3 7 4" xfId="20301" xr:uid="{ED2F2E30-E1ED-44BA-BE23-796AFD5A65F0}"/>
    <cellStyle name="Normal 2 4 2 3 3 7 5" xfId="28748" xr:uid="{55910926-4100-4E98-AF4E-31F9A30FF489}"/>
    <cellStyle name="Normal 2 4 2 3 3 8" xfId="4679" xr:uid="{00000000-0005-0000-0000-00000F0F0000}"/>
    <cellStyle name="Normal 2 4 2 3 3 8 2" xfId="14005" xr:uid="{C0C2974D-5C8B-40FD-960E-B06414C7208F}"/>
    <cellStyle name="Normal 2 4 2 3 3 8 3" xfId="22452" xr:uid="{F01FC120-810E-478A-9C5B-D64F5D738618}"/>
    <cellStyle name="Normal 2 4 2 3 3 8 4" xfId="30899" xr:uid="{FEF94FFA-7EB3-4A30-8DD9-8C34C3C5091E}"/>
    <cellStyle name="Normal 2 4 2 3 3 9" xfId="8891" xr:uid="{D2DF60A1-A34B-4A3F-B29E-E581EFBA8360}"/>
    <cellStyle name="Normal 2 4 2 3 4" xfId="288" xr:uid="{00000000-0005-0000-0000-0000100F0000}"/>
    <cellStyle name="Normal 2 4 2 3 4 10" xfId="18237" xr:uid="{BCEA6091-A6C9-44E7-A2B3-8EC310FC0E21}"/>
    <cellStyle name="Normal 2 4 2 3 4 11" xfId="26684" xr:uid="{C8A9AD20-67F6-41B0-9CF6-F6E634999F02}"/>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16566" xr:uid="{1E37EB39-273E-4580-BADF-69C8B1679FE6}"/>
    <cellStyle name="Normal 2 4 2 3 4 2 2 2 3" xfId="25013" xr:uid="{E5A51198-621B-4F94-9C61-17677CFD8A0E}"/>
    <cellStyle name="Normal 2 4 2 3 4 2 2 2 4" xfId="33460" xr:uid="{0D124E38-AA51-42C7-9884-2BB1FE740111}"/>
    <cellStyle name="Normal 2 4 2 3 4 2 2 3" xfId="12349" xr:uid="{107E2E3C-8BEC-4B85-B3C4-C243DB26070C}"/>
    <cellStyle name="Normal 2 4 2 3 4 2 2 4" xfId="20796" xr:uid="{ADEFA360-584F-41D2-BF1E-47E329014099}"/>
    <cellStyle name="Normal 2 4 2 3 4 2 2 5" xfId="29243" xr:uid="{779BAB13-451C-4B9C-AEAD-76950F3E5E0A}"/>
    <cellStyle name="Normal 2 4 2 3 4 2 3" xfId="5095" xr:uid="{00000000-0005-0000-0000-0000140F0000}"/>
    <cellStyle name="Normal 2 4 2 3 4 2 3 2" xfId="14421" xr:uid="{7C7C2CD8-E762-456F-949B-B26593FFD8CA}"/>
    <cellStyle name="Normal 2 4 2 3 4 2 3 3" xfId="22868" xr:uid="{8669CA6F-C11F-4A6E-9BCF-FFAAFA52ADF2}"/>
    <cellStyle name="Normal 2 4 2 3 4 2 3 4" xfId="31315" xr:uid="{1D1F3B3D-1ABE-4873-BA8C-81D2B00F470D}"/>
    <cellStyle name="Normal 2 4 2 3 4 2 4" xfId="9420" xr:uid="{49E252B3-99BC-416A-A0CB-FE2641ECFDE3}"/>
    <cellStyle name="Normal 2 4 2 3 4 2 5" xfId="10204" xr:uid="{CA8D81BC-FE38-4376-B21C-397450B53781}"/>
    <cellStyle name="Normal 2 4 2 3 4 2 6" xfId="18651" xr:uid="{D91D1EA3-3BA5-4EFF-9820-C3DEDCA6DD79}"/>
    <cellStyle name="Normal 2 4 2 3 4 2 7" xfId="27098" xr:uid="{1BB104FD-C246-402A-9495-64701F3106AA}"/>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16979" xr:uid="{DA783713-31FA-49D7-9528-4426EE38E95D}"/>
    <cellStyle name="Normal 2 4 2 3 4 3 2 2 3" xfId="25426" xr:uid="{90EA17E3-D9F1-4B43-9800-985F7963310A}"/>
    <cellStyle name="Normal 2 4 2 3 4 3 2 2 4" xfId="33873" xr:uid="{9F083BFC-61A9-4015-A6F8-6DD5F5159020}"/>
    <cellStyle name="Normal 2 4 2 3 4 3 2 3" xfId="12762" xr:uid="{1BC41D13-1F52-4CD4-89C9-E3CF7BB030BC}"/>
    <cellStyle name="Normal 2 4 2 3 4 3 2 4" xfId="21209" xr:uid="{EAAEF94B-4A1C-4C06-A011-CCFAFD3A7FA2}"/>
    <cellStyle name="Normal 2 4 2 3 4 3 2 5" xfId="29656" xr:uid="{6AC5234B-A9B0-46E0-BCEC-AA619EB716B3}"/>
    <cellStyle name="Normal 2 4 2 3 4 3 3" xfId="5508" xr:uid="{00000000-0005-0000-0000-0000180F0000}"/>
    <cellStyle name="Normal 2 4 2 3 4 3 3 2" xfId="14834" xr:uid="{4A2624EF-4186-4573-AE47-2CFE15F904A0}"/>
    <cellStyle name="Normal 2 4 2 3 4 3 3 3" xfId="23281" xr:uid="{ED26035C-7E68-4AA3-9FA0-0DEE374F80EE}"/>
    <cellStyle name="Normal 2 4 2 3 4 3 3 4" xfId="31728" xr:uid="{469F2671-E5AD-4DE4-A7EE-92A28F661348}"/>
    <cellStyle name="Normal 2 4 2 3 4 3 4" xfId="10617" xr:uid="{AD26D8E8-6780-4CD8-9C0A-511D42213EA8}"/>
    <cellStyle name="Normal 2 4 2 3 4 3 5" xfId="19064" xr:uid="{0932468A-9728-4FDE-AEE7-B9A1374F66C9}"/>
    <cellStyle name="Normal 2 4 2 3 4 3 6" xfId="27511" xr:uid="{A93D0284-C9F6-481E-A7EE-408173A8A4C5}"/>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17392" xr:uid="{4F686AE9-28AB-4288-B9DA-CB3C2BC82397}"/>
    <cellStyle name="Normal 2 4 2 3 4 4 2 2 3" xfId="25839" xr:uid="{03DB4532-8455-4E67-8E23-ED28F51BA87E}"/>
    <cellStyle name="Normal 2 4 2 3 4 4 2 2 4" xfId="34286" xr:uid="{DAD7C240-3E02-43FD-8B50-60CCD0FC9B7D}"/>
    <cellStyle name="Normal 2 4 2 3 4 4 2 3" xfId="13175" xr:uid="{940A03E7-878B-469D-9A3A-5C1C587A2922}"/>
    <cellStyle name="Normal 2 4 2 3 4 4 2 4" xfId="21622" xr:uid="{EFA3F455-2F09-48D3-8C47-F5CEFAAD95E7}"/>
    <cellStyle name="Normal 2 4 2 3 4 4 2 5" xfId="30069" xr:uid="{46612A6D-7A0D-4F04-8663-B34659E7750A}"/>
    <cellStyle name="Normal 2 4 2 3 4 4 3" xfId="5921" xr:uid="{00000000-0005-0000-0000-00001C0F0000}"/>
    <cellStyle name="Normal 2 4 2 3 4 4 3 2" xfId="15247" xr:uid="{70B17A16-C400-4AE2-A70B-36C3B7949789}"/>
    <cellStyle name="Normal 2 4 2 3 4 4 3 3" xfId="23694" xr:uid="{8E5D9EC1-B22B-44A7-8BB4-F6259694D111}"/>
    <cellStyle name="Normal 2 4 2 3 4 4 3 4" xfId="32141" xr:uid="{09268217-B9AB-4D22-9A61-175CD316CCBE}"/>
    <cellStyle name="Normal 2 4 2 3 4 4 4" xfId="11030" xr:uid="{500788F3-E309-403D-A11B-ABF1DF6EB11C}"/>
    <cellStyle name="Normal 2 4 2 3 4 4 5" xfId="19477" xr:uid="{DDD46F25-1E86-458A-91FC-FCBA91F48005}"/>
    <cellStyle name="Normal 2 4 2 3 4 4 6" xfId="27924" xr:uid="{9EA1C4E9-AD22-4FA9-BC2C-C6718B3BA2D4}"/>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17805" xr:uid="{9251CDB6-725D-450F-987E-2BC72742F703}"/>
    <cellStyle name="Normal 2 4 2 3 4 5 2 2 3" xfId="26252" xr:uid="{828DE389-1B29-4C8C-9148-8286484122F0}"/>
    <cellStyle name="Normal 2 4 2 3 4 5 2 2 4" xfId="34699" xr:uid="{E16EDDA5-8699-4186-9CE0-8B12943D8368}"/>
    <cellStyle name="Normal 2 4 2 3 4 5 2 3" xfId="13588" xr:uid="{440E4FFC-246D-443E-94DD-64139EE00E54}"/>
    <cellStyle name="Normal 2 4 2 3 4 5 2 4" xfId="22035" xr:uid="{B20E30E2-D671-4CE3-92A5-4223E0D7DE9E}"/>
    <cellStyle name="Normal 2 4 2 3 4 5 2 5" xfId="30482" xr:uid="{2B155491-8AD4-4EDF-AA93-00A90BF27FA1}"/>
    <cellStyle name="Normal 2 4 2 3 4 5 3" xfId="6334" xr:uid="{00000000-0005-0000-0000-0000200F0000}"/>
    <cellStyle name="Normal 2 4 2 3 4 5 3 2" xfId="15660" xr:uid="{6C20B854-3561-4885-9DE5-6BE59A67D99B}"/>
    <cellStyle name="Normal 2 4 2 3 4 5 3 3" xfId="24107" xr:uid="{6A1130CE-B3C3-4162-AC27-186ABA7855FB}"/>
    <cellStyle name="Normal 2 4 2 3 4 5 3 4" xfId="32554" xr:uid="{A69344C6-2655-4137-9957-57B65A9E3CC1}"/>
    <cellStyle name="Normal 2 4 2 3 4 5 4" xfId="11443" xr:uid="{FDC2286D-D5AF-401F-A025-F24245C3965E}"/>
    <cellStyle name="Normal 2 4 2 3 4 5 5" xfId="19890" xr:uid="{D2F4DF3E-CD85-4020-A576-403ECACAB272}"/>
    <cellStyle name="Normal 2 4 2 3 4 5 6" xfId="28337" xr:uid="{31924691-2D5C-422C-AF7D-6AAA23DEA4F3}"/>
    <cellStyle name="Normal 2 4 2 3 4 6" xfId="2464" xr:uid="{00000000-0005-0000-0000-0000210F0000}"/>
    <cellStyle name="Normal 2 4 2 3 4 6 2" xfId="6747" xr:uid="{00000000-0005-0000-0000-0000220F0000}"/>
    <cellStyle name="Normal 2 4 2 3 4 6 2 2" xfId="16073" xr:uid="{931DFD78-BA01-4FA8-AD3F-89752150E981}"/>
    <cellStyle name="Normal 2 4 2 3 4 6 2 3" xfId="24520" xr:uid="{D2204D9C-51D5-413B-8A26-44AF2E5FF333}"/>
    <cellStyle name="Normal 2 4 2 3 4 6 2 4" xfId="32967" xr:uid="{6824700E-150F-48C9-AF23-D2CD2A9BF110}"/>
    <cellStyle name="Normal 2 4 2 3 4 6 3" xfId="11856" xr:uid="{7A462A63-4CB4-4375-AB14-139A6AC0CEE2}"/>
    <cellStyle name="Normal 2 4 2 3 4 6 4" xfId="20303" xr:uid="{4D4289B3-E4AF-4673-9E2F-0CC16AA9E5CF}"/>
    <cellStyle name="Normal 2 4 2 3 4 6 5" xfId="28750" xr:uid="{575938D0-38F9-4039-AB3A-182E01047943}"/>
    <cellStyle name="Normal 2 4 2 3 4 7" xfId="4681" xr:uid="{00000000-0005-0000-0000-0000230F0000}"/>
    <cellStyle name="Normal 2 4 2 3 4 7 2" xfId="14007" xr:uid="{014DC6D3-46A3-4A4A-9987-2131C7A7D0E9}"/>
    <cellStyle name="Normal 2 4 2 3 4 7 3" xfId="22454" xr:uid="{77F7EBE0-A7B1-4E71-9535-7A3BCDB82833}"/>
    <cellStyle name="Normal 2 4 2 3 4 7 4" xfId="30901" xr:uid="{348D009F-5765-4CB7-9E8C-81FBB35C8F92}"/>
    <cellStyle name="Normal 2 4 2 3 4 8" xfId="8995" xr:uid="{EEE25A27-4C18-4948-8341-FF27707A7A86}"/>
    <cellStyle name="Normal 2 4 2 3 4 9" xfId="9790" xr:uid="{C1070EB3-6F36-442A-A68C-E331A1E879AA}"/>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16559" xr:uid="{07023937-4ACC-467F-B3A1-1EB3A88B4F7B}"/>
    <cellStyle name="Normal 2 4 2 3 5 2 2 3" xfId="25006" xr:uid="{DD573905-3B55-493F-86A1-359520B7707A}"/>
    <cellStyle name="Normal 2 4 2 3 5 2 2 4" xfId="33453" xr:uid="{55604D0B-60F7-4A60-B8CD-B632DEE0C01E}"/>
    <cellStyle name="Normal 2 4 2 3 5 2 3" xfId="12342" xr:uid="{12001C29-02FF-41FD-AE3D-9E6AA5FB65A4}"/>
    <cellStyle name="Normal 2 4 2 3 5 2 4" xfId="20789" xr:uid="{88AFA432-9B32-4E06-98D0-74EC897CAA80}"/>
    <cellStyle name="Normal 2 4 2 3 5 2 5" xfId="29236" xr:uid="{ACD4F730-DEA9-4153-A910-53F33739C3F8}"/>
    <cellStyle name="Normal 2 4 2 3 5 3" xfId="5088" xr:uid="{00000000-0005-0000-0000-0000270F0000}"/>
    <cellStyle name="Normal 2 4 2 3 5 3 2" xfId="14414" xr:uid="{34BF5619-869E-4542-9CF5-C47B3B0B2FA5}"/>
    <cellStyle name="Normal 2 4 2 3 5 3 3" xfId="22861" xr:uid="{6D62939B-EF7D-4C8D-9186-F6E2DDA7F5A8}"/>
    <cellStyle name="Normal 2 4 2 3 5 3 4" xfId="31308" xr:uid="{72BD2068-32FE-4DF6-B396-B1D6B4F9CFC6}"/>
    <cellStyle name="Normal 2 4 2 3 5 4" xfId="9212" xr:uid="{39F1BF9F-C79C-4226-B2D8-665EAA6F3686}"/>
    <cellStyle name="Normal 2 4 2 3 5 5" xfId="10197" xr:uid="{C7E7BC87-8BCE-4081-9144-65B8D9367947}"/>
    <cellStyle name="Normal 2 4 2 3 5 6" xfId="18644" xr:uid="{188A4B0B-8521-4238-9268-7B35DC104797}"/>
    <cellStyle name="Normal 2 4 2 3 5 7" xfId="27091" xr:uid="{4AEAD0E9-DD9B-4996-B9D4-DB6461947069}"/>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16972" xr:uid="{DE8B98DD-3F87-46D1-9222-FBCD78D5CBB2}"/>
    <cellStyle name="Normal 2 4 2 3 6 2 2 3" xfId="25419" xr:uid="{2480C283-BBE5-4460-BD95-8BAE38AFAEAB}"/>
    <cellStyle name="Normal 2 4 2 3 6 2 2 4" xfId="33866" xr:uid="{8BDD56BA-BDF9-4C83-B1EB-D299931672B4}"/>
    <cellStyle name="Normal 2 4 2 3 6 2 3" xfId="12755" xr:uid="{67EFEE8C-8DA8-4162-B3E6-EE94EE3A0879}"/>
    <cellStyle name="Normal 2 4 2 3 6 2 4" xfId="21202" xr:uid="{8F83F6C3-4404-4919-B192-CACA8D54C6CD}"/>
    <cellStyle name="Normal 2 4 2 3 6 2 5" xfId="29649" xr:uid="{83A9339F-28CE-4941-9CAB-8B99A86F3C3C}"/>
    <cellStyle name="Normal 2 4 2 3 6 3" xfId="5501" xr:uid="{00000000-0005-0000-0000-00002B0F0000}"/>
    <cellStyle name="Normal 2 4 2 3 6 3 2" xfId="14827" xr:uid="{145D5C97-F6D2-486D-BE6F-A7E389182EB4}"/>
    <cellStyle name="Normal 2 4 2 3 6 3 3" xfId="23274" xr:uid="{43C21899-5175-4E0E-9B57-A0FC568BE26A}"/>
    <cellStyle name="Normal 2 4 2 3 6 3 4" xfId="31721" xr:uid="{CF95886A-B21C-40D7-8888-F59711480377}"/>
    <cellStyle name="Normal 2 4 2 3 6 4" xfId="10610" xr:uid="{B5E4AA1F-5983-4144-85EB-2524E3E264D3}"/>
    <cellStyle name="Normal 2 4 2 3 6 5" xfId="19057" xr:uid="{D02EC16C-7446-4A00-980F-9EBB2339513C}"/>
    <cellStyle name="Normal 2 4 2 3 6 6" xfId="27504" xr:uid="{E0B928A6-261D-4780-A1C9-B1A0FAABFAA1}"/>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17385" xr:uid="{D33EC73C-9405-429A-9C20-B304D9617C2D}"/>
    <cellStyle name="Normal 2 4 2 3 7 2 2 3" xfId="25832" xr:uid="{38A785E8-6958-4A88-A329-37AA7DDCCE47}"/>
    <cellStyle name="Normal 2 4 2 3 7 2 2 4" xfId="34279" xr:uid="{2828AF3B-DEF7-4C2C-92B9-2C2381D33A46}"/>
    <cellStyle name="Normal 2 4 2 3 7 2 3" xfId="13168" xr:uid="{E9A28EA8-9F19-4DF5-8FE2-E9864E11AB37}"/>
    <cellStyle name="Normal 2 4 2 3 7 2 4" xfId="21615" xr:uid="{AFCC6513-736F-4D58-9FF2-8211E48596C0}"/>
    <cellStyle name="Normal 2 4 2 3 7 2 5" xfId="30062" xr:uid="{2FEF4313-FFD8-4C6C-AAF5-C682562405F1}"/>
    <cellStyle name="Normal 2 4 2 3 7 3" xfId="5914" xr:uid="{00000000-0005-0000-0000-00002F0F0000}"/>
    <cellStyle name="Normal 2 4 2 3 7 3 2" xfId="15240" xr:uid="{0AE33C81-03C9-470F-9C9A-6B9E6942C3A5}"/>
    <cellStyle name="Normal 2 4 2 3 7 3 3" xfId="23687" xr:uid="{377858C6-53D3-4730-B353-9E4E921F80E9}"/>
    <cellStyle name="Normal 2 4 2 3 7 3 4" xfId="32134" xr:uid="{73195173-D255-4E3C-828C-FD942794C17C}"/>
    <cellStyle name="Normal 2 4 2 3 7 4" xfId="11023" xr:uid="{7A0B934D-59CD-4B1E-87B0-9F5E39F2F10A}"/>
    <cellStyle name="Normal 2 4 2 3 7 5" xfId="19470" xr:uid="{4DDF4BFF-747C-435C-9051-E189FBB3254D}"/>
    <cellStyle name="Normal 2 4 2 3 7 6" xfId="27917" xr:uid="{FBEC16E6-D987-40EA-AE8A-032961C259E1}"/>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17798" xr:uid="{BE8B4CC2-404F-440F-B179-D16557E0DAAC}"/>
    <cellStyle name="Normal 2 4 2 3 8 2 2 3" xfId="26245" xr:uid="{2CE1C9CE-39FB-4885-B1CE-B487A03CE135}"/>
    <cellStyle name="Normal 2 4 2 3 8 2 2 4" xfId="34692" xr:uid="{937C01D5-D297-4828-AA1C-5269298B9DE0}"/>
    <cellStyle name="Normal 2 4 2 3 8 2 3" xfId="13581" xr:uid="{77E49E97-90DB-476C-AC56-3DF603FA7E7A}"/>
    <cellStyle name="Normal 2 4 2 3 8 2 4" xfId="22028" xr:uid="{C99797F9-853C-4469-B41C-B5698ED41E38}"/>
    <cellStyle name="Normal 2 4 2 3 8 2 5" xfId="30475" xr:uid="{CA9697E7-70E9-4539-84F6-D0D378AE3F06}"/>
    <cellStyle name="Normal 2 4 2 3 8 3" xfId="6327" xr:uid="{00000000-0005-0000-0000-0000330F0000}"/>
    <cellStyle name="Normal 2 4 2 3 8 3 2" xfId="15653" xr:uid="{1E7CDE48-63A8-4467-B72B-89E402F88FBB}"/>
    <cellStyle name="Normal 2 4 2 3 8 3 3" xfId="24100" xr:uid="{CCC124F9-F7B3-4C41-BFB5-A6784FCC9DC3}"/>
    <cellStyle name="Normal 2 4 2 3 8 3 4" xfId="32547" xr:uid="{A51C823C-57CE-4A92-B4EC-1628B6FC3293}"/>
    <cellStyle name="Normal 2 4 2 3 8 4" xfId="11436" xr:uid="{72C85EBE-FD68-4531-8F6B-8074B7CDECB1}"/>
    <cellStyle name="Normal 2 4 2 3 8 5" xfId="19883" xr:uid="{0E5FAB85-5D5F-437D-AC3A-E3731C11F791}"/>
    <cellStyle name="Normal 2 4 2 3 8 6" xfId="28330" xr:uid="{1CD3E2B3-9C0B-4F79-913D-353935350148}"/>
    <cellStyle name="Normal 2 4 2 3 9" xfId="2457" xr:uid="{00000000-0005-0000-0000-0000340F0000}"/>
    <cellStyle name="Normal 2 4 2 3 9 2" xfId="6740" xr:uid="{00000000-0005-0000-0000-0000350F0000}"/>
    <cellStyle name="Normal 2 4 2 3 9 2 2" xfId="16066" xr:uid="{C1F14935-2317-4200-BDB0-AB26102B881C}"/>
    <cellStyle name="Normal 2 4 2 3 9 2 3" xfId="24513" xr:uid="{FA25E783-6CF4-486C-B262-13C15AF4A76A}"/>
    <cellStyle name="Normal 2 4 2 3 9 2 4" xfId="32960" xr:uid="{11C33628-CFB2-47FF-8A91-D324AABC0022}"/>
    <cellStyle name="Normal 2 4 2 3 9 3" xfId="11849" xr:uid="{9CEA700E-EB3B-40F0-9D08-CE6637998B7D}"/>
    <cellStyle name="Normal 2 4 2 3 9 4" xfId="20296" xr:uid="{EBFD4142-B6D9-4470-97D6-CA49A88C08F4}"/>
    <cellStyle name="Normal 2 4 2 3 9 5" xfId="28743" xr:uid="{3667A733-2EBA-4DB9-B39D-74ACC43FE640}"/>
    <cellStyle name="Normal 2 4 2 4" xfId="289" xr:uid="{00000000-0005-0000-0000-0000360F0000}"/>
    <cellStyle name="Normal 2 4 2 4 10" xfId="8812" xr:uid="{C2E08BA7-2068-4F74-AFE2-E0AED0B82FE2}"/>
    <cellStyle name="Normal 2 4 2 4 11" xfId="9791" xr:uid="{9837F491-529C-4B21-ACB1-62956D2906DE}"/>
    <cellStyle name="Normal 2 4 2 4 12" xfId="18238" xr:uid="{64FD6AF8-1D35-423B-BAA6-344A8E540BFB}"/>
    <cellStyle name="Normal 2 4 2 4 13" xfId="26685" xr:uid="{DAF8951C-F0FD-40D5-BB28-3464134098D6}"/>
    <cellStyle name="Normal 2 4 2 4 2" xfId="290" xr:uid="{00000000-0005-0000-0000-0000370F0000}"/>
    <cellStyle name="Normal 2 4 2 4 2 10" xfId="9792" xr:uid="{BB671CFA-728D-41DE-9809-8EF478A37969}"/>
    <cellStyle name="Normal 2 4 2 4 2 11" xfId="18239" xr:uid="{62E0DD35-3F57-445F-989A-9D22953DC715}"/>
    <cellStyle name="Normal 2 4 2 4 2 12" xfId="26686" xr:uid="{EEB4F910-E165-4869-B775-4B1727BC741E}"/>
    <cellStyle name="Normal 2 4 2 4 2 2" xfId="291" xr:uid="{00000000-0005-0000-0000-0000380F0000}"/>
    <cellStyle name="Normal 2 4 2 4 2 2 10" xfId="18240" xr:uid="{7AC3C375-8D58-4CD8-95F6-9D289053C597}"/>
    <cellStyle name="Normal 2 4 2 4 2 2 11" xfId="26687" xr:uid="{A79F0ED2-2103-464F-A153-5E0B9D9374D9}"/>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16569" xr:uid="{4FC3BE37-E34D-4FC9-838A-3EABDE2AFBA6}"/>
    <cellStyle name="Normal 2 4 2 4 2 2 2 2 2 3" xfId="25016" xr:uid="{10386871-76B2-4300-9F8E-C294A7A93AC4}"/>
    <cellStyle name="Normal 2 4 2 4 2 2 2 2 2 4" xfId="33463" xr:uid="{F4627499-FBC4-4324-8F7B-C54464513431}"/>
    <cellStyle name="Normal 2 4 2 4 2 2 2 2 3" xfId="12352" xr:uid="{79835162-E9BD-4BBB-940C-95C88A3FEA5A}"/>
    <cellStyle name="Normal 2 4 2 4 2 2 2 2 4" xfId="20799" xr:uid="{E0AF7E4F-99AB-4799-9A37-22102AB16AD3}"/>
    <cellStyle name="Normal 2 4 2 4 2 2 2 2 5" xfId="29246" xr:uid="{639B0FE3-280E-4464-9A44-BFAE71BA9BEC}"/>
    <cellStyle name="Normal 2 4 2 4 2 2 2 3" xfId="5098" xr:uid="{00000000-0005-0000-0000-00003C0F0000}"/>
    <cellStyle name="Normal 2 4 2 4 2 2 2 3 2" xfId="14424" xr:uid="{B692FDAC-A247-4282-B8DA-9E8740E0794F}"/>
    <cellStyle name="Normal 2 4 2 4 2 2 2 3 3" xfId="22871" xr:uid="{F57FD9CD-498D-4807-91AF-D7D1773741AE}"/>
    <cellStyle name="Normal 2 4 2 4 2 2 2 3 4" xfId="31318" xr:uid="{BE4D0A10-9ED7-4BD6-BB8E-DA379AB0162C}"/>
    <cellStyle name="Normal 2 4 2 4 2 2 2 4" xfId="9547" xr:uid="{F8909421-8B16-4168-8B85-A5523C430C3C}"/>
    <cellStyle name="Normal 2 4 2 4 2 2 2 5" xfId="10207" xr:uid="{15E810B6-79BF-449F-8A29-E843A6D5287D}"/>
    <cellStyle name="Normal 2 4 2 4 2 2 2 6" xfId="18654" xr:uid="{1380AC86-7A5C-416D-BCB7-A836D204A9AD}"/>
    <cellStyle name="Normal 2 4 2 4 2 2 2 7" xfId="27101" xr:uid="{DA279C7B-DC5B-4D54-AC9F-63D2E66750FF}"/>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16982" xr:uid="{B4AB1408-C13E-4DE7-AAD4-DEE9DE0B37C6}"/>
    <cellStyle name="Normal 2 4 2 4 2 2 3 2 2 3" xfId="25429" xr:uid="{E18ACF79-1DE3-48A0-A3A7-2B25C064EFE2}"/>
    <cellStyle name="Normal 2 4 2 4 2 2 3 2 2 4" xfId="33876" xr:uid="{F05A0CAD-BC41-4C7B-AE0C-844B50C16D5C}"/>
    <cellStyle name="Normal 2 4 2 4 2 2 3 2 3" xfId="12765" xr:uid="{1F04E062-2CEC-4563-8D34-CCA2AC81838C}"/>
    <cellStyle name="Normal 2 4 2 4 2 2 3 2 4" xfId="21212" xr:uid="{A47C089A-3C49-4660-AE86-E33FEF16AEE9}"/>
    <cellStyle name="Normal 2 4 2 4 2 2 3 2 5" xfId="29659" xr:uid="{D264A5E5-CB61-4B93-9764-A4D02C8C4660}"/>
    <cellStyle name="Normal 2 4 2 4 2 2 3 3" xfId="5511" xr:uid="{00000000-0005-0000-0000-0000400F0000}"/>
    <cellStyle name="Normal 2 4 2 4 2 2 3 3 2" xfId="14837" xr:uid="{EFC90920-5138-4B60-86B8-740B657D11DF}"/>
    <cellStyle name="Normal 2 4 2 4 2 2 3 3 3" xfId="23284" xr:uid="{5F6CA2F4-D7E5-4E7D-9871-1DF3B95F238A}"/>
    <cellStyle name="Normal 2 4 2 4 2 2 3 3 4" xfId="31731" xr:uid="{DB422E32-9A9B-49FD-A871-FDFBD4D05359}"/>
    <cellStyle name="Normal 2 4 2 4 2 2 3 4" xfId="10620" xr:uid="{3D7DC3AB-D17E-475A-83B9-0DBB6D87AF65}"/>
    <cellStyle name="Normal 2 4 2 4 2 2 3 5" xfId="19067" xr:uid="{33DE3DAD-BD52-48D3-B8A9-23643D2A7B02}"/>
    <cellStyle name="Normal 2 4 2 4 2 2 3 6" xfId="27514" xr:uid="{2B829253-1988-4A0E-AA02-166235D5A144}"/>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17395" xr:uid="{0C3365E9-941A-4714-9FEB-ECEC38200BAB}"/>
    <cellStyle name="Normal 2 4 2 4 2 2 4 2 2 3" xfId="25842" xr:uid="{D92D640D-8284-45BC-A928-B8B361187EEE}"/>
    <cellStyle name="Normal 2 4 2 4 2 2 4 2 2 4" xfId="34289" xr:uid="{7DE406A1-E460-4DEC-A608-AD7678E39376}"/>
    <cellStyle name="Normal 2 4 2 4 2 2 4 2 3" xfId="13178" xr:uid="{8519CD50-1C62-4169-A20B-C465F3174CE9}"/>
    <cellStyle name="Normal 2 4 2 4 2 2 4 2 4" xfId="21625" xr:uid="{E91ED3FD-04B0-4A09-AC10-285F96073148}"/>
    <cellStyle name="Normal 2 4 2 4 2 2 4 2 5" xfId="30072" xr:uid="{CBB0618E-0C20-4B89-AC99-80A11B99236D}"/>
    <cellStyle name="Normal 2 4 2 4 2 2 4 3" xfId="5924" xr:uid="{00000000-0005-0000-0000-0000440F0000}"/>
    <cellStyle name="Normal 2 4 2 4 2 2 4 3 2" xfId="15250" xr:uid="{DB880A96-A7F1-4402-8B23-8130F49071B5}"/>
    <cellStyle name="Normal 2 4 2 4 2 2 4 3 3" xfId="23697" xr:uid="{0498EF70-3316-4E90-B3B9-3398F184F04C}"/>
    <cellStyle name="Normal 2 4 2 4 2 2 4 3 4" xfId="32144" xr:uid="{71269FCB-BF4C-45B1-ACBF-5BAA9C9948E1}"/>
    <cellStyle name="Normal 2 4 2 4 2 2 4 4" xfId="11033" xr:uid="{B5CC2991-DDEB-404A-9E93-F96209AE327B}"/>
    <cellStyle name="Normal 2 4 2 4 2 2 4 5" xfId="19480" xr:uid="{A5627DAC-1A98-4411-8287-B73344CBFDBE}"/>
    <cellStyle name="Normal 2 4 2 4 2 2 4 6" xfId="27927" xr:uid="{5045F394-BC5A-4FF0-B1BE-A2B52B2F1CFE}"/>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17808" xr:uid="{95ACBB54-FD0C-4438-AD42-21641BAF9118}"/>
    <cellStyle name="Normal 2 4 2 4 2 2 5 2 2 3" xfId="26255" xr:uid="{84E1350E-4C62-4DE7-982B-18645CB859F8}"/>
    <cellStyle name="Normal 2 4 2 4 2 2 5 2 2 4" xfId="34702" xr:uid="{963C14E8-EDE7-4A3A-814E-419420456F91}"/>
    <cellStyle name="Normal 2 4 2 4 2 2 5 2 3" xfId="13591" xr:uid="{B07B329C-DDB4-44D3-9916-1C0FEC212118}"/>
    <cellStyle name="Normal 2 4 2 4 2 2 5 2 4" xfId="22038" xr:uid="{242E6A4A-8C5F-48D8-B6AB-18C450BEBDB5}"/>
    <cellStyle name="Normal 2 4 2 4 2 2 5 2 5" xfId="30485" xr:uid="{94040556-858A-4F41-8674-0B1908CA8FA8}"/>
    <cellStyle name="Normal 2 4 2 4 2 2 5 3" xfId="6337" xr:uid="{00000000-0005-0000-0000-0000480F0000}"/>
    <cellStyle name="Normal 2 4 2 4 2 2 5 3 2" xfId="15663" xr:uid="{53FBB256-4802-4D92-9B83-CD103D07DEEE}"/>
    <cellStyle name="Normal 2 4 2 4 2 2 5 3 3" xfId="24110" xr:uid="{9F8B2D21-A82A-442C-BDAB-84BB9DDEF1FF}"/>
    <cellStyle name="Normal 2 4 2 4 2 2 5 3 4" xfId="32557" xr:uid="{42BBD453-1CA8-4BCB-9375-B53C11384771}"/>
    <cellStyle name="Normal 2 4 2 4 2 2 5 4" xfId="11446" xr:uid="{BF5B00A0-D38B-4D40-AA26-3B23524AB9C0}"/>
    <cellStyle name="Normal 2 4 2 4 2 2 5 5" xfId="19893" xr:uid="{FD10FC6F-FB2B-4F4C-B9C8-E65C0D38311C}"/>
    <cellStyle name="Normal 2 4 2 4 2 2 5 6" xfId="28340" xr:uid="{3EC52341-B40C-42EF-B6E4-AAF819B0DE37}"/>
    <cellStyle name="Normal 2 4 2 4 2 2 6" xfId="2467" xr:uid="{00000000-0005-0000-0000-0000490F0000}"/>
    <cellStyle name="Normal 2 4 2 4 2 2 6 2" xfId="6750" xr:uid="{00000000-0005-0000-0000-00004A0F0000}"/>
    <cellStyle name="Normal 2 4 2 4 2 2 6 2 2" xfId="16076" xr:uid="{DDA4A3D6-7332-4D57-928D-F65046C99ED7}"/>
    <cellStyle name="Normal 2 4 2 4 2 2 6 2 3" xfId="24523" xr:uid="{EC05303A-D4AF-4EE3-A0BE-1DDAF50EB4E6}"/>
    <cellStyle name="Normal 2 4 2 4 2 2 6 2 4" xfId="32970" xr:uid="{F2652EEC-0C94-4AF5-AE73-A3CDE534C544}"/>
    <cellStyle name="Normal 2 4 2 4 2 2 6 3" xfId="11859" xr:uid="{36741C33-3B15-44BF-BF18-0621F0774D25}"/>
    <cellStyle name="Normal 2 4 2 4 2 2 6 4" xfId="20306" xr:uid="{7404DA8D-B4BB-4DF5-BA13-E26E0745CBF1}"/>
    <cellStyle name="Normal 2 4 2 4 2 2 6 5" xfId="28753" xr:uid="{573B76CB-87EC-463B-B2EC-C713BC294A81}"/>
    <cellStyle name="Normal 2 4 2 4 2 2 7" xfId="4684" xr:uid="{00000000-0005-0000-0000-00004B0F0000}"/>
    <cellStyle name="Normal 2 4 2 4 2 2 7 2" xfId="14010" xr:uid="{C67D3476-9116-4F27-994D-CED188F025A7}"/>
    <cellStyle name="Normal 2 4 2 4 2 2 7 3" xfId="22457" xr:uid="{0F3382B2-B2A9-45B5-84AB-6F8D1DEB9ED1}"/>
    <cellStyle name="Normal 2 4 2 4 2 2 7 4" xfId="30904" xr:uid="{7BE860E3-1914-4D36-9756-516EB8FAC43F}"/>
    <cellStyle name="Normal 2 4 2 4 2 2 8" xfId="9122" xr:uid="{861CB008-611F-4F3F-9D09-5BCA5A4CB255}"/>
    <cellStyle name="Normal 2 4 2 4 2 2 9" xfId="9793" xr:uid="{05CE5161-7B92-4D17-890A-2CA3D27050E2}"/>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16568" xr:uid="{F1F6837B-BB5B-4851-B6C2-8BD4E66A1700}"/>
    <cellStyle name="Normal 2 4 2 4 2 3 2 2 3" xfId="25015" xr:uid="{5222B65E-6C1F-46CE-9634-C157960940A7}"/>
    <cellStyle name="Normal 2 4 2 4 2 3 2 2 4" xfId="33462" xr:uid="{AFD1D1CA-C8C1-469D-ADEA-1527559BAFF5}"/>
    <cellStyle name="Normal 2 4 2 4 2 3 2 3" xfId="12351" xr:uid="{69A5A546-52DC-4E9B-A157-87049BB2BB8F}"/>
    <cellStyle name="Normal 2 4 2 4 2 3 2 4" xfId="20798" xr:uid="{E47CB069-3615-4266-B37E-A517E59DFEAC}"/>
    <cellStyle name="Normal 2 4 2 4 2 3 2 5" xfId="29245" xr:uid="{4BA50A37-7E3F-41F9-886C-7CFF46A792B3}"/>
    <cellStyle name="Normal 2 4 2 4 2 3 3" xfId="5097" xr:uid="{00000000-0005-0000-0000-00004F0F0000}"/>
    <cellStyle name="Normal 2 4 2 4 2 3 3 2" xfId="14423" xr:uid="{609584E6-CE6C-4888-AFC3-6F9F74E82932}"/>
    <cellStyle name="Normal 2 4 2 4 2 3 3 3" xfId="22870" xr:uid="{11933F03-161B-4C0F-AFEC-AEC244CC0359}"/>
    <cellStyle name="Normal 2 4 2 4 2 3 3 4" xfId="31317" xr:uid="{D47D259C-0078-416B-9247-726ADDE8F780}"/>
    <cellStyle name="Normal 2 4 2 4 2 3 4" xfId="9340" xr:uid="{2D1F2F91-F6E8-42AC-98D0-B8667E0ECE37}"/>
    <cellStyle name="Normal 2 4 2 4 2 3 5" xfId="10206" xr:uid="{8BA9AE71-6B25-4D35-938E-59ACAEBD600C}"/>
    <cellStyle name="Normal 2 4 2 4 2 3 6" xfId="18653" xr:uid="{9BD26456-BD3B-49F5-9FD9-4CB1A8499342}"/>
    <cellStyle name="Normal 2 4 2 4 2 3 7" xfId="27100" xr:uid="{2CC23CF2-34FA-4838-8A52-755026D7FDB2}"/>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16981" xr:uid="{75335BC2-BB1C-402C-85C5-7C3BF02F0343}"/>
    <cellStyle name="Normal 2 4 2 4 2 4 2 2 3" xfId="25428" xr:uid="{4F8D3800-288F-4D5F-B247-C2826F88536D}"/>
    <cellStyle name="Normal 2 4 2 4 2 4 2 2 4" xfId="33875" xr:uid="{57181B9E-25B9-4300-B55A-44162FB3E265}"/>
    <cellStyle name="Normal 2 4 2 4 2 4 2 3" xfId="12764" xr:uid="{F126A502-B067-431B-AFD4-56FAA6A22628}"/>
    <cellStyle name="Normal 2 4 2 4 2 4 2 4" xfId="21211" xr:uid="{AB0B83DE-D0F0-4ECC-B5CB-3356E132A636}"/>
    <cellStyle name="Normal 2 4 2 4 2 4 2 5" xfId="29658" xr:uid="{B7634C25-AD97-4621-92AC-75063D200D53}"/>
    <cellStyle name="Normal 2 4 2 4 2 4 3" xfId="5510" xr:uid="{00000000-0005-0000-0000-0000530F0000}"/>
    <cellStyle name="Normal 2 4 2 4 2 4 3 2" xfId="14836" xr:uid="{2242A94F-3E05-4706-9BF7-6B2736770D1C}"/>
    <cellStyle name="Normal 2 4 2 4 2 4 3 3" xfId="23283" xr:uid="{90455A41-B3E4-418E-A25C-40234EA1E040}"/>
    <cellStyle name="Normal 2 4 2 4 2 4 3 4" xfId="31730" xr:uid="{D81DC591-18DF-445C-87BC-593CFE9134DC}"/>
    <cellStyle name="Normal 2 4 2 4 2 4 4" xfId="10619" xr:uid="{5D292D67-383D-4765-9017-2B47C1F0E392}"/>
    <cellStyle name="Normal 2 4 2 4 2 4 5" xfId="19066" xr:uid="{A41E1F31-9676-4D1B-BEED-F5B8E451815D}"/>
    <cellStyle name="Normal 2 4 2 4 2 4 6" xfId="27513" xr:uid="{05DA4495-2B4E-4B09-AC31-C23200D72C72}"/>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17394" xr:uid="{7A668BDF-5E4F-4A7E-BB3C-2C99C65AA42F}"/>
    <cellStyle name="Normal 2 4 2 4 2 5 2 2 3" xfId="25841" xr:uid="{252761B9-6A5A-4B41-88D2-9379C50D45FA}"/>
    <cellStyle name="Normal 2 4 2 4 2 5 2 2 4" xfId="34288" xr:uid="{C93E212B-75BD-4D71-9138-2797A73A5E63}"/>
    <cellStyle name="Normal 2 4 2 4 2 5 2 3" xfId="13177" xr:uid="{563EDAD6-B674-4E13-BFFE-85EE95E4E814}"/>
    <cellStyle name="Normal 2 4 2 4 2 5 2 4" xfId="21624" xr:uid="{0BA81BCB-8C18-4BB8-A8C3-DBAFD6B03005}"/>
    <cellStyle name="Normal 2 4 2 4 2 5 2 5" xfId="30071" xr:uid="{AEF7D8D2-F9C1-4C03-B659-F45AB291672F}"/>
    <cellStyle name="Normal 2 4 2 4 2 5 3" xfId="5923" xr:uid="{00000000-0005-0000-0000-0000570F0000}"/>
    <cellStyle name="Normal 2 4 2 4 2 5 3 2" xfId="15249" xr:uid="{380635E4-46C6-4F7A-9545-436DAE8818B2}"/>
    <cellStyle name="Normal 2 4 2 4 2 5 3 3" xfId="23696" xr:uid="{722BF61C-0B7B-4FED-B964-2143FB58C868}"/>
    <cellStyle name="Normal 2 4 2 4 2 5 3 4" xfId="32143" xr:uid="{675C5431-3B5D-40E3-B043-7A297C310047}"/>
    <cellStyle name="Normal 2 4 2 4 2 5 4" xfId="11032" xr:uid="{8F30B9A8-A429-4F92-9D5A-E26BF0EC4083}"/>
    <cellStyle name="Normal 2 4 2 4 2 5 5" xfId="19479" xr:uid="{F3AF6857-C0C5-4413-8833-87B840278C46}"/>
    <cellStyle name="Normal 2 4 2 4 2 5 6" xfId="27926" xr:uid="{D1441B31-992A-48A1-BD33-95968E73F051}"/>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17807" xr:uid="{0B1EFC49-313A-4388-AFC0-74D775A4BCD0}"/>
    <cellStyle name="Normal 2 4 2 4 2 6 2 2 3" xfId="26254" xr:uid="{8797DA5F-FDFD-4CDD-884D-048773010DA4}"/>
    <cellStyle name="Normal 2 4 2 4 2 6 2 2 4" xfId="34701" xr:uid="{DA317435-6D80-4E9A-8BAB-3A40BC8163F7}"/>
    <cellStyle name="Normal 2 4 2 4 2 6 2 3" xfId="13590" xr:uid="{ABEB0D02-F74D-4A1A-B4FC-00F6E70D8DA4}"/>
    <cellStyle name="Normal 2 4 2 4 2 6 2 4" xfId="22037" xr:uid="{69E56AB0-EBC1-478C-8DF8-19A62407A0F4}"/>
    <cellStyle name="Normal 2 4 2 4 2 6 2 5" xfId="30484" xr:uid="{5EE9BBD2-5FF6-47BE-8886-1CF5E1BA6FCC}"/>
    <cellStyle name="Normal 2 4 2 4 2 6 3" xfId="6336" xr:uid="{00000000-0005-0000-0000-00005B0F0000}"/>
    <cellStyle name="Normal 2 4 2 4 2 6 3 2" xfId="15662" xr:uid="{CD8B2E85-C911-4989-8174-FC5A0B350D9F}"/>
    <cellStyle name="Normal 2 4 2 4 2 6 3 3" xfId="24109" xr:uid="{9566F08D-2295-4AED-995A-3859A6B02FEE}"/>
    <cellStyle name="Normal 2 4 2 4 2 6 3 4" xfId="32556" xr:uid="{AB8C2377-6662-4D2E-8FB1-A76FF8CDC483}"/>
    <cellStyle name="Normal 2 4 2 4 2 6 4" xfId="11445" xr:uid="{BA2D0625-5656-438D-AC67-243D1A443D78}"/>
    <cellStyle name="Normal 2 4 2 4 2 6 5" xfId="19892" xr:uid="{DFC9D712-2D3D-48DB-AAF9-A3A7FF291FF5}"/>
    <cellStyle name="Normal 2 4 2 4 2 6 6" xfId="28339" xr:uid="{3889BDB9-03FA-409E-9B5A-F557AC89F569}"/>
    <cellStyle name="Normal 2 4 2 4 2 7" xfId="2466" xr:uid="{00000000-0005-0000-0000-00005C0F0000}"/>
    <cellStyle name="Normal 2 4 2 4 2 7 2" xfId="6749" xr:uid="{00000000-0005-0000-0000-00005D0F0000}"/>
    <cellStyle name="Normal 2 4 2 4 2 7 2 2" xfId="16075" xr:uid="{40597C28-E881-4702-BB39-A4E8B1BC30E3}"/>
    <cellStyle name="Normal 2 4 2 4 2 7 2 3" xfId="24522" xr:uid="{45697CF3-5584-4D6B-86D4-CD90F0A6DBFA}"/>
    <cellStyle name="Normal 2 4 2 4 2 7 2 4" xfId="32969" xr:uid="{528F4619-7919-4A85-BC15-5765A0B75241}"/>
    <cellStyle name="Normal 2 4 2 4 2 7 3" xfId="11858" xr:uid="{E3B9A55A-17F9-4DE0-8CDD-51E9289DEDD0}"/>
    <cellStyle name="Normal 2 4 2 4 2 7 4" xfId="20305" xr:uid="{E1FA8D91-5A4F-48A9-AD27-779991E83297}"/>
    <cellStyle name="Normal 2 4 2 4 2 7 5" xfId="28752" xr:uid="{3F70CAA4-8805-4716-BCA1-2EFFE8874DAD}"/>
    <cellStyle name="Normal 2 4 2 4 2 8" xfId="4683" xr:uid="{00000000-0005-0000-0000-00005E0F0000}"/>
    <cellStyle name="Normal 2 4 2 4 2 8 2" xfId="14009" xr:uid="{B28A6BC1-4A66-4081-8701-330AE7AA7C6F}"/>
    <cellStyle name="Normal 2 4 2 4 2 8 3" xfId="22456" xr:uid="{B4CE3A14-98E9-4EEE-AF6C-C386F056CCA8}"/>
    <cellStyle name="Normal 2 4 2 4 2 8 4" xfId="30903" xr:uid="{62B5021B-5410-470D-AF1D-D2076DB1144C}"/>
    <cellStyle name="Normal 2 4 2 4 2 9" xfId="8915" xr:uid="{2BEB15AA-2AFA-47D4-AC0E-63DAF2CFE119}"/>
    <cellStyle name="Normal 2 4 2 4 3" xfId="292" xr:uid="{00000000-0005-0000-0000-00005F0F0000}"/>
    <cellStyle name="Normal 2 4 2 4 3 10" xfId="18241" xr:uid="{6F84F2A7-B37B-4227-AFE9-8B2E88F036BF}"/>
    <cellStyle name="Normal 2 4 2 4 3 11" xfId="26688" xr:uid="{95C995AE-1A0E-477C-A238-13CD35F3192A}"/>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16570" xr:uid="{FB5A93D9-E074-449E-AF93-293D0B6A9CC0}"/>
    <cellStyle name="Normal 2 4 2 4 3 2 2 2 3" xfId="25017" xr:uid="{AE63128A-6A1F-44BE-808D-B321131A25E6}"/>
    <cellStyle name="Normal 2 4 2 4 3 2 2 2 4" xfId="33464" xr:uid="{48AE814B-C128-4254-B9CA-6B65990343BA}"/>
    <cellStyle name="Normal 2 4 2 4 3 2 2 3" xfId="12353" xr:uid="{4A85B292-2BE4-4228-85A9-FCEEFC6DA43C}"/>
    <cellStyle name="Normal 2 4 2 4 3 2 2 4" xfId="20800" xr:uid="{628AEF01-3215-4853-9A61-9D437CDD791F}"/>
    <cellStyle name="Normal 2 4 2 4 3 2 2 5" xfId="29247" xr:uid="{F59887D7-4C0C-4457-A97C-1C26C5CCAE6C}"/>
    <cellStyle name="Normal 2 4 2 4 3 2 3" xfId="5099" xr:uid="{00000000-0005-0000-0000-0000630F0000}"/>
    <cellStyle name="Normal 2 4 2 4 3 2 3 2" xfId="14425" xr:uid="{E2010C24-0F41-4E9D-9AF1-D91F301D8EC4}"/>
    <cellStyle name="Normal 2 4 2 4 3 2 3 3" xfId="22872" xr:uid="{623EB699-7BD7-45EF-A20D-D370D4EEBBEC}"/>
    <cellStyle name="Normal 2 4 2 4 3 2 3 4" xfId="31319" xr:uid="{9BF547F6-1F6D-4B4C-B9B4-C26734FE7CEA}"/>
    <cellStyle name="Normal 2 4 2 4 3 2 4" xfId="9444" xr:uid="{807939DF-E7C0-4015-A3D8-AE9E56020172}"/>
    <cellStyle name="Normal 2 4 2 4 3 2 5" xfId="10208" xr:uid="{F116279E-BFAE-4702-BEA9-B5E8FDEEADA1}"/>
    <cellStyle name="Normal 2 4 2 4 3 2 6" xfId="18655" xr:uid="{AF32D0EA-F218-4B8F-9298-DB648BDBA299}"/>
    <cellStyle name="Normal 2 4 2 4 3 2 7" xfId="27102" xr:uid="{7A4CEA46-B5E0-4B3D-9EED-3489B3C9B5BC}"/>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16983" xr:uid="{18E5969A-8B59-4F28-B3F6-F838B903430E}"/>
    <cellStyle name="Normal 2 4 2 4 3 3 2 2 3" xfId="25430" xr:uid="{C04A8876-EC3B-40D0-9534-A9D53B3BC154}"/>
    <cellStyle name="Normal 2 4 2 4 3 3 2 2 4" xfId="33877" xr:uid="{F602DC59-6C3A-4395-B085-030202157CAE}"/>
    <cellStyle name="Normal 2 4 2 4 3 3 2 3" xfId="12766" xr:uid="{5E267415-3662-4A69-82BE-791E29099929}"/>
    <cellStyle name="Normal 2 4 2 4 3 3 2 4" xfId="21213" xr:uid="{8C95D5EF-0B99-425E-96EA-D4643F9CCEE4}"/>
    <cellStyle name="Normal 2 4 2 4 3 3 2 5" xfId="29660" xr:uid="{2D764AC5-A7A9-4624-B4BD-598B92E87191}"/>
    <cellStyle name="Normal 2 4 2 4 3 3 3" xfId="5512" xr:uid="{00000000-0005-0000-0000-0000670F0000}"/>
    <cellStyle name="Normal 2 4 2 4 3 3 3 2" xfId="14838" xr:uid="{3625E995-09FF-4930-A841-C95A5EF84D7A}"/>
    <cellStyle name="Normal 2 4 2 4 3 3 3 3" xfId="23285" xr:uid="{6A506A6D-A596-4CED-9DDB-94F4FD8602A5}"/>
    <cellStyle name="Normal 2 4 2 4 3 3 3 4" xfId="31732" xr:uid="{C873E2CA-FDC8-4D73-AE79-4890123C29E1}"/>
    <cellStyle name="Normal 2 4 2 4 3 3 4" xfId="10621" xr:uid="{B351B8D6-F04E-41E2-8CB5-C1EC086B63DD}"/>
    <cellStyle name="Normal 2 4 2 4 3 3 5" xfId="19068" xr:uid="{1FE438A3-EC90-4AC2-9ECD-BB169D0978DC}"/>
    <cellStyle name="Normal 2 4 2 4 3 3 6" xfId="27515" xr:uid="{89815330-7DCC-4A2E-9996-154DE7E133DB}"/>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17396" xr:uid="{8F3A4EDD-2DE4-4097-A8F9-82F6EB4847F7}"/>
    <cellStyle name="Normal 2 4 2 4 3 4 2 2 3" xfId="25843" xr:uid="{61F105E1-E872-473C-9B21-6445E305A0C0}"/>
    <cellStyle name="Normal 2 4 2 4 3 4 2 2 4" xfId="34290" xr:uid="{A6D1C868-E98F-4195-AABA-2DF3699849CE}"/>
    <cellStyle name="Normal 2 4 2 4 3 4 2 3" xfId="13179" xr:uid="{669749FA-90EA-40C9-A54D-94DE9FD200BB}"/>
    <cellStyle name="Normal 2 4 2 4 3 4 2 4" xfId="21626" xr:uid="{5068689E-457D-4D19-8B56-466A071088A7}"/>
    <cellStyle name="Normal 2 4 2 4 3 4 2 5" xfId="30073" xr:uid="{74013C26-17D6-4228-8013-38AC01BDC488}"/>
    <cellStyle name="Normal 2 4 2 4 3 4 3" xfId="5925" xr:uid="{00000000-0005-0000-0000-00006B0F0000}"/>
    <cellStyle name="Normal 2 4 2 4 3 4 3 2" xfId="15251" xr:uid="{FDB67C8A-902D-4870-992D-420179760579}"/>
    <cellStyle name="Normal 2 4 2 4 3 4 3 3" xfId="23698" xr:uid="{5866DD49-851E-45D7-95BB-3F7634FE014A}"/>
    <cellStyle name="Normal 2 4 2 4 3 4 3 4" xfId="32145" xr:uid="{8556AA56-F09E-4F09-A7FB-05B1C3F9B55D}"/>
    <cellStyle name="Normal 2 4 2 4 3 4 4" xfId="11034" xr:uid="{F10F0EDE-F750-4453-98F5-0FCEF9CB69E7}"/>
    <cellStyle name="Normal 2 4 2 4 3 4 5" xfId="19481" xr:uid="{D0C233DE-A9E6-4981-9F70-47A45ECF455B}"/>
    <cellStyle name="Normal 2 4 2 4 3 4 6" xfId="27928" xr:uid="{3D6D083C-7150-40FE-A482-E64235B0D90B}"/>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17809" xr:uid="{693886DF-1FD8-40F3-BE8C-FDEB7A394589}"/>
    <cellStyle name="Normal 2 4 2 4 3 5 2 2 3" xfId="26256" xr:uid="{C75CE8DF-2610-4DEF-97B0-C1A990CB57CA}"/>
    <cellStyle name="Normal 2 4 2 4 3 5 2 2 4" xfId="34703" xr:uid="{AAB8EC38-B262-4BC0-BD82-88104F756176}"/>
    <cellStyle name="Normal 2 4 2 4 3 5 2 3" xfId="13592" xr:uid="{9571BFE7-0673-4BD9-BE63-867562256423}"/>
    <cellStyle name="Normal 2 4 2 4 3 5 2 4" xfId="22039" xr:uid="{FF3A63DC-F843-4E73-A065-55848A2AA855}"/>
    <cellStyle name="Normal 2 4 2 4 3 5 2 5" xfId="30486" xr:uid="{E90765F4-FA0A-4EE9-AC99-D38D4C25EF1E}"/>
    <cellStyle name="Normal 2 4 2 4 3 5 3" xfId="6338" xr:uid="{00000000-0005-0000-0000-00006F0F0000}"/>
    <cellStyle name="Normal 2 4 2 4 3 5 3 2" xfId="15664" xr:uid="{B249E140-18CE-46F3-B3E3-31D5981C6F41}"/>
    <cellStyle name="Normal 2 4 2 4 3 5 3 3" xfId="24111" xr:uid="{A2F891BE-2C8C-47A0-96D3-D32CFF958387}"/>
    <cellStyle name="Normal 2 4 2 4 3 5 3 4" xfId="32558" xr:uid="{EA4E4149-F28F-4752-BDCB-DBCF390D7735}"/>
    <cellStyle name="Normal 2 4 2 4 3 5 4" xfId="11447" xr:uid="{6ECBD00F-D5B7-4E18-960D-7872C8F1DA2D}"/>
    <cellStyle name="Normal 2 4 2 4 3 5 5" xfId="19894" xr:uid="{6FF21C41-F452-434F-88F3-DA0C55EDB802}"/>
    <cellStyle name="Normal 2 4 2 4 3 5 6" xfId="28341" xr:uid="{BAF93735-1E68-40E5-B71C-5E6A4C0166CE}"/>
    <cellStyle name="Normal 2 4 2 4 3 6" xfId="2468" xr:uid="{00000000-0005-0000-0000-0000700F0000}"/>
    <cellStyle name="Normal 2 4 2 4 3 6 2" xfId="6751" xr:uid="{00000000-0005-0000-0000-0000710F0000}"/>
    <cellStyle name="Normal 2 4 2 4 3 6 2 2" xfId="16077" xr:uid="{38C16D1D-8596-4955-9208-27CC5D4B8B1C}"/>
    <cellStyle name="Normal 2 4 2 4 3 6 2 3" xfId="24524" xr:uid="{834D13B2-87F2-477E-AD6A-C22B53F8258A}"/>
    <cellStyle name="Normal 2 4 2 4 3 6 2 4" xfId="32971" xr:uid="{0E245753-CAA6-4635-AADB-73C46B5D15F6}"/>
    <cellStyle name="Normal 2 4 2 4 3 6 3" xfId="11860" xr:uid="{3030AB03-A306-4242-8624-94F491598256}"/>
    <cellStyle name="Normal 2 4 2 4 3 6 4" xfId="20307" xr:uid="{2F10EFBA-1816-4A2D-900D-01CCDD88618D}"/>
    <cellStyle name="Normal 2 4 2 4 3 6 5" xfId="28754" xr:uid="{98DAE1FF-D07E-4C2E-A279-E601E09D7A53}"/>
    <cellStyle name="Normal 2 4 2 4 3 7" xfId="4685" xr:uid="{00000000-0005-0000-0000-0000720F0000}"/>
    <cellStyle name="Normal 2 4 2 4 3 7 2" xfId="14011" xr:uid="{EF7D35F7-6E42-4E04-8932-DEC435B35C33}"/>
    <cellStyle name="Normal 2 4 2 4 3 7 3" xfId="22458" xr:uid="{B1CA1F30-13CB-4095-BE27-F7A69AE7FB53}"/>
    <cellStyle name="Normal 2 4 2 4 3 7 4" xfId="30905" xr:uid="{C72733CD-A8F2-432A-AECA-2224E48BF9C7}"/>
    <cellStyle name="Normal 2 4 2 4 3 8" xfId="9019" xr:uid="{1F22810F-FF7D-4FF4-861A-F2BA8F253428}"/>
    <cellStyle name="Normal 2 4 2 4 3 9" xfId="9794" xr:uid="{5A429A05-476F-4881-B8BF-A7BBCBD25264}"/>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16567" xr:uid="{BD1CECF5-754E-4C32-BAA1-EBC5D646E87B}"/>
    <cellStyle name="Normal 2 4 2 4 4 2 2 3" xfId="25014" xr:uid="{F4B37E54-0F67-4B1D-A1E6-5EB508450377}"/>
    <cellStyle name="Normal 2 4 2 4 4 2 2 4" xfId="33461" xr:uid="{F16100CD-1F43-48B4-92A4-BB495A1AC937}"/>
    <cellStyle name="Normal 2 4 2 4 4 2 3" xfId="12350" xr:uid="{1283D316-0812-46C4-BD30-26EFD90010A9}"/>
    <cellStyle name="Normal 2 4 2 4 4 2 4" xfId="20797" xr:uid="{687FAC1E-3AEE-4E26-9AA2-F96AE8E45FEF}"/>
    <cellStyle name="Normal 2 4 2 4 4 2 5" xfId="29244" xr:uid="{A0DBDB46-7485-44A7-9F85-71F751F9AC3A}"/>
    <cellStyle name="Normal 2 4 2 4 4 3" xfId="5096" xr:uid="{00000000-0005-0000-0000-0000760F0000}"/>
    <cellStyle name="Normal 2 4 2 4 4 3 2" xfId="14422" xr:uid="{EA17BB80-9CCD-4363-9B72-72CE2E43A0B5}"/>
    <cellStyle name="Normal 2 4 2 4 4 3 3" xfId="22869" xr:uid="{CB92036C-AC1B-4059-98B1-EC0CE83DDBFD}"/>
    <cellStyle name="Normal 2 4 2 4 4 3 4" xfId="31316" xr:uid="{7772C345-7134-4CE8-896E-BEF69F4512ED}"/>
    <cellStyle name="Normal 2 4 2 4 4 4" xfId="9237" xr:uid="{FF4B133D-A40B-4895-9E3D-E727B18E66C8}"/>
    <cellStyle name="Normal 2 4 2 4 4 5" xfId="10205" xr:uid="{55C660FF-89DD-4AB2-80A0-CA345FCED233}"/>
    <cellStyle name="Normal 2 4 2 4 4 6" xfId="18652" xr:uid="{E27A4D09-0E98-4422-AFAF-38CA3EF482EA}"/>
    <cellStyle name="Normal 2 4 2 4 4 7" xfId="27099" xr:uid="{7333D6AE-84F8-427C-82EE-621548B7B534}"/>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16980" xr:uid="{06314E15-41E2-423B-A6CE-BA1591FC0102}"/>
    <cellStyle name="Normal 2 4 2 4 5 2 2 3" xfId="25427" xr:uid="{DA5E412B-69AE-42A7-817F-45DB3BBB4A0F}"/>
    <cellStyle name="Normal 2 4 2 4 5 2 2 4" xfId="33874" xr:uid="{44F0543C-9581-4459-BC33-E74A61F8D4CE}"/>
    <cellStyle name="Normal 2 4 2 4 5 2 3" xfId="12763" xr:uid="{C397CF26-1F86-4E49-8E3F-94E3B42D90D4}"/>
    <cellStyle name="Normal 2 4 2 4 5 2 4" xfId="21210" xr:uid="{8A68D8A4-2364-412A-BFC3-E2F84B57A269}"/>
    <cellStyle name="Normal 2 4 2 4 5 2 5" xfId="29657" xr:uid="{C29CAEF1-20E7-442D-827E-EA9068E583BF}"/>
    <cellStyle name="Normal 2 4 2 4 5 3" xfId="5509" xr:uid="{00000000-0005-0000-0000-00007A0F0000}"/>
    <cellStyle name="Normal 2 4 2 4 5 3 2" xfId="14835" xr:uid="{7DF00CF5-E564-45D8-B2D9-48DF6708E3F6}"/>
    <cellStyle name="Normal 2 4 2 4 5 3 3" xfId="23282" xr:uid="{588C422D-7A9B-4186-A974-87AA9D153471}"/>
    <cellStyle name="Normal 2 4 2 4 5 3 4" xfId="31729" xr:uid="{FA9CD9C7-0AAE-4977-8B0E-F5FB703CD745}"/>
    <cellStyle name="Normal 2 4 2 4 5 4" xfId="10618" xr:uid="{0B204123-3500-45AF-A8A3-B61DF26BF332}"/>
    <cellStyle name="Normal 2 4 2 4 5 5" xfId="19065" xr:uid="{E605B440-E56D-450E-9AF0-50F1286CA78D}"/>
    <cellStyle name="Normal 2 4 2 4 5 6" xfId="27512" xr:uid="{22C8DD35-6F70-4480-BD26-5D0B73E5522F}"/>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17393" xr:uid="{9B40EAAE-05D5-4E12-9076-14E170EAA391}"/>
    <cellStyle name="Normal 2 4 2 4 6 2 2 3" xfId="25840" xr:uid="{26341FD7-BCAF-47EF-9313-771605022090}"/>
    <cellStyle name="Normal 2 4 2 4 6 2 2 4" xfId="34287" xr:uid="{59592A8F-E056-40CC-8905-7EC2020B7867}"/>
    <cellStyle name="Normal 2 4 2 4 6 2 3" xfId="13176" xr:uid="{04AB6F08-D42A-497F-A705-CC3C6A043199}"/>
    <cellStyle name="Normal 2 4 2 4 6 2 4" xfId="21623" xr:uid="{5434EE15-CB11-44AE-AEC1-89A8FC841EB8}"/>
    <cellStyle name="Normal 2 4 2 4 6 2 5" xfId="30070" xr:uid="{2A4A2796-1202-4E79-BE1E-6012BDA673A7}"/>
    <cellStyle name="Normal 2 4 2 4 6 3" xfId="5922" xr:uid="{00000000-0005-0000-0000-00007E0F0000}"/>
    <cellStyle name="Normal 2 4 2 4 6 3 2" xfId="15248" xr:uid="{98D2E447-9BBF-4742-93DD-6F901ED4FE41}"/>
    <cellStyle name="Normal 2 4 2 4 6 3 3" xfId="23695" xr:uid="{F769FD22-3048-4D2A-984A-B273BAAFCCF0}"/>
    <cellStyle name="Normal 2 4 2 4 6 3 4" xfId="32142" xr:uid="{B8E6B6C4-89DE-4426-8CA3-DDB7D864E5E8}"/>
    <cellStyle name="Normal 2 4 2 4 6 4" xfId="11031" xr:uid="{5D545B06-0A41-44F2-89B1-9B3175F0B03A}"/>
    <cellStyle name="Normal 2 4 2 4 6 5" xfId="19478" xr:uid="{596CD82D-9067-4956-B3F7-AD4484BFA730}"/>
    <cellStyle name="Normal 2 4 2 4 6 6" xfId="27925" xr:uid="{A027A6EF-A238-4C40-A6A2-E144062C58AB}"/>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17806" xr:uid="{4C4F5F95-2BC8-4A2B-BBC7-BB375F64772F}"/>
    <cellStyle name="Normal 2 4 2 4 7 2 2 3" xfId="26253" xr:uid="{90D7415C-9EB6-4F96-85BD-8D91782089A7}"/>
    <cellStyle name="Normal 2 4 2 4 7 2 2 4" xfId="34700" xr:uid="{A2CAB954-83C5-4DF1-B861-B1AD37954889}"/>
    <cellStyle name="Normal 2 4 2 4 7 2 3" xfId="13589" xr:uid="{2D00EA0C-C9B5-446D-B962-512FFCE4AC49}"/>
    <cellStyle name="Normal 2 4 2 4 7 2 4" xfId="22036" xr:uid="{594BA638-F9D7-4A3E-A4F2-426F75D17E9E}"/>
    <cellStyle name="Normal 2 4 2 4 7 2 5" xfId="30483" xr:uid="{A27B956A-19EF-4542-B92B-B5E6B3835372}"/>
    <cellStyle name="Normal 2 4 2 4 7 3" xfId="6335" xr:uid="{00000000-0005-0000-0000-0000820F0000}"/>
    <cellStyle name="Normal 2 4 2 4 7 3 2" xfId="15661" xr:uid="{9A56D3BF-A9DA-484C-BC61-365396C57665}"/>
    <cellStyle name="Normal 2 4 2 4 7 3 3" xfId="24108" xr:uid="{E74B51BE-F5A2-43C3-A535-0C987C82E0A3}"/>
    <cellStyle name="Normal 2 4 2 4 7 3 4" xfId="32555" xr:uid="{CFDFB888-8F06-4DAC-BD12-F44A2CF343C7}"/>
    <cellStyle name="Normal 2 4 2 4 7 4" xfId="11444" xr:uid="{F67261E6-F2AE-47E4-AB1B-8F2200F67D29}"/>
    <cellStyle name="Normal 2 4 2 4 7 5" xfId="19891" xr:uid="{49DACD02-E08F-49F5-9DF4-41DF1D6A9949}"/>
    <cellStyle name="Normal 2 4 2 4 7 6" xfId="28338" xr:uid="{F2336174-6549-45C6-A39B-19B6B8297FE8}"/>
    <cellStyle name="Normal 2 4 2 4 8" xfId="2465" xr:uid="{00000000-0005-0000-0000-0000830F0000}"/>
    <cellStyle name="Normal 2 4 2 4 8 2" xfId="6748" xr:uid="{00000000-0005-0000-0000-0000840F0000}"/>
    <cellStyle name="Normal 2 4 2 4 8 2 2" xfId="16074" xr:uid="{A8D2B1E4-33FA-40D0-99B9-CBD3C33E93DA}"/>
    <cellStyle name="Normal 2 4 2 4 8 2 3" xfId="24521" xr:uid="{09538CD1-0F7C-4B0B-AFB8-7DD7464C8E4C}"/>
    <cellStyle name="Normal 2 4 2 4 8 2 4" xfId="32968" xr:uid="{1BB40D64-D5F7-40A3-96BE-626A5EDDE836}"/>
    <cellStyle name="Normal 2 4 2 4 8 3" xfId="11857" xr:uid="{7681704F-5AF9-4A31-B125-94439F3493A0}"/>
    <cellStyle name="Normal 2 4 2 4 8 4" xfId="20304" xr:uid="{193431BC-0ADB-472B-A36B-81BFA57007EA}"/>
    <cellStyle name="Normal 2 4 2 4 8 5" xfId="28751" xr:uid="{3ADEAEC3-20CB-438B-9943-2733B532C6B0}"/>
    <cellStyle name="Normal 2 4 2 4 9" xfId="4682" xr:uid="{00000000-0005-0000-0000-0000850F0000}"/>
    <cellStyle name="Normal 2 4 2 4 9 2" xfId="14008" xr:uid="{AC1B9D43-C867-459D-850D-F9FCF78CB7AB}"/>
    <cellStyle name="Normal 2 4 2 4 9 3" xfId="22455" xr:uid="{6ACBCA0E-B704-42BA-B5BF-F1C59F0E6766}"/>
    <cellStyle name="Normal 2 4 2 4 9 4" xfId="30902" xr:uid="{B81C39D9-FE48-4CB7-8D8B-E1330395BDB7}"/>
    <cellStyle name="Normal 2 4 2 5" xfId="293" xr:uid="{00000000-0005-0000-0000-0000860F0000}"/>
    <cellStyle name="Normal 2 4 2 5 10" xfId="9795" xr:uid="{3F2691C8-867A-4F1B-86AD-BCDB41CE294D}"/>
    <cellStyle name="Normal 2 4 2 5 11" xfId="18242" xr:uid="{F5F18C1C-F27D-44BA-9E04-1EC770211B4F}"/>
    <cellStyle name="Normal 2 4 2 5 12" xfId="26689" xr:uid="{ED60A7F8-6EA5-4D40-839B-FBD7EE1717D5}"/>
    <cellStyle name="Normal 2 4 2 5 2" xfId="294" xr:uid="{00000000-0005-0000-0000-0000870F0000}"/>
    <cellStyle name="Normal 2 4 2 5 2 10" xfId="18243" xr:uid="{ACA89000-4E01-422F-96BD-BD9D225DD29E}"/>
    <cellStyle name="Normal 2 4 2 5 2 11" xfId="26690" xr:uid="{BB8BDAD5-20CA-46CB-9C0C-8D3056FE6C44}"/>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16572" xr:uid="{F52EF696-CEF5-41E8-8238-A8877A7BC47A}"/>
    <cellStyle name="Normal 2 4 2 5 2 2 2 2 3" xfId="25019" xr:uid="{3B1147D9-008A-47D8-BD6B-8EB2B868A512}"/>
    <cellStyle name="Normal 2 4 2 5 2 2 2 2 4" xfId="33466" xr:uid="{DAB8B996-96CA-4DC2-8AC9-61626A235856}"/>
    <cellStyle name="Normal 2 4 2 5 2 2 2 3" xfId="12355" xr:uid="{75043676-7DFF-40F4-B14E-506359B8B05C}"/>
    <cellStyle name="Normal 2 4 2 5 2 2 2 4" xfId="20802" xr:uid="{C7721BD0-5D5A-402C-9E03-AC7BCF691868}"/>
    <cellStyle name="Normal 2 4 2 5 2 2 2 5" xfId="29249" xr:uid="{0981A9FC-D528-44D3-8E06-7F28E02F65A7}"/>
    <cellStyle name="Normal 2 4 2 5 2 2 3" xfId="5101" xr:uid="{00000000-0005-0000-0000-00008B0F0000}"/>
    <cellStyle name="Normal 2 4 2 5 2 2 3 2" xfId="14427" xr:uid="{0111DA07-BA5D-463B-93D6-6EF6D730B1C6}"/>
    <cellStyle name="Normal 2 4 2 5 2 2 3 3" xfId="22874" xr:uid="{BFA065CC-6DE2-4FDD-BFEC-825CB9E215CB}"/>
    <cellStyle name="Normal 2 4 2 5 2 2 3 4" xfId="31321" xr:uid="{60BF62CC-9D26-40FC-8944-20B2A2E87510}"/>
    <cellStyle name="Normal 2 4 2 5 2 2 4" xfId="9492" xr:uid="{07DC9204-2F52-408E-80EE-617A106DD9FD}"/>
    <cellStyle name="Normal 2 4 2 5 2 2 5" xfId="10210" xr:uid="{A649ACC3-C9CB-4BCE-9459-CBE26DA3D53B}"/>
    <cellStyle name="Normal 2 4 2 5 2 2 6" xfId="18657" xr:uid="{86CC6C4D-EDF8-4599-B84E-E73B06409871}"/>
    <cellStyle name="Normal 2 4 2 5 2 2 7" xfId="27104" xr:uid="{3222A5E8-A996-4700-AFD0-44A05714467C}"/>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16985" xr:uid="{DFBDF8F6-EFFC-40A8-B4FE-A591AC095B48}"/>
    <cellStyle name="Normal 2 4 2 5 2 3 2 2 3" xfId="25432" xr:uid="{5C0B352C-BF5F-43B2-9F5C-FE3CA356D412}"/>
    <cellStyle name="Normal 2 4 2 5 2 3 2 2 4" xfId="33879" xr:uid="{3D84C63D-5BA9-4BE0-BEBB-15BD81D5C1C4}"/>
    <cellStyle name="Normal 2 4 2 5 2 3 2 3" xfId="12768" xr:uid="{9E1428B5-380F-4357-8007-9ABF0698BAE3}"/>
    <cellStyle name="Normal 2 4 2 5 2 3 2 4" xfId="21215" xr:uid="{398FE3AF-5610-4BC3-9CB7-25A5F8E83FEB}"/>
    <cellStyle name="Normal 2 4 2 5 2 3 2 5" xfId="29662" xr:uid="{639B05FA-D7B7-4632-9A8A-5953E9DB82C8}"/>
    <cellStyle name="Normal 2 4 2 5 2 3 3" xfId="5514" xr:uid="{00000000-0005-0000-0000-00008F0F0000}"/>
    <cellStyle name="Normal 2 4 2 5 2 3 3 2" xfId="14840" xr:uid="{4A2971A4-DD65-45B2-B033-0B1923F3D0C3}"/>
    <cellStyle name="Normal 2 4 2 5 2 3 3 3" xfId="23287" xr:uid="{E1635FDD-C678-44DB-BF70-9BCEFE50B633}"/>
    <cellStyle name="Normal 2 4 2 5 2 3 3 4" xfId="31734" xr:uid="{9BC86C62-DA77-4D48-99A9-936A1C654871}"/>
    <cellStyle name="Normal 2 4 2 5 2 3 4" xfId="10623" xr:uid="{5C381A1F-D87A-4FB3-809D-4BF03532B16A}"/>
    <cellStyle name="Normal 2 4 2 5 2 3 5" xfId="19070" xr:uid="{A523A061-34BB-4B9D-A555-C20750652192}"/>
    <cellStyle name="Normal 2 4 2 5 2 3 6" xfId="27517" xr:uid="{4DC56D6D-5F6F-4FFA-A0E9-7D41DBD44354}"/>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17398" xr:uid="{FDF0C7A3-30FD-44FF-B92B-CBC3D2F98806}"/>
    <cellStyle name="Normal 2 4 2 5 2 4 2 2 3" xfId="25845" xr:uid="{E703B910-E7EC-4772-8F7A-91A6E889BEEA}"/>
    <cellStyle name="Normal 2 4 2 5 2 4 2 2 4" xfId="34292" xr:uid="{D0904052-AA27-40F0-B429-4BEA049ED8B5}"/>
    <cellStyle name="Normal 2 4 2 5 2 4 2 3" xfId="13181" xr:uid="{B29C2DDE-FE91-41C3-94AA-B95BF7243074}"/>
    <cellStyle name="Normal 2 4 2 5 2 4 2 4" xfId="21628" xr:uid="{43FED91A-18B4-49E6-8E16-63A46397DBAE}"/>
    <cellStyle name="Normal 2 4 2 5 2 4 2 5" xfId="30075" xr:uid="{FCDC3086-A37B-44DF-8480-F52202C07C21}"/>
    <cellStyle name="Normal 2 4 2 5 2 4 3" xfId="5927" xr:uid="{00000000-0005-0000-0000-0000930F0000}"/>
    <cellStyle name="Normal 2 4 2 5 2 4 3 2" xfId="15253" xr:uid="{8C9F9384-F799-4679-A15A-E21A1D744647}"/>
    <cellStyle name="Normal 2 4 2 5 2 4 3 3" xfId="23700" xr:uid="{EA0135F1-4CF8-428A-8838-64CD4E4BAD0B}"/>
    <cellStyle name="Normal 2 4 2 5 2 4 3 4" xfId="32147" xr:uid="{639F3FC4-1956-4388-8E75-28DEF2356D89}"/>
    <cellStyle name="Normal 2 4 2 5 2 4 4" xfId="11036" xr:uid="{F0757EBA-AC93-4FB7-BC54-F5A49867F66B}"/>
    <cellStyle name="Normal 2 4 2 5 2 4 5" xfId="19483" xr:uid="{3A18A983-C08C-4A75-BEB0-438ACD0D33B0}"/>
    <cellStyle name="Normal 2 4 2 5 2 4 6" xfId="27930" xr:uid="{89FD1C72-8ABE-4C51-BA08-BD8058657D66}"/>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17811" xr:uid="{BB6F11A5-4188-45B9-8AF0-508E7E8F3D42}"/>
    <cellStyle name="Normal 2 4 2 5 2 5 2 2 3" xfId="26258" xr:uid="{01D21F7C-BE47-4475-8496-3CAD07478E65}"/>
    <cellStyle name="Normal 2 4 2 5 2 5 2 2 4" xfId="34705" xr:uid="{5BE0989E-54A3-4662-9A17-F4983245D47C}"/>
    <cellStyle name="Normal 2 4 2 5 2 5 2 3" xfId="13594" xr:uid="{AFD8C86E-9D05-4A1B-8A35-5790599E9BBF}"/>
    <cellStyle name="Normal 2 4 2 5 2 5 2 4" xfId="22041" xr:uid="{D92695C7-8A18-4447-A271-B2DA9501D372}"/>
    <cellStyle name="Normal 2 4 2 5 2 5 2 5" xfId="30488" xr:uid="{47BEA065-5B43-4F11-A742-512E83528951}"/>
    <cellStyle name="Normal 2 4 2 5 2 5 3" xfId="6340" xr:uid="{00000000-0005-0000-0000-0000970F0000}"/>
    <cellStyle name="Normal 2 4 2 5 2 5 3 2" xfId="15666" xr:uid="{D8B2A86A-4321-4B51-941A-21804D8B8F2F}"/>
    <cellStyle name="Normal 2 4 2 5 2 5 3 3" xfId="24113" xr:uid="{15D2752B-C0CB-4E48-A535-02CFAF827FE6}"/>
    <cellStyle name="Normal 2 4 2 5 2 5 3 4" xfId="32560" xr:uid="{3DDD70DD-9737-4489-8D87-90311AA09A10}"/>
    <cellStyle name="Normal 2 4 2 5 2 5 4" xfId="11449" xr:uid="{9BA6B025-CEBF-4FAC-9C75-A0B1978EDDB4}"/>
    <cellStyle name="Normal 2 4 2 5 2 5 5" xfId="19896" xr:uid="{5A353906-8FE1-4E06-A15D-DAA9ACB53BAB}"/>
    <cellStyle name="Normal 2 4 2 5 2 5 6" xfId="28343" xr:uid="{1B700B36-714F-463C-9772-D4E79E6CF8BE}"/>
    <cellStyle name="Normal 2 4 2 5 2 6" xfId="2470" xr:uid="{00000000-0005-0000-0000-0000980F0000}"/>
    <cellStyle name="Normal 2 4 2 5 2 6 2" xfId="6753" xr:uid="{00000000-0005-0000-0000-0000990F0000}"/>
    <cellStyle name="Normal 2 4 2 5 2 6 2 2" xfId="16079" xr:uid="{06FAFB23-BCA4-4F81-A203-398943B98110}"/>
    <cellStyle name="Normal 2 4 2 5 2 6 2 3" xfId="24526" xr:uid="{F50D4B97-59FB-4869-B177-2ECC9D5EA7D0}"/>
    <cellStyle name="Normal 2 4 2 5 2 6 2 4" xfId="32973" xr:uid="{9725E13B-F9FF-443E-9CB9-427B0E5E39EC}"/>
    <cellStyle name="Normal 2 4 2 5 2 6 3" xfId="11862" xr:uid="{659B7E8E-E754-4A5B-808E-2F480B37356C}"/>
    <cellStyle name="Normal 2 4 2 5 2 6 4" xfId="20309" xr:uid="{D485C43B-5E81-4314-91B0-0A9A2591C8AF}"/>
    <cellStyle name="Normal 2 4 2 5 2 6 5" xfId="28756" xr:uid="{E43EB450-65A4-4B6A-ACFD-4EC91D70E812}"/>
    <cellStyle name="Normal 2 4 2 5 2 7" xfId="4687" xr:uid="{00000000-0005-0000-0000-00009A0F0000}"/>
    <cellStyle name="Normal 2 4 2 5 2 7 2" xfId="14013" xr:uid="{30803192-F053-41EC-817E-58A387683943}"/>
    <cellStyle name="Normal 2 4 2 5 2 7 3" xfId="22460" xr:uid="{FE810323-DED2-4C82-803E-401660FCAE0C}"/>
    <cellStyle name="Normal 2 4 2 5 2 7 4" xfId="30907" xr:uid="{0757BC72-DD11-43C2-B071-20C36D698939}"/>
    <cellStyle name="Normal 2 4 2 5 2 8" xfId="9067" xr:uid="{89D5CB5A-ADE0-44B8-BC1E-FDE984B579C9}"/>
    <cellStyle name="Normal 2 4 2 5 2 9" xfId="9796" xr:uid="{F720C50E-5C3D-4065-B1FB-8646F802FDFA}"/>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16571" xr:uid="{4AB843BE-DD2D-4F62-A89A-750C21BA0EF7}"/>
    <cellStyle name="Normal 2 4 2 5 3 2 2 3" xfId="25018" xr:uid="{C4680B1F-FC65-498D-873C-BFDE55A7CAE9}"/>
    <cellStyle name="Normal 2 4 2 5 3 2 2 4" xfId="33465" xr:uid="{663F7259-DB55-4FC6-8626-D7FC1802EB34}"/>
    <cellStyle name="Normal 2 4 2 5 3 2 3" xfId="12354" xr:uid="{E640E912-0602-47C5-8F8F-09149D21662A}"/>
    <cellStyle name="Normal 2 4 2 5 3 2 4" xfId="20801" xr:uid="{E63250C1-CC40-4948-BD78-9D3D1DBD4051}"/>
    <cellStyle name="Normal 2 4 2 5 3 2 5" xfId="29248" xr:uid="{B7787559-BE28-4928-808C-CE016E9740FD}"/>
    <cellStyle name="Normal 2 4 2 5 3 3" xfId="5100" xr:uid="{00000000-0005-0000-0000-00009E0F0000}"/>
    <cellStyle name="Normal 2 4 2 5 3 3 2" xfId="14426" xr:uid="{7B89DE04-D790-4073-85F7-E2D8FC960F57}"/>
    <cellStyle name="Normal 2 4 2 5 3 3 3" xfId="22873" xr:uid="{EC82BF86-9D64-40FD-BB74-13BAF40689AE}"/>
    <cellStyle name="Normal 2 4 2 5 3 3 4" xfId="31320" xr:uid="{407426F0-E4FC-4102-810B-7C8E031F21B8}"/>
    <cellStyle name="Normal 2 4 2 5 3 4" xfId="9285" xr:uid="{5DA39FB9-904E-46D3-8E24-58BF2F19DA5B}"/>
    <cellStyle name="Normal 2 4 2 5 3 5" xfId="10209" xr:uid="{933E4390-ED67-469C-92E5-4F89C7EADB78}"/>
    <cellStyle name="Normal 2 4 2 5 3 6" xfId="18656" xr:uid="{1F0761F3-957B-4839-A7C6-C063B39CC654}"/>
    <cellStyle name="Normal 2 4 2 5 3 7" xfId="27103" xr:uid="{7A232EB5-DB4C-4D5B-BDC4-7CB66917738C}"/>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16984" xr:uid="{0C5814ED-29DE-4096-A7C2-798C0DBB296A}"/>
    <cellStyle name="Normal 2 4 2 5 4 2 2 3" xfId="25431" xr:uid="{FC7F460A-6459-4A85-A356-87502D6DAA3D}"/>
    <cellStyle name="Normal 2 4 2 5 4 2 2 4" xfId="33878" xr:uid="{E300A6AD-AFAD-4053-AFDC-D9E8B7A2FEFF}"/>
    <cellStyle name="Normal 2 4 2 5 4 2 3" xfId="12767" xr:uid="{D8BA54CF-FBA3-426D-AB99-BFA358F4659A}"/>
    <cellStyle name="Normal 2 4 2 5 4 2 4" xfId="21214" xr:uid="{C1DB9F52-CCD4-43FC-8757-82894ABA2472}"/>
    <cellStyle name="Normal 2 4 2 5 4 2 5" xfId="29661" xr:uid="{904E633F-1A49-4353-BC87-778BE7F1E09F}"/>
    <cellStyle name="Normal 2 4 2 5 4 3" xfId="5513" xr:uid="{00000000-0005-0000-0000-0000A20F0000}"/>
    <cellStyle name="Normal 2 4 2 5 4 3 2" xfId="14839" xr:uid="{680CFDEF-12DB-4153-97C9-995779D79E6A}"/>
    <cellStyle name="Normal 2 4 2 5 4 3 3" xfId="23286" xr:uid="{24EA67E7-0ED9-4AA3-8BCB-031A21933BEC}"/>
    <cellStyle name="Normal 2 4 2 5 4 3 4" xfId="31733" xr:uid="{BE293039-A376-4924-B618-AAB7DB1F9008}"/>
    <cellStyle name="Normal 2 4 2 5 4 4" xfId="10622" xr:uid="{67C100C8-2430-4BEC-BAF1-7C18FED6A890}"/>
    <cellStyle name="Normal 2 4 2 5 4 5" xfId="19069" xr:uid="{37C1D1EC-46F4-41FB-A3ED-B4D3AC9BBDA2}"/>
    <cellStyle name="Normal 2 4 2 5 4 6" xfId="27516" xr:uid="{E18655A7-7608-4BCB-8499-3EDA475B69BB}"/>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17397" xr:uid="{51778053-EF6D-4848-AA2E-F12EAF4BD4A4}"/>
    <cellStyle name="Normal 2 4 2 5 5 2 2 3" xfId="25844" xr:uid="{F3863975-413F-4239-93BE-E32A3B86C66F}"/>
    <cellStyle name="Normal 2 4 2 5 5 2 2 4" xfId="34291" xr:uid="{CA25E7CA-FC97-42E0-9AD2-1C213E851925}"/>
    <cellStyle name="Normal 2 4 2 5 5 2 3" xfId="13180" xr:uid="{3F050536-6B39-4928-B962-04BC77A5CC06}"/>
    <cellStyle name="Normal 2 4 2 5 5 2 4" xfId="21627" xr:uid="{C2748FF0-A554-4B0F-991D-3C0085CF1442}"/>
    <cellStyle name="Normal 2 4 2 5 5 2 5" xfId="30074" xr:uid="{33F78D62-3194-42D9-8F99-2723BF422E4E}"/>
    <cellStyle name="Normal 2 4 2 5 5 3" xfId="5926" xr:uid="{00000000-0005-0000-0000-0000A60F0000}"/>
    <cellStyle name="Normal 2 4 2 5 5 3 2" xfId="15252" xr:uid="{0FC2E8AA-53C2-4D9C-A56D-6D1E5FF8A338}"/>
    <cellStyle name="Normal 2 4 2 5 5 3 3" xfId="23699" xr:uid="{DD09EDFF-7E4F-425C-9A6E-C48EA8B5958E}"/>
    <cellStyle name="Normal 2 4 2 5 5 3 4" xfId="32146" xr:uid="{3987CB09-5A0D-4D21-A738-7A290DEFA04A}"/>
    <cellStyle name="Normal 2 4 2 5 5 4" xfId="11035" xr:uid="{B6E2B163-6704-46B3-B207-6FF6BC7264ED}"/>
    <cellStyle name="Normal 2 4 2 5 5 5" xfId="19482" xr:uid="{E5D3E8A9-5707-4B0A-83B1-F7BEACD00F1D}"/>
    <cellStyle name="Normal 2 4 2 5 5 6" xfId="27929" xr:uid="{CDAAC3B1-C64D-4D07-8F68-03AAD21F5B33}"/>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17810" xr:uid="{12E3D003-39D5-4688-9BBD-F4073C765142}"/>
    <cellStyle name="Normal 2 4 2 5 6 2 2 3" xfId="26257" xr:uid="{CC5C180A-6609-4B9D-8288-7A94A7A96F49}"/>
    <cellStyle name="Normal 2 4 2 5 6 2 2 4" xfId="34704" xr:uid="{167CA855-809C-40A0-A27A-89D277E887C6}"/>
    <cellStyle name="Normal 2 4 2 5 6 2 3" xfId="13593" xr:uid="{D7D3A884-3EF1-48DA-9C5D-77EE98F8B509}"/>
    <cellStyle name="Normal 2 4 2 5 6 2 4" xfId="22040" xr:uid="{4ECFFD3A-2AFB-438E-872B-F0F4620922DA}"/>
    <cellStyle name="Normal 2 4 2 5 6 2 5" xfId="30487" xr:uid="{E305EE41-8F65-4EF9-B102-096B33DBBDE1}"/>
    <cellStyle name="Normal 2 4 2 5 6 3" xfId="6339" xr:uid="{00000000-0005-0000-0000-0000AA0F0000}"/>
    <cellStyle name="Normal 2 4 2 5 6 3 2" xfId="15665" xr:uid="{B15BD173-F67B-4ACD-8BF2-599868905F39}"/>
    <cellStyle name="Normal 2 4 2 5 6 3 3" xfId="24112" xr:uid="{7B0F9B8E-36C5-4E9E-AFF5-FA13ECEB34C4}"/>
    <cellStyle name="Normal 2 4 2 5 6 3 4" xfId="32559" xr:uid="{357BBDD0-CEAC-4BA8-A322-208A96A37542}"/>
    <cellStyle name="Normal 2 4 2 5 6 4" xfId="11448" xr:uid="{69C11E59-0B77-4CEA-976C-9C7AFEDAD8B1}"/>
    <cellStyle name="Normal 2 4 2 5 6 5" xfId="19895" xr:uid="{9D2FA81B-E54D-4D2B-A638-0AB74458BE86}"/>
    <cellStyle name="Normal 2 4 2 5 6 6" xfId="28342" xr:uid="{D0C7F92D-B7BA-4975-B8C5-F831E2D94463}"/>
    <cellStyle name="Normal 2 4 2 5 7" xfId="2469" xr:uid="{00000000-0005-0000-0000-0000AB0F0000}"/>
    <cellStyle name="Normal 2 4 2 5 7 2" xfId="6752" xr:uid="{00000000-0005-0000-0000-0000AC0F0000}"/>
    <cellStyle name="Normal 2 4 2 5 7 2 2" xfId="16078" xr:uid="{732447F0-7902-47DB-9DAC-55B81A700ADD}"/>
    <cellStyle name="Normal 2 4 2 5 7 2 3" xfId="24525" xr:uid="{C0192833-E398-4EC1-93F1-5558B26203BB}"/>
    <cellStyle name="Normal 2 4 2 5 7 2 4" xfId="32972" xr:uid="{740E2FE6-0713-495C-8161-9E94F4E79AEF}"/>
    <cellStyle name="Normal 2 4 2 5 7 3" xfId="11861" xr:uid="{7E80130F-0A7A-4F1C-993F-317F3FBC3E74}"/>
    <cellStyle name="Normal 2 4 2 5 7 4" xfId="20308" xr:uid="{B780D7AD-C33E-4C45-8216-D631A8E822AD}"/>
    <cellStyle name="Normal 2 4 2 5 7 5" xfId="28755" xr:uid="{67A6FB75-78F7-409C-AA93-61E8EE4B0605}"/>
    <cellStyle name="Normal 2 4 2 5 8" xfId="4686" xr:uid="{00000000-0005-0000-0000-0000AD0F0000}"/>
    <cellStyle name="Normal 2 4 2 5 8 2" xfId="14012" xr:uid="{4A334435-86A3-48FF-8C38-2925BBA70B66}"/>
    <cellStyle name="Normal 2 4 2 5 8 3" xfId="22459" xr:uid="{D2D08987-5EC6-4D60-B1B0-7D617F2BFE43}"/>
    <cellStyle name="Normal 2 4 2 5 8 4" xfId="30906" xr:uid="{E34FB51B-ED47-4ABF-995F-FF9EC1F365B1}"/>
    <cellStyle name="Normal 2 4 2 5 9" xfId="8860" xr:uid="{5FAFEFC0-3249-464B-9F12-2B1DA137C588}"/>
    <cellStyle name="Normal 2 4 2 6" xfId="295" xr:uid="{00000000-0005-0000-0000-0000AE0F0000}"/>
    <cellStyle name="Normal 2 4 2 6 10" xfId="18244" xr:uid="{EFCED747-52D7-4AD9-A70A-C27C9318C185}"/>
    <cellStyle name="Normal 2 4 2 6 11" xfId="26691" xr:uid="{F42EA645-3EA2-4452-9B99-2E358F619BC3}"/>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16573" xr:uid="{4A8E4A40-356C-494A-914C-50DD10CA50CA}"/>
    <cellStyle name="Normal 2 4 2 6 2 2 2 3" xfId="25020" xr:uid="{A29D6D65-43F6-4FAA-8F4F-7FA83E02E006}"/>
    <cellStyle name="Normal 2 4 2 6 2 2 2 4" xfId="33467" xr:uid="{0711CDF1-7EA2-40BA-904C-F447E86BBB13}"/>
    <cellStyle name="Normal 2 4 2 6 2 2 3" xfId="12356" xr:uid="{251F2181-C1B9-4514-ABB0-651BF56F11BA}"/>
    <cellStyle name="Normal 2 4 2 6 2 2 4" xfId="20803" xr:uid="{D7CBA20A-E73A-4A9F-9C32-7390AB6162DE}"/>
    <cellStyle name="Normal 2 4 2 6 2 2 5" xfId="29250" xr:uid="{A936A610-F067-442E-9CF7-DC03DAA21037}"/>
    <cellStyle name="Normal 2 4 2 6 2 3" xfId="5102" xr:uid="{00000000-0005-0000-0000-0000B20F0000}"/>
    <cellStyle name="Normal 2 4 2 6 2 3 2" xfId="14428" xr:uid="{C36F9FE9-4F6A-4C93-8E4B-4138F4BEE752}"/>
    <cellStyle name="Normal 2 4 2 6 2 3 3" xfId="22875" xr:uid="{2EDE7DAE-023E-439F-BA04-49253ED0EE5D}"/>
    <cellStyle name="Normal 2 4 2 6 2 3 4" xfId="31322" xr:uid="{B3453035-E452-4FCB-82BF-E849EB91713D}"/>
    <cellStyle name="Normal 2 4 2 6 2 4" xfId="9401" xr:uid="{C89DD342-23DD-474B-84C5-F9DED42F169B}"/>
    <cellStyle name="Normal 2 4 2 6 2 5" xfId="10211" xr:uid="{FED5F098-9772-40BB-B571-03805EAEC127}"/>
    <cellStyle name="Normal 2 4 2 6 2 6" xfId="18658" xr:uid="{030E3105-AC17-47B4-AB3D-EBDCB65E7CBB}"/>
    <cellStyle name="Normal 2 4 2 6 2 7" xfId="27105" xr:uid="{62CE10DF-4A87-4A00-871A-A47261FF8D28}"/>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16986" xr:uid="{D266C885-128D-492B-AA55-0746D0746C73}"/>
    <cellStyle name="Normal 2 4 2 6 3 2 2 3" xfId="25433" xr:uid="{375DCBB2-E4E4-44F6-BD1D-879B2FDDF11C}"/>
    <cellStyle name="Normal 2 4 2 6 3 2 2 4" xfId="33880" xr:uid="{D32D233F-11BD-48B9-8FB2-BFF555DE2D85}"/>
    <cellStyle name="Normal 2 4 2 6 3 2 3" xfId="12769" xr:uid="{8382B1FA-FF6C-4509-A65D-5A6DEBF9E1BC}"/>
    <cellStyle name="Normal 2 4 2 6 3 2 4" xfId="21216" xr:uid="{A101165D-C594-4902-A84F-FC6F2E647E1D}"/>
    <cellStyle name="Normal 2 4 2 6 3 2 5" xfId="29663" xr:uid="{A54DD5E0-9C6D-48C1-B4C8-13009A983E34}"/>
    <cellStyle name="Normal 2 4 2 6 3 3" xfId="5515" xr:uid="{00000000-0005-0000-0000-0000B60F0000}"/>
    <cellStyle name="Normal 2 4 2 6 3 3 2" xfId="14841" xr:uid="{7A7A79D1-C1D3-46B3-B2A0-AF31A607E60A}"/>
    <cellStyle name="Normal 2 4 2 6 3 3 3" xfId="23288" xr:uid="{5634FF4D-4797-494C-ACB2-9AC7B6E985B3}"/>
    <cellStyle name="Normal 2 4 2 6 3 3 4" xfId="31735" xr:uid="{8277856A-7809-4CA6-9A3B-71AF411413F1}"/>
    <cellStyle name="Normal 2 4 2 6 3 4" xfId="10624" xr:uid="{87B67C11-A9AA-436B-A407-D827B70E6C2F}"/>
    <cellStyle name="Normal 2 4 2 6 3 5" xfId="19071" xr:uid="{8E93CA09-2E08-4743-9BC7-06625A651DED}"/>
    <cellStyle name="Normal 2 4 2 6 3 6" xfId="27518" xr:uid="{E0B984E5-DC08-483B-8936-2C50E6473DCE}"/>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17399" xr:uid="{D8DACE2F-E30A-4046-9C4E-EA7AB6D8D666}"/>
    <cellStyle name="Normal 2 4 2 6 4 2 2 3" xfId="25846" xr:uid="{C9588BE3-26E0-4CC7-867A-0C0D61A79A47}"/>
    <cellStyle name="Normal 2 4 2 6 4 2 2 4" xfId="34293" xr:uid="{2E5A9C2F-A7E7-4633-A31B-18F07C680441}"/>
    <cellStyle name="Normal 2 4 2 6 4 2 3" xfId="13182" xr:uid="{F3BBF347-6A51-4D68-B93A-0075B59174D1}"/>
    <cellStyle name="Normal 2 4 2 6 4 2 4" xfId="21629" xr:uid="{0C4BFE93-D883-4900-95E6-583A7932F347}"/>
    <cellStyle name="Normal 2 4 2 6 4 2 5" xfId="30076" xr:uid="{3B8BA968-67E4-44E8-8B05-9A55BC149251}"/>
    <cellStyle name="Normal 2 4 2 6 4 3" xfId="5928" xr:uid="{00000000-0005-0000-0000-0000BA0F0000}"/>
    <cellStyle name="Normal 2 4 2 6 4 3 2" xfId="15254" xr:uid="{635656EE-4655-42EC-B01A-3E36572700A0}"/>
    <cellStyle name="Normal 2 4 2 6 4 3 3" xfId="23701" xr:uid="{CC334B01-B4F1-401B-A40B-71890CE86120}"/>
    <cellStyle name="Normal 2 4 2 6 4 3 4" xfId="32148" xr:uid="{CB76D3BC-505D-431E-9A26-D8DFBF0438EE}"/>
    <cellStyle name="Normal 2 4 2 6 4 4" xfId="11037" xr:uid="{1C6892C7-7F4D-4004-86FD-40A830BB151D}"/>
    <cellStyle name="Normal 2 4 2 6 4 5" xfId="19484" xr:uid="{C0AFEE58-F173-4841-A1FC-5C1F25FCA8C7}"/>
    <cellStyle name="Normal 2 4 2 6 4 6" xfId="27931" xr:uid="{B0682DF8-3CB9-46DB-AD34-F30F695FF15B}"/>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17812" xr:uid="{6971C0C3-7121-4144-A6C6-42A51CCA21CB}"/>
    <cellStyle name="Normal 2 4 2 6 5 2 2 3" xfId="26259" xr:uid="{98343DA5-3729-46EB-986A-7C75AC6516FE}"/>
    <cellStyle name="Normal 2 4 2 6 5 2 2 4" xfId="34706" xr:uid="{BE87C002-386A-46DE-9F8D-3FDEFE50ADB1}"/>
    <cellStyle name="Normal 2 4 2 6 5 2 3" xfId="13595" xr:uid="{28C6C2DC-46BD-4399-9FC7-A5DAB4309297}"/>
    <cellStyle name="Normal 2 4 2 6 5 2 4" xfId="22042" xr:uid="{8B48CE40-BE6D-4DE9-803F-A52C78228532}"/>
    <cellStyle name="Normal 2 4 2 6 5 2 5" xfId="30489" xr:uid="{54B986A9-94A3-4DA2-B6F8-1FE1D38084D3}"/>
    <cellStyle name="Normal 2 4 2 6 5 3" xfId="6341" xr:uid="{00000000-0005-0000-0000-0000BE0F0000}"/>
    <cellStyle name="Normal 2 4 2 6 5 3 2" xfId="15667" xr:uid="{41FF16A1-7078-4FFD-A9E6-A85EB264B839}"/>
    <cellStyle name="Normal 2 4 2 6 5 3 3" xfId="24114" xr:uid="{B7725620-DFED-4B7A-9C06-8DE984EB8EA3}"/>
    <cellStyle name="Normal 2 4 2 6 5 3 4" xfId="32561" xr:uid="{957171EE-D614-4476-962C-0602BEAC7355}"/>
    <cellStyle name="Normal 2 4 2 6 5 4" xfId="11450" xr:uid="{5244F879-5172-4449-A9F5-25F2D0237723}"/>
    <cellStyle name="Normal 2 4 2 6 5 5" xfId="19897" xr:uid="{C350EF71-F225-4D5B-9492-BC1BE6477A72}"/>
    <cellStyle name="Normal 2 4 2 6 5 6" xfId="28344" xr:uid="{FAACEE73-FEBB-4FF5-B001-4C3F261A84E7}"/>
    <cellStyle name="Normal 2 4 2 6 6" xfId="2471" xr:uid="{00000000-0005-0000-0000-0000BF0F0000}"/>
    <cellStyle name="Normal 2 4 2 6 6 2" xfId="6754" xr:uid="{00000000-0005-0000-0000-0000C00F0000}"/>
    <cellStyle name="Normal 2 4 2 6 6 2 2" xfId="16080" xr:uid="{3E337C77-4353-4CF6-823B-62A9420267DF}"/>
    <cellStyle name="Normal 2 4 2 6 6 2 3" xfId="24527" xr:uid="{9D1E4DEC-D435-439C-A31D-0ACD230BDC58}"/>
    <cellStyle name="Normal 2 4 2 6 6 2 4" xfId="32974" xr:uid="{AD93764E-2676-4B66-B714-EA1F8410FC26}"/>
    <cellStyle name="Normal 2 4 2 6 6 3" xfId="11863" xr:uid="{4B4906D8-6D11-43F6-AE54-BC51C5968697}"/>
    <cellStyle name="Normal 2 4 2 6 6 4" xfId="20310" xr:uid="{F68377E5-F602-40ED-863A-012BD1086E0B}"/>
    <cellStyle name="Normal 2 4 2 6 6 5" xfId="28757" xr:uid="{DAFDAE11-41CA-48E1-97C5-A8BBE018BFA4}"/>
    <cellStyle name="Normal 2 4 2 6 7" xfId="4688" xr:uid="{00000000-0005-0000-0000-0000C10F0000}"/>
    <cellStyle name="Normal 2 4 2 6 7 2" xfId="14014" xr:uid="{E5B5EF23-1F14-4B21-9A7E-831B7C08587F}"/>
    <cellStyle name="Normal 2 4 2 6 7 3" xfId="22461" xr:uid="{7EFF2F99-33AB-452C-B73E-09F6CD941BAB}"/>
    <cellStyle name="Normal 2 4 2 6 7 4" xfId="30908" xr:uid="{8BAE4D29-4043-46FF-834C-05CF1B037454}"/>
    <cellStyle name="Normal 2 4 2 6 8" xfId="8976" xr:uid="{6DEAFF8C-68CB-4364-A161-479509F453AE}"/>
    <cellStyle name="Normal 2 4 2 6 9" xfId="9797" xr:uid="{11886490-6E2D-4748-B39D-E39972D21D88}"/>
    <cellStyle name="Normal 2 4 2 7" xfId="771" xr:uid="{00000000-0005-0000-0000-0000C20F0000}"/>
    <cellStyle name="Normal 2 4 2 7 2" xfId="3010" xr:uid="{00000000-0005-0000-0000-0000C30F0000}"/>
    <cellStyle name="Normal 2 4 2 7 2 2" xfId="7232" xr:uid="{00000000-0005-0000-0000-0000C40F0000}"/>
    <cellStyle name="Normal 2 4 2 7 2 2 2" xfId="16558" xr:uid="{74D96791-E998-4E03-AF94-7D55D8554154}"/>
    <cellStyle name="Normal 2 4 2 7 2 2 3" xfId="25005" xr:uid="{0D8E5F60-1B64-4FE3-89BC-0D22D2391271}"/>
    <cellStyle name="Normal 2 4 2 7 2 2 4" xfId="33452" xr:uid="{45F25C19-D7E3-4F0E-8291-B20E8662321F}"/>
    <cellStyle name="Normal 2 4 2 7 2 3" xfId="12341" xr:uid="{1334ADC3-1838-4922-AE8F-125A111C4B12}"/>
    <cellStyle name="Normal 2 4 2 7 2 4" xfId="20788" xr:uid="{92723987-1987-4922-9BF9-5390456806CC}"/>
    <cellStyle name="Normal 2 4 2 7 2 5" xfId="29235" xr:uid="{E70A9AC5-3548-4384-B521-1023626505A7}"/>
    <cellStyle name="Normal 2 4 2 7 3" xfId="5087" xr:uid="{00000000-0005-0000-0000-0000C50F0000}"/>
    <cellStyle name="Normal 2 4 2 7 3 2" xfId="14413" xr:uid="{A3A93FB6-B464-4F2C-94D1-4D4B848B7A44}"/>
    <cellStyle name="Normal 2 4 2 7 3 3" xfId="22860" xr:uid="{CD1E4846-90FB-4C66-B76C-7B6353B35B48}"/>
    <cellStyle name="Normal 2 4 2 7 3 4" xfId="31307" xr:uid="{E2C2B33C-CCEC-44B8-B4BF-2CA7530F70BD}"/>
    <cellStyle name="Normal 2 4 2 7 4" xfId="9179" xr:uid="{D1C44CED-398E-43B3-AFA3-1E7DC60C5D92}"/>
    <cellStyle name="Normal 2 4 2 7 5" xfId="10196" xr:uid="{372B0678-D878-487F-91CD-D8A8733C5BC7}"/>
    <cellStyle name="Normal 2 4 2 7 6" xfId="18643" xr:uid="{38467391-EF29-486C-8CB2-9D26BA8921D0}"/>
    <cellStyle name="Normal 2 4 2 7 7" xfId="27090" xr:uid="{22029222-7504-45E8-B18B-2EFCEDAA8372}"/>
    <cellStyle name="Normal 2 4 2 8" xfId="1193" xr:uid="{00000000-0005-0000-0000-0000C60F0000}"/>
    <cellStyle name="Normal 2 4 2 8 2" xfId="3423" xr:uid="{00000000-0005-0000-0000-0000C70F0000}"/>
    <cellStyle name="Normal 2 4 2 8 2 2" xfId="7645" xr:uid="{00000000-0005-0000-0000-0000C80F0000}"/>
    <cellStyle name="Normal 2 4 2 8 2 2 2" xfId="16971" xr:uid="{278C0E9C-8A54-4A5B-ADE4-43DEDB1F05AE}"/>
    <cellStyle name="Normal 2 4 2 8 2 2 3" xfId="25418" xr:uid="{B4547FA7-2474-43F3-9E87-4F6CE51ECA97}"/>
    <cellStyle name="Normal 2 4 2 8 2 2 4" xfId="33865" xr:uid="{B5930F2A-D1B6-4AE2-B066-A1A684A109E5}"/>
    <cellStyle name="Normal 2 4 2 8 2 3" xfId="12754" xr:uid="{59287933-C7CF-46F3-B920-F412B8D8F6CD}"/>
    <cellStyle name="Normal 2 4 2 8 2 4" xfId="21201" xr:uid="{9AF5CD1D-B6A0-49D0-BF13-46B06A60A7FB}"/>
    <cellStyle name="Normal 2 4 2 8 2 5" xfId="29648" xr:uid="{905C9455-8623-4ECF-BA0A-97CA9E708FEB}"/>
    <cellStyle name="Normal 2 4 2 8 3" xfId="5500" xr:uid="{00000000-0005-0000-0000-0000C90F0000}"/>
    <cellStyle name="Normal 2 4 2 8 3 2" xfId="14826" xr:uid="{172DFD23-9383-41E8-A917-3283FCB55AB2}"/>
    <cellStyle name="Normal 2 4 2 8 3 3" xfId="23273" xr:uid="{1F872AC2-F092-481E-8885-05E5CC75D487}"/>
    <cellStyle name="Normal 2 4 2 8 3 4" xfId="31720" xr:uid="{2B178735-2082-4B94-A421-52B585286075}"/>
    <cellStyle name="Normal 2 4 2 8 4" xfId="10609" xr:uid="{77DF1B66-5A1A-43C6-9BE5-9E96891A2B27}"/>
    <cellStyle name="Normal 2 4 2 8 5" xfId="19056" xr:uid="{063DB6D3-C2D6-492A-900B-D5D61AF73507}"/>
    <cellStyle name="Normal 2 4 2 8 6" xfId="27503" xr:uid="{E6CEACF9-69A9-4903-BA31-5B7E85E9CE20}"/>
    <cellStyle name="Normal 2 4 2 9" xfId="1606" xr:uid="{00000000-0005-0000-0000-0000CA0F0000}"/>
    <cellStyle name="Normal 2 4 2 9 2" xfId="3836" xr:uid="{00000000-0005-0000-0000-0000CB0F0000}"/>
    <cellStyle name="Normal 2 4 2 9 2 2" xfId="8058" xr:uid="{00000000-0005-0000-0000-0000CC0F0000}"/>
    <cellStyle name="Normal 2 4 2 9 2 2 2" xfId="17384" xr:uid="{947E55BA-3366-4435-868D-5591F4D0D3E6}"/>
    <cellStyle name="Normal 2 4 2 9 2 2 3" xfId="25831" xr:uid="{2061803A-45C8-449D-A81B-CE0822A3D25B}"/>
    <cellStyle name="Normal 2 4 2 9 2 2 4" xfId="34278" xr:uid="{7ECC9E03-4AD4-4A35-92AB-F05C603CA233}"/>
    <cellStyle name="Normal 2 4 2 9 2 3" xfId="13167" xr:uid="{1F475098-0950-4AB2-AFCB-3A4D536E7713}"/>
    <cellStyle name="Normal 2 4 2 9 2 4" xfId="21614" xr:uid="{19C4C59D-3A68-4C08-A476-6A54D0217F2F}"/>
    <cellStyle name="Normal 2 4 2 9 2 5" xfId="30061" xr:uid="{EB460BEF-BF79-4E06-B09D-62B7252E16F7}"/>
    <cellStyle name="Normal 2 4 2 9 3" xfId="5913" xr:uid="{00000000-0005-0000-0000-0000CD0F0000}"/>
    <cellStyle name="Normal 2 4 2 9 3 2" xfId="15239" xr:uid="{6C7AD221-A772-48DC-A230-79062098484E}"/>
    <cellStyle name="Normal 2 4 2 9 3 3" xfId="23686" xr:uid="{FB6B99C9-F752-4A26-9976-7487E3A89619}"/>
    <cellStyle name="Normal 2 4 2 9 3 4" xfId="32133" xr:uid="{63334B8F-E012-4868-B7CF-7BD970C90660}"/>
    <cellStyle name="Normal 2 4 2 9 4" xfId="11022" xr:uid="{FF52C9FF-EE99-4B94-A74A-9708FE1BA451}"/>
    <cellStyle name="Normal 2 4 2 9 5" xfId="19469" xr:uid="{FD05B4C6-1D50-45A4-BB24-F54763562328}"/>
    <cellStyle name="Normal 2 4 2 9 6" xfId="27916" xr:uid="{4ED0C5B7-75C8-4CEF-B187-3AF33A035FDF}"/>
    <cellStyle name="Normal 2 4 3" xfId="296" xr:uid="{00000000-0005-0000-0000-0000CE0F0000}"/>
    <cellStyle name="Normal 2 4 3 10" xfId="9798" xr:uid="{EF3BF90F-E19B-4C2D-B185-B7C1A157605A}"/>
    <cellStyle name="Normal 2 4 3 11" xfId="18245" xr:uid="{AAAB954F-5B38-4331-BB51-A0A72A1B5641}"/>
    <cellStyle name="Normal 2 4 3 12" xfId="26692" xr:uid="{7821102F-A8D0-4989-8720-7854985F30DC}"/>
    <cellStyle name="Normal 2 4 3 2" xfId="297" xr:uid="{00000000-0005-0000-0000-0000CF0F0000}"/>
    <cellStyle name="Normal 2 4 3 3" xfId="298" xr:uid="{00000000-0005-0000-0000-0000D00F0000}"/>
    <cellStyle name="Normal 2 4 3 3 10" xfId="8814" xr:uid="{F78EFD99-FCC5-4915-ACA3-DFC3FC0D45A5}"/>
    <cellStyle name="Normal 2 4 3 3 11" xfId="9799" xr:uid="{CFAD8ABF-1E59-4D28-A912-9BF066E403AE}"/>
    <cellStyle name="Normal 2 4 3 3 12" xfId="18246" xr:uid="{4895F790-D24B-4EEF-A349-9453219CBB9D}"/>
    <cellStyle name="Normal 2 4 3 3 13" xfId="26693" xr:uid="{12597653-A41E-471F-A8E5-D96CAB8B454D}"/>
    <cellStyle name="Normal 2 4 3 3 2" xfId="299" xr:uid="{00000000-0005-0000-0000-0000D10F0000}"/>
    <cellStyle name="Normal 2 4 3 3 2 10" xfId="9800" xr:uid="{E5B09755-A3EE-444C-8FA7-3D267861DE46}"/>
    <cellStyle name="Normal 2 4 3 3 2 11" xfId="18247" xr:uid="{B2776424-1D93-4B27-AD4B-0BA7F47C0584}"/>
    <cellStyle name="Normal 2 4 3 3 2 12" xfId="26694" xr:uid="{35FAA2D4-4D83-4FAD-A2A4-6529339DF028}"/>
    <cellStyle name="Normal 2 4 3 3 2 2" xfId="300" xr:uid="{00000000-0005-0000-0000-0000D20F0000}"/>
    <cellStyle name="Normal 2 4 3 3 2 2 10" xfId="18248" xr:uid="{47FD75F4-9A32-4FF5-BE20-F724F493A7A4}"/>
    <cellStyle name="Normal 2 4 3 3 2 2 11" xfId="26695" xr:uid="{1D4FDB05-1488-4E3A-842C-6412C78D93EE}"/>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16577" xr:uid="{2E62E08E-70ED-4FE1-8C4C-50B233BE8101}"/>
    <cellStyle name="Normal 2 4 3 3 2 2 2 2 2 3" xfId="25024" xr:uid="{92446A0A-E9CB-4B24-BC4F-30AE9F1615FE}"/>
    <cellStyle name="Normal 2 4 3 3 2 2 2 2 2 4" xfId="33471" xr:uid="{7A760935-9F51-4836-8BDF-EA098BBC6E94}"/>
    <cellStyle name="Normal 2 4 3 3 2 2 2 2 3" xfId="12360" xr:uid="{22C7ED28-D6B0-4655-AD74-00008BFDB9CC}"/>
    <cellStyle name="Normal 2 4 3 3 2 2 2 2 4" xfId="20807" xr:uid="{0B533183-7A2A-456B-A327-8BC49F06BEFD}"/>
    <cellStyle name="Normal 2 4 3 3 2 2 2 2 5" xfId="29254" xr:uid="{4D0588D6-A6F0-447F-BA9A-5D56E6178CE1}"/>
    <cellStyle name="Normal 2 4 3 3 2 2 2 3" xfId="5106" xr:uid="{00000000-0005-0000-0000-0000D60F0000}"/>
    <cellStyle name="Normal 2 4 3 3 2 2 2 3 2" xfId="14432" xr:uid="{6C3BEF63-778C-409A-A207-D66AF27796F1}"/>
    <cellStyle name="Normal 2 4 3 3 2 2 2 3 3" xfId="22879" xr:uid="{1084AC60-D3EF-414F-B488-4D90F6031C81}"/>
    <cellStyle name="Normal 2 4 3 3 2 2 2 3 4" xfId="31326" xr:uid="{AD24DFDB-B3A0-4633-B2C8-FD04D644BB94}"/>
    <cellStyle name="Normal 2 4 3 3 2 2 2 4" xfId="9549" xr:uid="{EA88B7BC-E37D-4688-A768-0D7FE5EF9F42}"/>
    <cellStyle name="Normal 2 4 3 3 2 2 2 5" xfId="10215" xr:uid="{508D77B4-8B1E-407F-8F2D-D600BA7B886B}"/>
    <cellStyle name="Normal 2 4 3 3 2 2 2 6" xfId="18662" xr:uid="{AC3F62B9-F94B-4496-A74F-EF922D48E88B}"/>
    <cellStyle name="Normal 2 4 3 3 2 2 2 7" xfId="27109" xr:uid="{350D44CA-E088-41B2-963A-A3F3CA43A5EB}"/>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16990" xr:uid="{3458C360-B9DD-4967-A3A8-251A6550C5C4}"/>
    <cellStyle name="Normal 2 4 3 3 2 2 3 2 2 3" xfId="25437" xr:uid="{27983BA7-4B17-45A3-8A0E-E53AF70634A6}"/>
    <cellStyle name="Normal 2 4 3 3 2 2 3 2 2 4" xfId="33884" xr:uid="{70F27627-FD76-4045-B9AA-543173953E2E}"/>
    <cellStyle name="Normal 2 4 3 3 2 2 3 2 3" xfId="12773" xr:uid="{42B9DC27-3EE4-4AB8-86FB-84CDE78CEAFE}"/>
    <cellStyle name="Normal 2 4 3 3 2 2 3 2 4" xfId="21220" xr:uid="{7A1AC5CA-32BA-4AAE-BFD0-30C4A7CB7CDD}"/>
    <cellStyle name="Normal 2 4 3 3 2 2 3 2 5" xfId="29667" xr:uid="{234BD985-47A0-45C2-A989-FDB539870ECC}"/>
    <cellStyle name="Normal 2 4 3 3 2 2 3 3" xfId="5519" xr:uid="{00000000-0005-0000-0000-0000DA0F0000}"/>
    <cellStyle name="Normal 2 4 3 3 2 2 3 3 2" xfId="14845" xr:uid="{BC8F3AF1-88ED-43CB-9BF0-1C5AF4D1D09E}"/>
    <cellStyle name="Normal 2 4 3 3 2 2 3 3 3" xfId="23292" xr:uid="{47107383-33E7-4EE5-A5EE-69522E211196}"/>
    <cellStyle name="Normal 2 4 3 3 2 2 3 3 4" xfId="31739" xr:uid="{B7443E89-5BDC-4D0B-BEF4-7AAE4E883463}"/>
    <cellStyle name="Normal 2 4 3 3 2 2 3 4" xfId="10628" xr:uid="{12611CCA-8E4B-4ACA-A8AD-B595CFC41D20}"/>
    <cellStyle name="Normal 2 4 3 3 2 2 3 5" xfId="19075" xr:uid="{44D2C5DD-B0DE-487A-BF48-B621BA0A4251}"/>
    <cellStyle name="Normal 2 4 3 3 2 2 3 6" xfId="27522" xr:uid="{7037DF99-FADE-42D9-A672-FC38F8F014E4}"/>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17403" xr:uid="{CBC603C4-031D-4872-BC51-BA7B8E2E6E04}"/>
    <cellStyle name="Normal 2 4 3 3 2 2 4 2 2 3" xfId="25850" xr:uid="{99DC7A57-C7C4-4354-903C-A7BAE885A0DE}"/>
    <cellStyle name="Normal 2 4 3 3 2 2 4 2 2 4" xfId="34297" xr:uid="{D8049DA1-5DA0-4F98-BCD9-9E4718C7BC77}"/>
    <cellStyle name="Normal 2 4 3 3 2 2 4 2 3" xfId="13186" xr:uid="{C88E323E-EDC8-4F74-AE2A-6E0E194DB142}"/>
    <cellStyle name="Normal 2 4 3 3 2 2 4 2 4" xfId="21633" xr:uid="{A7D85C1F-0439-4450-AB06-B9583DF0FDC0}"/>
    <cellStyle name="Normal 2 4 3 3 2 2 4 2 5" xfId="30080" xr:uid="{2D0B6AE6-0B19-4E6A-95F2-BC183158BFBC}"/>
    <cellStyle name="Normal 2 4 3 3 2 2 4 3" xfId="5932" xr:uid="{00000000-0005-0000-0000-0000DE0F0000}"/>
    <cellStyle name="Normal 2 4 3 3 2 2 4 3 2" xfId="15258" xr:uid="{8F80A2B7-4DB2-4767-B5AA-067D7919F43C}"/>
    <cellStyle name="Normal 2 4 3 3 2 2 4 3 3" xfId="23705" xr:uid="{6CA11E97-2841-4F73-B288-975CF5E13A0C}"/>
    <cellStyle name="Normal 2 4 3 3 2 2 4 3 4" xfId="32152" xr:uid="{4EBCB7FA-2F05-44C5-8345-78A4B70CFFA3}"/>
    <cellStyle name="Normal 2 4 3 3 2 2 4 4" xfId="11041" xr:uid="{0577492C-657E-4172-8B96-5649B2D91A58}"/>
    <cellStyle name="Normal 2 4 3 3 2 2 4 5" xfId="19488" xr:uid="{D8FE31FA-6B9F-41AE-A22B-94012DFFAB80}"/>
    <cellStyle name="Normal 2 4 3 3 2 2 4 6" xfId="27935" xr:uid="{37EAC4E7-E918-4968-94BD-832D7ED92B1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17816" xr:uid="{593C69B1-EFC6-475A-8C5A-7D060B045406}"/>
    <cellStyle name="Normal 2 4 3 3 2 2 5 2 2 3" xfId="26263" xr:uid="{DBD37772-E2AE-4531-BB8C-034DC2F49BC0}"/>
    <cellStyle name="Normal 2 4 3 3 2 2 5 2 2 4" xfId="34710" xr:uid="{D5CD1A09-487E-4ADB-BAC6-4E1D292600DC}"/>
    <cellStyle name="Normal 2 4 3 3 2 2 5 2 3" xfId="13599" xr:uid="{BA3F41AA-3463-42DE-AB7C-BAC6640EA274}"/>
    <cellStyle name="Normal 2 4 3 3 2 2 5 2 4" xfId="22046" xr:uid="{54B5DC7A-8020-4723-B1A5-1E1CBAA8716B}"/>
    <cellStyle name="Normal 2 4 3 3 2 2 5 2 5" xfId="30493" xr:uid="{260B0182-033E-4FDF-A619-1C21A587F094}"/>
    <cellStyle name="Normal 2 4 3 3 2 2 5 3" xfId="6345" xr:uid="{00000000-0005-0000-0000-0000E20F0000}"/>
    <cellStyle name="Normal 2 4 3 3 2 2 5 3 2" xfId="15671" xr:uid="{9D3B27B7-A440-43F8-BDCD-42CA84B0793C}"/>
    <cellStyle name="Normal 2 4 3 3 2 2 5 3 3" xfId="24118" xr:uid="{A96104EC-45A3-49D8-A96A-97D3199D30AF}"/>
    <cellStyle name="Normal 2 4 3 3 2 2 5 3 4" xfId="32565" xr:uid="{42B2D90C-44D5-4B42-9DFF-C705348F93F3}"/>
    <cellStyle name="Normal 2 4 3 3 2 2 5 4" xfId="11454" xr:uid="{4591F932-2492-409D-83C5-1410ADF92B81}"/>
    <cellStyle name="Normal 2 4 3 3 2 2 5 5" xfId="19901" xr:uid="{44B5E187-6CED-4C79-9B09-7495F4732CBA}"/>
    <cellStyle name="Normal 2 4 3 3 2 2 5 6" xfId="28348" xr:uid="{690DEEDA-BDC5-4AC3-8E61-F3AB63281D40}"/>
    <cellStyle name="Normal 2 4 3 3 2 2 6" xfId="2475" xr:uid="{00000000-0005-0000-0000-0000E30F0000}"/>
    <cellStyle name="Normal 2 4 3 3 2 2 6 2" xfId="6758" xr:uid="{00000000-0005-0000-0000-0000E40F0000}"/>
    <cellStyle name="Normal 2 4 3 3 2 2 6 2 2" xfId="16084" xr:uid="{26C4CB13-B5F3-4811-8E03-CA242080E618}"/>
    <cellStyle name="Normal 2 4 3 3 2 2 6 2 3" xfId="24531" xr:uid="{A6995764-2543-4721-8493-76A42FC9424E}"/>
    <cellStyle name="Normal 2 4 3 3 2 2 6 2 4" xfId="32978" xr:uid="{3AABCEAA-6B0E-4BE4-9E1A-0C11A576D056}"/>
    <cellStyle name="Normal 2 4 3 3 2 2 6 3" xfId="11867" xr:uid="{017BA636-6E67-4873-A874-52E4E1AEBB0D}"/>
    <cellStyle name="Normal 2 4 3 3 2 2 6 4" xfId="20314" xr:uid="{8D27FAFB-B4EC-4252-BE71-9777668956E9}"/>
    <cellStyle name="Normal 2 4 3 3 2 2 6 5" xfId="28761" xr:uid="{1475E04E-8F4D-44D2-A892-D0506A76445E}"/>
    <cellStyle name="Normal 2 4 3 3 2 2 7" xfId="4692" xr:uid="{00000000-0005-0000-0000-0000E50F0000}"/>
    <cellStyle name="Normal 2 4 3 3 2 2 7 2" xfId="14018" xr:uid="{02E0AE86-C215-4088-9D00-4E46B5A10212}"/>
    <cellStyle name="Normal 2 4 3 3 2 2 7 3" xfId="22465" xr:uid="{F7656D0C-EF77-4912-A150-8FCC0592D74C}"/>
    <cellStyle name="Normal 2 4 3 3 2 2 7 4" xfId="30912" xr:uid="{02C4290B-F7F0-4E95-BC1A-67CBF7855DA5}"/>
    <cellStyle name="Normal 2 4 3 3 2 2 8" xfId="9124" xr:uid="{1FF2B195-09C8-4D7B-A363-E8AF809A669B}"/>
    <cellStyle name="Normal 2 4 3 3 2 2 9" xfId="9801" xr:uid="{067520BA-69C7-49FA-96FD-3ACAC173D804}"/>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16576" xr:uid="{5D540C78-7EFC-4A7A-A9A3-F902787A6E06}"/>
    <cellStyle name="Normal 2 4 3 3 2 3 2 2 3" xfId="25023" xr:uid="{48EB6C64-8A07-4B62-A0D4-9B43E051A95D}"/>
    <cellStyle name="Normal 2 4 3 3 2 3 2 2 4" xfId="33470" xr:uid="{DC5CCFF8-8F5D-44E6-A291-FFC221EFEFE0}"/>
    <cellStyle name="Normal 2 4 3 3 2 3 2 3" xfId="12359" xr:uid="{52F7FEC6-D111-4E57-B664-17D2411068F3}"/>
    <cellStyle name="Normal 2 4 3 3 2 3 2 4" xfId="20806" xr:uid="{5763798F-EF0E-4D67-97C6-6D6E0265754D}"/>
    <cellStyle name="Normal 2 4 3 3 2 3 2 5" xfId="29253" xr:uid="{4EA443CE-05DA-40F3-9EBC-CD770A732E69}"/>
    <cellStyle name="Normal 2 4 3 3 2 3 3" xfId="5105" xr:uid="{00000000-0005-0000-0000-0000E90F0000}"/>
    <cellStyle name="Normal 2 4 3 3 2 3 3 2" xfId="14431" xr:uid="{D8C10772-48CB-411E-AA57-831131BDBCED}"/>
    <cellStyle name="Normal 2 4 3 3 2 3 3 3" xfId="22878" xr:uid="{1D4901D0-440E-47C1-9052-D58CBEDD2D8A}"/>
    <cellStyle name="Normal 2 4 3 3 2 3 3 4" xfId="31325" xr:uid="{6898E808-9163-44DA-99A9-4077C18A61E3}"/>
    <cellStyle name="Normal 2 4 3 3 2 3 4" xfId="9342" xr:uid="{41454CF9-47C1-4E8A-868A-8F39341308EB}"/>
    <cellStyle name="Normal 2 4 3 3 2 3 5" xfId="10214" xr:uid="{E56D4395-39F6-412C-A23A-70CCD9E255D2}"/>
    <cellStyle name="Normal 2 4 3 3 2 3 6" xfId="18661" xr:uid="{EFF302F6-2A71-46EC-82FF-9A94A22FC343}"/>
    <cellStyle name="Normal 2 4 3 3 2 3 7" xfId="27108" xr:uid="{EA06B8B1-F519-449D-B205-72868B246DC9}"/>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16989" xr:uid="{0088A924-0756-4166-AD43-E17F55FFAF1F}"/>
    <cellStyle name="Normal 2 4 3 3 2 4 2 2 3" xfId="25436" xr:uid="{C67FC74F-370B-4098-8B03-344AFF744BDC}"/>
    <cellStyle name="Normal 2 4 3 3 2 4 2 2 4" xfId="33883" xr:uid="{0372F7CF-F200-48D4-84E4-17A7BD5B5D96}"/>
    <cellStyle name="Normal 2 4 3 3 2 4 2 3" xfId="12772" xr:uid="{362859D3-F18A-420B-9749-2EB7A813E203}"/>
    <cellStyle name="Normal 2 4 3 3 2 4 2 4" xfId="21219" xr:uid="{8F26EAF8-67DD-44B7-A23C-509E7A071B00}"/>
    <cellStyle name="Normal 2 4 3 3 2 4 2 5" xfId="29666" xr:uid="{D3F8EE4D-E1E9-40BA-8314-5FD919A684A3}"/>
    <cellStyle name="Normal 2 4 3 3 2 4 3" xfId="5518" xr:uid="{00000000-0005-0000-0000-0000ED0F0000}"/>
    <cellStyle name="Normal 2 4 3 3 2 4 3 2" xfId="14844" xr:uid="{5A9C86F5-F223-400F-BA35-E8BA215BCF21}"/>
    <cellStyle name="Normal 2 4 3 3 2 4 3 3" xfId="23291" xr:uid="{9F2C1400-0B9C-49F5-9DCA-A7D172B43ED1}"/>
    <cellStyle name="Normal 2 4 3 3 2 4 3 4" xfId="31738" xr:uid="{9A7F7596-7D3C-4554-A4EF-C3BDEB07F174}"/>
    <cellStyle name="Normal 2 4 3 3 2 4 4" xfId="10627" xr:uid="{319627B7-5065-4885-9347-1740C8B80FC8}"/>
    <cellStyle name="Normal 2 4 3 3 2 4 5" xfId="19074" xr:uid="{812F458F-36DB-4B56-BE26-91029645F240}"/>
    <cellStyle name="Normal 2 4 3 3 2 4 6" xfId="27521" xr:uid="{8D8D113D-3190-4773-81A9-3432F5B61B38}"/>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17402" xr:uid="{7F1E65F3-C1D5-4AF6-A00E-3209EB3888E2}"/>
    <cellStyle name="Normal 2 4 3 3 2 5 2 2 3" xfId="25849" xr:uid="{20F32C68-1AED-47A6-86E2-DD26990C22E2}"/>
    <cellStyle name="Normal 2 4 3 3 2 5 2 2 4" xfId="34296" xr:uid="{ECF4BDF6-D206-491A-AA19-B98A186A214D}"/>
    <cellStyle name="Normal 2 4 3 3 2 5 2 3" xfId="13185" xr:uid="{334ACCFA-3DBA-49CB-B9DB-6EBB09BC4F5E}"/>
    <cellStyle name="Normal 2 4 3 3 2 5 2 4" xfId="21632" xr:uid="{B831249F-391C-4472-B31C-C7DF32C0794B}"/>
    <cellStyle name="Normal 2 4 3 3 2 5 2 5" xfId="30079" xr:uid="{D903A303-8E92-4BB7-98FD-FB50E0B1ACBF}"/>
    <cellStyle name="Normal 2 4 3 3 2 5 3" xfId="5931" xr:uid="{00000000-0005-0000-0000-0000F10F0000}"/>
    <cellStyle name="Normal 2 4 3 3 2 5 3 2" xfId="15257" xr:uid="{6026333C-2EF1-4455-9ED1-FDAE76DCFAEA}"/>
    <cellStyle name="Normal 2 4 3 3 2 5 3 3" xfId="23704" xr:uid="{427F975D-6528-40BB-906D-ABA56A1E3E53}"/>
    <cellStyle name="Normal 2 4 3 3 2 5 3 4" xfId="32151" xr:uid="{7B97B9AB-20B2-4700-96E6-B1F10CD93A13}"/>
    <cellStyle name="Normal 2 4 3 3 2 5 4" xfId="11040" xr:uid="{36F5275B-F2DD-4CF9-9560-84BF808EC40B}"/>
    <cellStyle name="Normal 2 4 3 3 2 5 5" xfId="19487" xr:uid="{43DCD63D-CCEB-4203-B694-C60308D378BA}"/>
    <cellStyle name="Normal 2 4 3 3 2 5 6" xfId="27934" xr:uid="{36DE252E-AA06-4187-AA3F-8562B9DAB70E}"/>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17815" xr:uid="{65182BA5-A488-4447-B11E-B73FAF8622DF}"/>
    <cellStyle name="Normal 2 4 3 3 2 6 2 2 3" xfId="26262" xr:uid="{BB69686A-BD86-4DB7-A91F-52B8D6801287}"/>
    <cellStyle name="Normal 2 4 3 3 2 6 2 2 4" xfId="34709" xr:uid="{32309324-62EF-42C7-A6BE-C98689C5E07F}"/>
    <cellStyle name="Normal 2 4 3 3 2 6 2 3" xfId="13598" xr:uid="{C0931783-5467-4D68-8B48-B0269C0D1056}"/>
    <cellStyle name="Normal 2 4 3 3 2 6 2 4" xfId="22045" xr:uid="{CB914773-7650-481E-A5ED-E38833748E92}"/>
    <cellStyle name="Normal 2 4 3 3 2 6 2 5" xfId="30492" xr:uid="{0DEE6BAA-C838-474A-9E40-EE9B68488E00}"/>
    <cellStyle name="Normal 2 4 3 3 2 6 3" xfId="6344" xr:uid="{00000000-0005-0000-0000-0000F50F0000}"/>
    <cellStyle name="Normal 2 4 3 3 2 6 3 2" xfId="15670" xr:uid="{71C94C86-E09F-4882-BE45-8C221B8B201B}"/>
    <cellStyle name="Normal 2 4 3 3 2 6 3 3" xfId="24117" xr:uid="{3EFE6B83-C6AD-4DCE-A54F-B10DE83ACCCC}"/>
    <cellStyle name="Normal 2 4 3 3 2 6 3 4" xfId="32564" xr:uid="{E6C3A5D4-E798-41AB-9F02-91F63AFDCDC8}"/>
    <cellStyle name="Normal 2 4 3 3 2 6 4" xfId="11453" xr:uid="{3769991E-92A7-47DC-9D72-BA1AFA5D0D23}"/>
    <cellStyle name="Normal 2 4 3 3 2 6 5" xfId="19900" xr:uid="{8B3EF6E8-0EE8-4F5B-8ECA-6E4B3EA7AEA1}"/>
    <cellStyle name="Normal 2 4 3 3 2 6 6" xfId="28347" xr:uid="{F9DF7F5C-1D03-4420-A143-3E53B8FDA1C4}"/>
    <cellStyle name="Normal 2 4 3 3 2 7" xfId="2474" xr:uid="{00000000-0005-0000-0000-0000F60F0000}"/>
    <cellStyle name="Normal 2 4 3 3 2 7 2" xfId="6757" xr:uid="{00000000-0005-0000-0000-0000F70F0000}"/>
    <cellStyle name="Normal 2 4 3 3 2 7 2 2" xfId="16083" xr:uid="{C85F08FA-A25A-4DE6-A48A-4359E30FBA2B}"/>
    <cellStyle name="Normal 2 4 3 3 2 7 2 3" xfId="24530" xr:uid="{F6503529-9A82-46FE-B656-2525F8AAD9A3}"/>
    <cellStyle name="Normal 2 4 3 3 2 7 2 4" xfId="32977" xr:uid="{919BEAE8-DE49-4F67-AC26-00CBF6629E53}"/>
    <cellStyle name="Normal 2 4 3 3 2 7 3" xfId="11866" xr:uid="{C22FB1AE-D079-4BD2-BADE-6297EE8892F5}"/>
    <cellStyle name="Normal 2 4 3 3 2 7 4" xfId="20313" xr:uid="{05D34879-462D-4D8B-AF11-6D1A97D6EE2B}"/>
    <cellStyle name="Normal 2 4 3 3 2 7 5" xfId="28760" xr:uid="{B7A47977-106C-43C3-9F56-88F656D8AFB1}"/>
    <cellStyle name="Normal 2 4 3 3 2 8" xfId="4691" xr:uid="{00000000-0005-0000-0000-0000F80F0000}"/>
    <cellStyle name="Normal 2 4 3 3 2 8 2" xfId="14017" xr:uid="{14D8F4A1-5DB4-4F43-B3EE-6BAEC621064B}"/>
    <cellStyle name="Normal 2 4 3 3 2 8 3" xfId="22464" xr:uid="{63CD696A-B1BC-40C5-B275-44CFFBDA494E}"/>
    <cellStyle name="Normal 2 4 3 3 2 8 4" xfId="30911" xr:uid="{3099788F-8DA1-43CD-993D-37F4EA56C0C3}"/>
    <cellStyle name="Normal 2 4 3 3 2 9" xfId="8917" xr:uid="{1E22693C-F4B1-4678-80B0-65CF6DC31586}"/>
    <cellStyle name="Normal 2 4 3 3 3" xfId="301" xr:uid="{00000000-0005-0000-0000-0000F90F0000}"/>
    <cellStyle name="Normal 2 4 3 3 3 10" xfId="18249" xr:uid="{751CE711-34B4-4082-B9DB-58475C8484FC}"/>
    <cellStyle name="Normal 2 4 3 3 3 11" xfId="26696" xr:uid="{CC1DC8A3-CD33-4AB0-BB57-BC6D7845DC39}"/>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16578" xr:uid="{6E455787-7DCA-4799-BF82-EFDA72CAD929}"/>
    <cellStyle name="Normal 2 4 3 3 3 2 2 2 3" xfId="25025" xr:uid="{FFC15349-F665-4EA9-8257-0D30B75D386B}"/>
    <cellStyle name="Normal 2 4 3 3 3 2 2 2 4" xfId="33472" xr:uid="{FF22699B-FBED-4CE6-AD43-970A8E5F8323}"/>
    <cellStyle name="Normal 2 4 3 3 3 2 2 3" xfId="12361" xr:uid="{7ADDC471-F61B-4DD9-B12D-162AFBBCE48E}"/>
    <cellStyle name="Normal 2 4 3 3 3 2 2 4" xfId="20808" xr:uid="{85C4FC0D-96CC-4FB1-8D07-D1E3AC0CCE05}"/>
    <cellStyle name="Normal 2 4 3 3 3 2 2 5" xfId="29255" xr:uid="{BA2AF361-C624-4714-9327-81AD60A0977C}"/>
    <cellStyle name="Normal 2 4 3 3 3 2 3" xfId="5107" xr:uid="{00000000-0005-0000-0000-0000FD0F0000}"/>
    <cellStyle name="Normal 2 4 3 3 3 2 3 2" xfId="14433" xr:uid="{8C8F6B16-E40B-4033-A853-60FFAB15D8C0}"/>
    <cellStyle name="Normal 2 4 3 3 3 2 3 3" xfId="22880" xr:uid="{178615B8-E546-4BBC-9480-893124665E0D}"/>
    <cellStyle name="Normal 2 4 3 3 3 2 3 4" xfId="31327" xr:uid="{E6948DA8-CF75-4B47-B75C-B7D1A4F95515}"/>
    <cellStyle name="Normal 2 4 3 3 3 2 4" xfId="9446" xr:uid="{7ACDBBC8-943F-41CF-9832-96F56BCB3985}"/>
    <cellStyle name="Normal 2 4 3 3 3 2 5" xfId="10216" xr:uid="{26407C3F-E61D-4749-B1BF-8312B23BB57C}"/>
    <cellStyle name="Normal 2 4 3 3 3 2 6" xfId="18663" xr:uid="{B20369B6-9631-4C76-BF3C-61A6D6881406}"/>
    <cellStyle name="Normal 2 4 3 3 3 2 7" xfId="27110" xr:uid="{A80A9949-9C6C-4B34-945A-55F7B22824F9}"/>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16991" xr:uid="{72610C3A-93C3-4CBA-9024-7BF69DDFAA2D}"/>
    <cellStyle name="Normal 2 4 3 3 3 3 2 2 3" xfId="25438" xr:uid="{CFC32DF3-0B93-4004-9168-BD8FD332B117}"/>
    <cellStyle name="Normal 2 4 3 3 3 3 2 2 4" xfId="33885" xr:uid="{4FD0992A-963E-4DBF-86E1-5C915E29738E}"/>
    <cellStyle name="Normal 2 4 3 3 3 3 2 3" xfId="12774" xr:uid="{77124CD3-88FB-4B9A-9D06-56E551300857}"/>
    <cellStyle name="Normal 2 4 3 3 3 3 2 4" xfId="21221" xr:uid="{54AC1608-B38A-4A29-BD45-5425E156D8CC}"/>
    <cellStyle name="Normal 2 4 3 3 3 3 2 5" xfId="29668" xr:uid="{26E12696-806C-4D6E-9C08-DED21350732A}"/>
    <cellStyle name="Normal 2 4 3 3 3 3 3" xfId="5520" xr:uid="{00000000-0005-0000-0000-000001100000}"/>
    <cellStyle name="Normal 2 4 3 3 3 3 3 2" xfId="14846" xr:uid="{ED28F06D-6695-4F5C-B1E5-C49412DDB436}"/>
    <cellStyle name="Normal 2 4 3 3 3 3 3 3" xfId="23293" xr:uid="{75210BB6-F09F-4B95-9581-F97432F6167E}"/>
    <cellStyle name="Normal 2 4 3 3 3 3 3 4" xfId="31740" xr:uid="{72C83E3B-96A0-478A-A9DB-0D0A10D378BA}"/>
    <cellStyle name="Normal 2 4 3 3 3 3 4" xfId="10629" xr:uid="{F58D42FB-A8F8-4C6D-AC95-19F9E99FBC92}"/>
    <cellStyle name="Normal 2 4 3 3 3 3 5" xfId="19076" xr:uid="{4CE20CB2-164C-47C4-AE1D-B12426B2F8E1}"/>
    <cellStyle name="Normal 2 4 3 3 3 3 6" xfId="27523" xr:uid="{1E70489F-D7AA-437B-803E-276346BB6A43}"/>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17404" xr:uid="{7109E1E6-220A-4720-AC08-A08186C0E20D}"/>
    <cellStyle name="Normal 2 4 3 3 3 4 2 2 3" xfId="25851" xr:uid="{9A8121D4-A8EC-4420-A484-024FC7871084}"/>
    <cellStyle name="Normal 2 4 3 3 3 4 2 2 4" xfId="34298" xr:uid="{D726844B-E09C-4A98-B54C-3092DC66F399}"/>
    <cellStyle name="Normal 2 4 3 3 3 4 2 3" xfId="13187" xr:uid="{6785717A-4FD5-40C3-90BD-F14B1257FCF9}"/>
    <cellStyle name="Normal 2 4 3 3 3 4 2 4" xfId="21634" xr:uid="{437BC1B6-6B16-44D2-8CF4-4EAC695C2A4B}"/>
    <cellStyle name="Normal 2 4 3 3 3 4 2 5" xfId="30081" xr:uid="{05770D3E-CAEB-422C-B938-055D5DF33CA5}"/>
    <cellStyle name="Normal 2 4 3 3 3 4 3" xfId="5933" xr:uid="{00000000-0005-0000-0000-000005100000}"/>
    <cellStyle name="Normal 2 4 3 3 3 4 3 2" xfId="15259" xr:uid="{21092108-4B52-4212-B78B-8BF5C77647C9}"/>
    <cellStyle name="Normal 2 4 3 3 3 4 3 3" xfId="23706" xr:uid="{F73EC0E4-AC51-4674-B7B1-22B73BD42C65}"/>
    <cellStyle name="Normal 2 4 3 3 3 4 3 4" xfId="32153" xr:uid="{3D6D9F2F-CCF9-4070-B1AB-0115AD54A825}"/>
    <cellStyle name="Normal 2 4 3 3 3 4 4" xfId="11042" xr:uid="{80D64F17-C630-4A36-A555-7811A1226FD5}"/>
    <cellStyle name="Normal 2 4 3 3 3 4 5" xfId="19489" xr:uid="{1F274212-A23A-4C3B-BAAA-7F6FCBA2DE90}"/>
    <cellStyle name="Normal 2 4 3 3 3 4 6" xfId="27936" xr:uid="{4ED586D8-9275-46E8-95DB-087AA7505487}"/>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17817" xr:uid="{1CBF7C88-624A-41F4-A06B-99B9F20EC9B4}"/>
    <cellStyle name="Normal 2 4 3 3 3 5 2 2 3" xfId="26264" xr:uid="{CB971EDA-8229-48DE-8C11-9B4737E6DB3B}"/>
    <cellStyle name="Normal 2 4 3 3 3 5 2 2 4" xfId="34711" xr:uid="{4839D893-C9F5-4DAD-8381-5BD7E8815B2B}"/>
    <cellStyle name="Normal 2 4 3 3 3 5 2 3" xfId="13600" xr:uid="{5AA6251D-FC8D-41DE-93F7-FE9C5C9B46A2}"/>
    <cellStyle name="Normal 2 4 3 3 3 5 2 4" xfId="22047" xr:uid="{2313594C-6148-47BE-B42B-ADA7F181EF3D}"/>
    <cellStyle name="Normal 2 4 3 3 3 5 2 5" xfId="30494" xr:uid="{CE4E22D2-ACDE-4C02-8E34-15E78C98B684}"/>
    <cellStyle name="Normal 2 4 3 3 3 5 3" xfId="6346" xr:uid="{00000000-0005-0000-0000-000009100000}"/>
    <cellStyle name="Normal 2 4 3 3 3 5 3 2" xfId="15672" xr:uid="{394D99A2-DCF8-4EBD-B8AB-811DD40BEFED}"/>
    <cellStyle name="Normal 2 4 3 3 3 5 3 3" xfId="24119" xr:uid="{F9542FF3-9415-4C38-BEE7-AA7886AE8E5C}"/>
    <cellStyle name="Normal 2 4 3 3 3 5 3 4" xfId="32566" xr:uid="{846569D2-D59E-473C-9524-9A7188AA8627}"/>
    <cellStyle name="Normal 2 4 3 3 3 5 4" xfId="11455" xr:uid="{A4911C5D-0B28-4E25-886F-5EED53ED6D74}"/>
    <cellStyle name="Normal 2 4 3 3 3 5 5" xfId="19902" xr:uid="{0210465D-4F8A-456F-87FC-66099A88AD95}"/>
    <cellStyle name="Normal 2 4 3 3 3 5 6" xfId="28349" xr:uid="{B4199B97-A00B-4EAC-B92E-F6ED6CBF117F}"/>
    <cellStyle name="Normal 2 4 3 3 3 6" xfId="2476" xr:uid="{00000000-0005-0000-0000-00000A100000}"/>
    <cellStyle name="Normal 2 4 3 3 3 6 2" xfId="6759" xr:uid="{00000000-0005-0000-0000-00000B100000}"/>
    <cellStyle name="Normal 2 4 3 3 3 6 2 2" xfId="16085" xr:uid="{0820C8DF-B52F-4E00-83F9-E8D839F68A0F}"/>
    <cellStyle name="Normal 2 4 3 3 3 6 2 3" xfId="24532" xr:uid="{900274B8-ED88-495B-89D9-B9A9FC18B868}"/>
    <cellStyle name="Normal 2 4 3 3 3 6 2 4" xfId="32979" xr:uid="{2FEB7967-C7F8-45E7-858A-AA0DC335EA78}"/>
    <cellStyle name="Normal 2 4 3 3 3 6 3" xfId="11868" xr:uid="{6918D290-7289-40BE-9C4D-4F3C245155CB}"/>
    <cellStyle name="Normal 2 4 3 3 3 6 4" xfId="20315" xr:uid="{EE879BC4-38B7-46A5-9C4D-D8979C34C2F1}"/>
    <cellStyle name="Normal 2 4 3 3 3 6 5" xfId="28762" xr:uid="{558A1C0B-CF53-4D02-B253-986D5C545944}"/>
    <cellStyle name="Normal 2 4 3 3 3 7" xfId="4693" xr:uid="{00000000-0005-0000-0000-00000C100000}"/>
    <cellStyle name="Normal 2 4 3 3 3 7 2" xfId="14019" xr:uid="{858D85A3-0A44-44C2-B710-72109FBC73FD}"/>
    <cellStyle name="Normal 2 4 3 3 3 7 3" xfId="22466" xr:uid="{A9CF240C-233D-485C-B279-E8E9FBFFBFB7}"/>
    <cellStyle name="Normal 2 4 3 3 3 7 4" xfId="30913" xr:uid="{3A518D27-7C22-40AC-8699-4DC1BD0DA63E}"/>
    <cellStyle name="Normal 2 4 3 3 3 8" xfId="9021" xr:uid="{4EC0F035-DC07-4262-9C58-7142AC357944}"/>
    <cellStyle name="Normal 2 4 3 3 3 9" xfId="9802" xr:uid="{83B4C7B9-1E35-4AF0-91A2-D550C009D073}"/>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16575" xr:uid="{E477DFA0-BDC8-4292-95B3-DD8E9DB2F6D5}"/>
    <cellStyle name="Normal 2 4 3 3 4 2 2 3" xfId="25022" xr:uid="{B24CFAE6-CF21-4E73-9B38-F4C93FBA7801}"/>
    <cellStyle name="Normal 2 4 3 3 4 2 2 4" xfId="33469" xr:uid="{B4516EEF-FC27-4440-A561-A838BEA0A17A}"/>
    <cellStyle name="Normal 2 4 3 3 4 2 3" xfId="12358" xr:uid="{2FB81357-0219-4973-911F-32BF2B40C9D1}"/>
    <cellStyle name="Normal 2 4 3 3 4 2 4" xfId="20805" xr:uid="{99A3AF5A-BDC3-44AF-A456-AEDC9B159FE9}"/>
    <cellStyle name="Normal 2 4 3 3 4 2 5" xfId="29252" xr:uid="{5ED46DB9-1FD7-49C6-B365-D4B387638F97}"/>
    <cellStyle name="Normal 2 4 3 3 4 3" xfId="5104" xr:uid="{00000000-0005-0000-0000-000010100000}"/>
    <cellStyle name="Normal 2 4 3 3 4 3 2" xfId="14430" xr:uid="{75A2EBD6-C7B2-4EFE-8BB4-61853766F664}"/>
    <cellStyle name="Normal 2 4 3 3 4 3 3" xfId="22877" xr:uid="{1DF250E8-2441-4BFB-9F93-6A84C3C73E66}"/>
    <cellStyle name="Normal 2 4 3 3 4 3 4" xfId="31324" xr:uid="{F91ED413-885B-48EC-B5CC-BF1159E93C44}"/>
    <cellStyle name="Normal 2 4 3 3 4 4" xfId="9239" xr:uid="{3DCBA9AF-C63D-4CA9-81B6-AC7CB7B67292}"/>
    <cellStyle name="Normal 2 4 3 3 4 5" xfId="10213" xr:uid="{D77A4372-6BB6-4658-8FB5-4B8AFBF8EE8D}"/>
    <cellStyle name="Normal 2 4 3 3 4 6" xfId="18660" xr:uid="{CF10C1C6-F68B-4448-BD9F-30DA320FEDA3}"/>
    <cellStyle name="Normal 2 4 3 3 4 7" xfId="27107" xr:uid="{83681444-A5EC-4AA2-9316-70DF397479CA}"/>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16988" xr:uid="{9F568AA6-A14C-4F61-B8ED-26DF4F4F003D}"/>
    <cellStyle name="Normal 2 4 3 3 5 2 2 3" xfId="25435" xr:uid="{0EDBD66D-0D4D-49A0-A78A-2EF4F81B25B7}"/>
    <cellStyle name="Normal 2 4 3 3 5 2 2 4" xfId="33882" xr:uid="{07C5F08E-7CB8-4286-973B-890319F12486}"/>
    <cellStyle name="Normal 2 4 3 3 5 2 3" xfId="12771" xr:uid="{24D00ED9-8D07-4DFC-B4CA-7C57350EE98B}"/>
    <cellStyle name="Normal 2 4 3 3 5 2 4" xfId="21218" xr:uid="{139E8AB4-642A-46CC-93BD-460A7D7511D5}"/>
    <cellStyle name="Normal 2 4 3 3 5 2 5" xfId="29665" xr:uid="{C242016B-003D-45C1-BC3F-7B48C2CD0D8E}"/>
    <cellStyle name="Normal 2 4 3 3 5 3" xfId="5517" xr:uid="{00000000-0005-0000-0000-000014100000}"/>
    <cellStyle name="Normal 2 4 3 3 5 3 2" xfId="14843" xr:uid="{CC22991F-BDB5-4447-AFD9-8118D1D68A64}"/>
    <cellStyle name="Normal 2 4 3 3 5 3 3" xfId="23290" xr:uid="{E5502B99-D424-4D4B-897B-442298A17E05}"/>
    <cellStyle name="Normal 2 4 3 3 5 3 4" xfId="31737" xr:uid="{FCEDE1B7-2088-4230-B009-9F5D6AF3F627}"/>
    <cellStyle name="Normal 2 4 3 3 5 4" xfId="10626" xr:uid="{FA89834D-DBBD-441B-92F6-CF8BE6310D97}"/>
    <cellStyle name="Normal 2 4 3 3 5 5" xfId="19073" xr:uid="{09A78D44-4B6B-4BBE-BD70-6FD56D4C88B2}"/>
    <cellStyle name="Normal 2 4 3 3 5 6" xfId="27520" xr:uid="{4EC64408-8C0C-4365-8870-A079839AF374}"/>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17401" xr:uid="{B1F0DE65-E403-4041-93F3-0F729D7CF407}"/>
    <cellStyle name="Normal 2 4 3 3 6 2 2 3" xfId="25848" xr:uid="{603D9969-4E9A-45B6-893C-44A760B82D41}"/>
    <cellStyle name="Normal 2 4 3 3 6 2 2 4" xfId="34295" xr:uid="{710EC4EC-6A1D-49E9-9A18-5371594A3F41}"/>
    <cellStyle name="Normal 2 4 3 3 6 2 3" xfId="13184" xr:uid="{4E70A707-781D-407F-A75A-12EE0DA92F55}"/>
    <cellStyle name="Normal 2 4 3 3 6 2 4" xfId="21631" xr:uid="{EBEA98EA-16A8-4444-BE18-BC2E95864BCE}"/>
    <cellStyle name="Normal 2 4 3 3 6 2 5" xfId="30078" xr:uid="{5109E4F8-E511-45A2-98E9-687F3D763F8F}"/>
    <cellStyle name="Normal 2 4 3 3 6 3" xfId="5930" xr:uid="{00000000-0005-0000-0000-000018100000}"/>
    <cellStyle name="Normal 2 4 3 3 6 3 2" xfId="15256" xr:uid="{73976550-102B-410D-9DB7-6D1F145D1652}"/>
    <cellStyle name="Normal 2 4 3 3 6 3 3" xfId="23703" xr:uid="{7F62615D-5B22-4D05-BE35-AA331B3A7300}"/>
    <cellStyle name="Normal 2 4 3 3 6 3 4" xfId="32150" xr:uid="{D5352858-FC1B-47E8-B44F-39A52239FFD5}"/>
    <cellStyle name="Normal 2 4 3 3 6 4" xfId="11039" xr:uid="{BFA395B1-2115-4855-B542-7EB887935180}"/>
    <cellStyle name="Normal 2 4 3 3 6 5" xfId="19486" xr:uid="{0D158414-0295-4A60-9D48-F74BA7C2B937}"/>
    <cellStyle name="Normal 2 4 3 3 6 6" xfId="27933" xr:uid="{D0379F47-E662-410F-8B00-8581AEDF691D}"/>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17814" xr:uid="{4BFCD97D-18D9-481E-85B7-E77B86ED1723}"/>
    <cellStyle name="Normal 2 4 3 3 7 2 2 3" xfId="26261" xr:uid="{88257046-907F-4490-B778-0E3916185C8B}"/>
    <cellStyle name="Normal 2 4 3 3 7 2 2 4" xfId="34708" xr:uid="{8DED4F6C-0016-4172-A9C2-51FEACD1BE90}"/>
    <cellStyle name="Normal 2 4 3 3 7 2 3" xfId="13597" xr:uid="{C5AF2773-0067-49B7-91EF-670412A9ECAC}"/>
    <cellStyle name="Normal 2 4 3 3 7 2 4" xfId="22044" xr:uid="{D74E5930-7F61-4C13-B4A4-5966E700B36B}"/>
    <cellStyle name="Normal 2 4 3 3 7 2 5" xfId="30491" xr:uid="{6398E64B-4953-48BB-A2E8-39B0AEE45466}"/>
    <cellStyle name="Normal 2 4 3 3 7 3" xfId="6343" xr:uid="{00000000-0005-0000-0000-00001C100000}"/>
    <cellStyle name="Normal 2 4 3 3 7 3 2" xfId="15669" xr:uid="{CCE4EDC9-DDA3-4B26-BDE5-9247DC7D9F30}"/>
    <cellStyle name="Normal 2 4 3 3 7 3 3" xfId="24116" xr:uid="{9784E1B3-5FAC-41EF-A9F7-E750DDE21C9F}"/>
    <cellStyle name="Normal 2 4 3 3 7 3 4" xfId="32563" xr:uid="{8C3239EB-978A-4EFF-B4A3-B245C3C0181B}"/>
    <cellStyle name="Normal 2 4 3 3 7 4" xfId="11452" xr:uid="{B4EFD27F-739C-45CE-91F2-FE0F7D3EBA5E}"/>
    <cellStyle name="Normal 2 4 3 3 7 5" xfId="19899" xr:uid="{2DD3EB6C-DEC6-447B-9CC2-ADACB712343F}"/>
    <cellStyle name="Normal 2 4 3 3 7 6" xfId="28346" xr:uid="{44EF606A-2D5B-4780-8169-469E62C10B1F}"/>
    <cellStyle name="Normal 2 4 3 3 8" xfId="2473" xr:uid="{00000000-0005-0000-0000-00001D100000}"/>
    <cellStyle name="Normal 2 4 3 3 8 2" xfId="6756" xr:uid="{00000000-0005-0000-0000-00001E100000}"/>
    <cellStyle name="Normal 2 4 3 3 8 2 2" xfId="16082" xr:uid="{D1284D53-A875-4EDC-A694-292661E1B067}"/>
    <cellStyle name="Normal 2 4 3 3 8 2 3" xfId="24529" xr:uid="{6D004354-CDE9-4821-8521-F675845E7E7C}"/>
    <cellStyle name="Normal 2 4 3 3 8 2 4" xfId="32976" xr:uid="{BFDF8C39-B9A9-4A2D-AC0A-91555EFC9835}"/>
    <cellStyle name="Normal 2 4 3 3 8 3" xfId="11865" xr:uid="{904CB2BC-917F-499E-85E2-589CE1E2FFCB}"/>
    <cellStyle name="Normal 2 4 3 3 8 4" xfId="20312" xr:uid="{3FF5FED1-B259-40B1-BBA9-B2B1C2BD1539}"/>
    <cellStyle name="Normal 2 4 3 3 8 5" xfId="28759" xr:uid="{A7187B2C-758E-4EA8-9515-AADB3C895251}"/>
    <cellStyle name="Normal 2 4 3 3 9" xfId="4690" xr:uid="{00000000-0005-0000-0000-00001F100000}"/>
    <cellStyle name="Normal 2 4 3 3 9 2" xfId="14016" xr:uid="{3E157C1F-A8CC-4962-9626-6EA48C6037FA}"/>
    <cellStyle name="Normal 2 4 3 3 9 3" xfId="22463" xr:uid="{C4C0F5DC-7B87-4106-9B6E-69EB8BE5070D}"/>
    <cellStyle name="Normal 2 4 3 3 9 4" xfId="30910" xr:uid="{EEE14462-4C83-42AC-BE74-68A7E8D2E966}"/>
    <cellStyle name="Normal 2 4 3 4" xfId="787" xr:uid="{00000000-0005-0000-0000-000020100000}"/>
    <cellStyle name="Normal 2 4 3 4 2" xfId="3026" xr:uid="{00000000-0005-0000-0000-000021100000}"/>
    <cellStyle name="Normal 2 4 3 4 2 2" xfId="7248" xr:uid="{00000000-0005-0000-0000-000022100000}"/>
    <cellStyle name="Normal 2 4 3 4 2 2 2" xfId="16574" xr:uid="{2EA48C7E-DF9B-4901-9589-FD95AAC1FA00}"/>
    <cellStyle name="Normal 2 4 3 4 2 2 3" xfId="25021" xr:uid="{89014CD2-156C-4B97-B97A-38D46733828C}"/>
    <cellStyle name="Normal 2 4 3 4 2 2 4" xfId="33468" xr:uid="{BFB59D84-CD15-4320-AC99-C494829EC2E2}"/>
    <cellStyle name="Normal 2 4 3 4 2 3" xfId="12357" xr:uid="{827266A0-28FE-4BF3-AB6C-B8C4E636F6DC}"/>
    <cellStyle name="Normal 2 4 3 4 2 4" xfId="20804" xr:uid="{787E9C59-BC9F-4999-B1B7-435DED41A99E}"/>
    <cellStyle name="Normal 2 4 3 4 2 5" xfId="29251" xr:uid="{0157515F-82A0-44BC-8996-DA9541473A28}"/>
    <cellStyle name="Normal 2 4 3 4 3" xfId="5103" xr:uid="{00000000-0005-0000-0000-000023100000}"/>
    <cellStyle name="Normal 2 4 3 4 3 2" xfId="14429" xr:uid="{8FD8B690-5A4B-4D2F-927B-D0C1095BB28F}"/>
    <cellStyle name="Normal 2 4 3 4 3 3" xfId="22876" xr:uid="{2BDAACF9-FDE7-482F-80EA-2998DF430FBC}"/>
    <cellStyle name="Normal 2 4 3 4 3 4" xfId="31323" xr:uid="{18A6D34B-E29D-43E3-9BED-B2D7A75F89E7}"/>
    <cellStyle name="Normal 2 4 3 4 4" xfId="9605" xr:uid="{31B075F0-6828-4EC6-AC77-4B4B0626A722}"/>
    <cellStyle name="Normal 2 4 3 4 5" xfId="10212" xr:uid="{803EAAD7-2E57-4974-9CB0-6D26D3E1CF8A}"/>
    <cellStyle name="Normal 2 4 3 4 6" xfId="18659" xr:uid="{56641574-D242-4766-8A8C-2CBA82EA3734}"/>
    <cellStyle name="Normal 2 4 3 4 7" xfId="27106" xr:uid="{E78875EA-F518-4074-944C-87C6EF738E00}"/>
    <cellStyle name="Normal 2 4 3 5" xfId="1209" xr:uid="{00000000-0005-0000-0000-000024100000}"/>
    <cellStyle name="Normal 2 4 3 5 2" xfId="3439" xr:uid="{00000000-0005-0000-0000-000025100000}"/>
    <cellStyle name="Normal 2 4 3 5 2 2" xfId="7661" xr:uid="{00000000-0005-0000-0000-000026100000}"/>
    <cellStyle name="Normal 2 4 3 5 2 2 2" xfId="16987" xr:uid="{D074E73A-2331-447F-A0BC-C05D6E2CDDCA}"/>
    <cellStyle name="Normal 2 4 3 5 2 2 3" xfId="25434" xr:uid="{E77B3DB5-B983-47AC-AD72-8E13ECC6D437}"/>
    <cellStyle name="Normal 2 4 3 5 2 2 4" xfId="33881" xr:uid="{B3F62FC8-61E2-4D54-92FA-86767CB4255D}"/>
    <cellStyle name="Normal 2 4 3 5 2 3" xfId="12770" xr:uid="{7354FC75-D1C1-44FF-802B-DE026A1AC9C2}"/>
    <cellStyle name="Normal 2 4 3 5 2 4" xfId="21217" xr:uid="{F79080B6-C5CA-4D21-AF01-1DFFE99A8E63}"/>
    <cellStyle name="Normal 2 4 3 5 2 5" xfId="29664" xr:uid="{F13A6A44-B70C-4AB1-8E3A-DDF1329B7204}"/>
    <cellStyle name="Normal 2 4 3 5 3" xfId="5516" xr:uid="{00000000-0005-0000-0000-000027100000}"/>
    <cellStyle name="Normal 2 4 3 5 3 2" xfId="14842" xr:uid="{4869EB24-2009-4ADF-8E6A-7A76DA05713D}"/>
    <cellStyle name="Normal 2 4 3 5 3 3" xfId="23289" xr:uid="{5A123552-E625-4F88-9C2C-10ABE4F6DAB9}"/>
    <cellStyle name="Normal 2 4 3 5 3 4" xfId="31736" xr:uid="{0E0C8124-BABF-48F1-821B-CB2FD5145BEB}"/>
    <cellStyle name="Normal 2 4 3 5 4" xfId="10625" xr:uid="{C91BE7CE-56ED-49CD-A424-FEBD57190305}"/>
    <cellStyle name="Normal 2 4 3 5 5" xfId="19072" xr:uid="{C8594E11-4789-455A-94B4-5F57E5E37F55}"/>
    <cellStyle name="Normal 2 4 3 5 6" xfId="27519" xr:uid="{C26B611E-22AC-4B24-9432-E5584A8A168E}"/>
    <cellStyle name="Normal 2 4 3 6" xfId="1622" xr:uid="{00000000-0005-0000-0000-000028100000}"/>
    <cellStyle name="Normal 2 4 3 6 2" xfId="3852" xr:uid="{00000000-0005-0000-0000-000029100000}"/>
    <cellStyle name="Normal 2 4 3 6 2 2" xfId="8074" xr:uid="{00000000-0005-0000-0000-00002A100000}"/>
    <cellStyle name="Normal 2 4 3 6 2 2 2" xfId="17400" xr:uid="{E69930F7-C6FB-403E-B70C-5F3342BE2D91}"/>
    <cellStyle name="Normal 2 4 3 6 2 2 3" xfId="25847" xr:uid="{4C4A245E-238D-4987-A8EB-CBEEC318E49C}"/>
    <cellStyle name="Normal 2 4 3 6 2 2 4" xfId="34294" xr:uid="{21E57450-A7F1-4BB1-A24C-EE9F5EE1281A}"/>
    <cellStyle name="Normal 2 4 3 6 2 3" xfId="13183" xr:uid="{A63551E9-2D26-44EB-8619-4AE8B3DA7CD4}"/>
    <cellStyle name="Normal 2 4 3 6 2 4" xfId="21630" xr:uid="{2B3532A8-4EB5-4C90-921B-87C9E733D3D3}"/>
    <cellStyle name="Normal 2 4 3 6 2 5" xfId="30077" xr:uid="{D4485E4B-CC77-4342-B379-3B72AA190C3D}"/>
    <cellStyle name="Normal 2 4 3 6 3" xfId="5929" xr:uid="{00000000-0005-0000-0000-00002B100000}"/>
    <cellStyle name="Normal 2 4 3 6 3 2" xfId="15255" xr:uid="{62446E9E-443D-4B17-9FB9-B1F3595D4CB8}"/>
    <cellStyle name="Normal 2 4 3 6 3 3" xfId="23702" xr:uid="{52D81265-61C8-488B-AD9C-876FF9815760}"/>
    <cellStyle name="Normal 2 4 3 6 3 4" xfId="32149" xr:uid="{6559D929-325F-4C3A-9A36-140F70538A0C}"/>
    <cellStyle name="Normal 2 4 3 6 4" xfId="11038" xr:uid="{10DDFB4F-8BA0-45B6-8B62-EA9599EC96CD}"/>
    <cellStyle name="Normal 2 4 3 6 5" xfId="19485" xr:uid="{458D2B36-B035-4C52-9F3C-2ABFDF3F2C78}"/>
    <cellStyle name="Normal 2 4 3 6 6" xfId="27932" xr:uid="{AFFDC74E-5F87-4194-9B40-703BB3E231DB}"/>
    <cellStyle name="Normal 2 4 3 7" xfId="2036" xr:uid="{00000000-0005-0000-0000-00002C100000}"/>
    <cellStyle name="Normal 2 4 3 7 2" xfId="4265" xr:uid="{00000000-0005-0000-0000-00002D100000}"/>
    <cellStyle name="Normal 2 4 3 7 2 2" xfId="8487" xr:uid="{00000000-0005-0000-0000-00002E100000}"/>
    <cellStyle name="Normal 2 4 3 7 2 2 2" xfId="17813" xr:uid="{779BF724-8FE7-4DEF-A450-71DD1C2DF32D}"/>
    <cellStyle name="Normal 2 4 3 7 2 2 3" xfId="26260" xr:uid="{B7C187C1-B87A-47D9-B59A-87FA22F16142}"/>
    <cellStyle name="Normal 2 4 3 7 2 2 4" xfId="34707" xr:uid="{C0824F45-1079-4CC0-8957-1F8859502EEB}"/>
    <cellStyle name="Normal 2 4 3 7 2 3" xfId="13596" xr:uid="{398393CA-0B6F-4A68-B7C6-B43642FCAADC}"/>
    <cellStyle name="Normal 2 4 3 7 2 4" xfId="22043" xr:uid="{15E1B7EC-9AB4-4C6A-A931-ED563DCB5525}"/>
    <cellStyle name="Normal 2 4 3 7 2 5" xfId="30490" xr:uid="{3A66DA51-E870-4EE7-B550-8113C9217F7F}"/>
    <cellStyle name="Normal 2 4 3 7 3" xfId="6342" xr:uid="{00000000-0005-0000-0000-00002F100000}"/>
    <cellStyle name="Normal 2 4 3 7 3 2" xfId="15668" xr:uid="{07C9C41D-99E4-4426-812D-4B07F06B54C5}"/>
    <cellStyle name="Normal 2 4 3 7 3 3" xfId="24115" xr:uid="{A782D955-2F2B-4FD2-A127-E2301DBF68B3}"/>
    <cellStyle name="Normal 2 4 3 7 3 4" xfId="32562" xr:uid="{738607D6-AC4B-49D5-84CC-40A049A2C025}"/>
    <cellStyle name="Normal 2 4 3 7 4" xfId="11451" xr:uid="{AB957483-FCFC-4333-971D-5CB3CE704AA9}"/>
    <cellStyle name="Normal 2 4 3 7 5" xfId="19898" xr:uid="{A23C5039-07EA-47AB-85E0-F72D65150289}"/>
    <cellStyle name="Normal 2 4 3 7 6" xfId="28345" xr:uid="{8F626ADA-6C27-48F0-ACD0-CCE431A2E854}"/>
    <cellStyle name="Normal 2 4 3 8" xfId="2472" xr:uid="{00000000-0005-0000-0000-000030100000}"/>
    <cellStyle name="Normal 2 4 3 8 2" xfId="6755" xr:uid="{00000000-0005-0000-0000-000031100000}"/>
    <cellStyle name="Normal 2 4 3 8 2 2" xfId="16081" xr:uid="{4434D834-D784-49E3-9115-C82A7D8BDAFF}"/>
    <cellStyle name="Normal 2 4 3 8 2 3" xfId="24528" xr:uid="{DFDA0D53-D727-4475-B11D-129965260DA0}"/>
    <cellStyle name="Normal 2 4 3 8 2 4" xfId="32975" xr:uid="{CD59BEB2-25DE-4037-99F4-3F9C7127CDBC}"/>
    <cellStyle name="Normal 2 4 3 8 3" xfId="11864" xr:uid="{C52DE225-581A-49F6-B559-51869BD9BD16}"/>
    <cellStyle name="Normal 2 4 3 8 4" xfId="20311" xr:uid="{0D688A7E-82A5-4607-A044-4AE5D10172EF}"/>
    <cellStyle name="Normal 2 4 3 8 5" xfId="28758" xr:uid="{2487F161-39B3-46DF-8336-B202EFC396FD}"/>
    <cellStyle name="Normal 2 4 3 9" xfId="4689" xr:uid="{00000000-0005-0000-0000-000032100000}"/>
    <cellStyle name="Normal 2 4 3 9 2" xfId="14015" xr:uid="{4C4D72FA-B3C9-4D6C-99E1-6BED1E9EC7B1}"/>
    <cellStyle name="Normal 2 4 3 9 3" xfId="22462" xr:uid="{9EFA300D-1D60-4633-87E4-E27F69AC69C3}"/>
    <cellStyle name="Normal 2 4 3 9 4" xfId="30909" xr:uid="{2657BBA4-D7F9-4B0A-841A-4897A856115A}"/>
    <cellStyle name="Normal 2 4 4" xfId="302" xr:uid="{00000000-0005-0000-0000-000033100000}"/>
    <cellStyle name="Normal 2 4 5" xfId="303" xr:uid="{00000000-0005-0000-0000-000034100000}"/>
    <cellStyle name="Normal 2 4 5 10" xfId="4694" xr:uid="{00000000-0005-0000-0000-000035100000}"/>
    <cellStyle name="Normal 2 4 5 10 2" xfId="14020" xr:uid="{40F51727-A873-4F96-B659-E677DD2CFA37}"/>
    <cellStyle name="Normal 2 4 5 10 3" xfId="22467" xr:uid="{CD2E5C4A-D116-45C8-B7A3-4264739A9D2F}"/>
    <cellStyle name="Normal 2 4 5 10 4" xfId="30914" xr:uid="{4F8E0713-C824-4C4C-8B36-C44621E90437}"/>
    <cellStyle name="Normal 2 4 5 11" xfId="8780" xr:uid="{7650B30D-5C17-47F0-B17B-A5E27258C29E}"/>
    <cellStyle name="Normal 2 4 5 12" xfId="9803" xr:uid="{11031FFB-1D7C-44A2-8249-A879C01D123C}"/>
    <cellStyle name="Normal 2 4 5 13" xfId="18250" xr:uid="{279E16F2-6BC2-4CE8-A626-255FD78A8471}"/>
    <cellStyle name="Normal 2 4 5 14" xfId="26697" xr:uid="{E756B5A0-0E4C-4A92-B889-2898F9ED9311}"/>
    <cellStyle name="Normal 2 4 5 2" xfId="304" xr:uid="{00000000-0005-0000-0000-000036100000}"/>
    <cellStyle name="Normal 2 4 5 2 10" xfId="8815" xr:uid="{40A5EFE5-2EC9-4F25-B9EC-CAF9321E00F7}"/>
    <cellStyle name="Normal 2 4 5 2 11" xfId="9804" xr:uid="{CAF03433-3423-4436-BE47-FC3D4C8F5B50}"/>
    <cellStyle name="Normal 2 4 5 2 12" xfId="18251" xr:uid="{5F677130-63EA-4E12-9D1B-98D87EC4EC8B}"/>
    <cellStyle name="Normal 2 4 5 2 13" xfId="26698" xr:uid="{01815457-B24E-4563-89C9-1FF2AA1B932A}"/>
    <cellStyle name="Normal 2 4 5 2 2" xfId="305" xr:uid="{00000000-0005-0000-0000-000037100000}"/>
    <cellStyle name="Normal 2 4 5 2 2 10" xfId="9805" xr:uid="{B493A23F-6D08-46A0-9F25-1867C1738932}"/>
    <cellStyle name="Normal 2 4 5 2 2 11" xfId="18252" xr:uid="{CF310D8F-92F2-48B6-9E41-1BE851EFC1FE}"/>
    <cellStyle name="Normal 2 4 5 2 2 12" xfId="26699" xr:uid="{B2B17620-8455-453D-97C4-84852A44FE16}"/>
    <cellStyle name="Normal 2 4 5 2 2 2" xfId="306" xr:uid="{00000000-0005-0000-0000-000038100000}"/>
    <cellStyle name="Normal 2 4 5 2 2 2 10" xfId="18253" xr:uid="{91E6960B-4A53-4A50-BE29-312110E6F182}"/>
    <cellStyle name="Normal 2 4 5 2 2 2 11" xfId="26700" xr:uid="{41AAE66A-E7AD-4191-B478-4100909CA463}"/>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16582" xr:uid="{291371E2-07DB-49C7-9574-F5F11F6E3DC4}"/>
    <cellStyle name="Normal 2 4 5 2 2 2 2 2 2 3" xfId="25029" xr:uid="{B44DB84D-ED42-435A-B568-0630BA5E1D18}"/>
    <cellStyle name="Normal 2 4 5 2 2 2 2 2 2 4" xfId="33476" xr:uid="{30C47841-BAFD-4AC6-A323-A38A3B972CB2}"/>
    <cellStyle name="Normal 2 4 5 2 2 2 2 2 3" xfId="12365" xr:uid="{404D9D7A-D39B-4748-8077-3E9F01CCC5AE}"/>
    <cellStyle name="Normal 2 4 5 2 2 2 2 2 4" xfId="20812" xr:uid="{08B3AE7E-CCE5-454B-B0EB-A135BD796CA2}"/>
    <cellStyle name="Normal 2 4 5 2 2 2 2 2 5" xfId="29259" xr:uid="{BB532E7F-75C7-4DAB-9373-DA83C3DA1B9F}"/>
    <cellStyle name="Normal 2 4 5 2 2 2 2 3" xfId="5111" xr:uid="{00000000-0005-0000-0000-00003C100000}"/>
    <cellStyle name="Normal 2 4 5 2 2 2 2 3 2" xfId="14437" xr:uid="{68517C7C-8E56-4EC6-B46F-9527CC37BEC4}"/>
    <cellStyle name="Normal 2 4 5 2 2 2 2 3 3" xfId="22884" xr:uid="{E49FE3CA-ADC6-4F1C-8A6C-2CD995022D0B}"/>
    <cellStyle name="Normal 2 4 5 2 2 2 2 3 4" xfId="31331" xr:uid="{7FC4D0C3-41F4-4B05-AEAD-160B89374404}"/>
    <cellStyle name="Normal 2 4 5 2 2 2 2 4" xfId="9550" xr:uid="{8A7671EC-AB7E-4F51-9B1B-FE1F0FDC42A9}"/>
    <cellStyle name="Normal 2 4 5 2 2 2 2 5" xfId="10220" xr:uid="{CA1C5AE9-9488-422F-8068-274D2D6A4FD8}"/>
    <cellStyle name="Normal 2 4 5 2 2 2 2 6" xfId="18667" xr:uid="{0ACACCA4-7DC0-4FD8-B1FA-9F52923E4D8B}"/>
    <cellStyle name="Normal 2 4 5 2 2 2 2 7" xfId="27114" xr:uid="{736317A5-7D46-4217-A0CC-88F8CED20D34}"/>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16995" xr:uid="{68F04CE8-8353-4BBF-8CCC-A2FC49837621}"/>
    <cellStyle name="Normal 2 4 5 2 2 2 3 2 2 3" xfId="25442" xr:uid="{9283136C-C6E4-47F0-B8F8-69EB9EA029AA}"/>
    <cellStyle name="Normal 2 4 5 2 2 2 3 2 2 4" xfId="33889" xr:uid="{956CFB60-BA83-44DA-AC96-938607FDDA2D}"/>
    <cellStyle name="Normal 2 4 5 2 2 2 3 2 3" xfId="12778" xr:uid="{9FED0D63-DF1D-4650-8DE3-7960A026EBE1}"/>
    <cellStyle name="Normal 2 4 5 2 2 2 3 2 4" xfId="21225" xr:uid="{FC7EBE40-0B6C-47EB-AE0B-20BF229BBA50}"/>
    <cellStyle name="Normal 2 4 5 2 2 2 3 2 5" xfId="29672" xr:uid="{D5CB3576-CC4A-4750-B7D7-617021C7FCA9}"/>
    <cellStyle name="Normal 2 4 5 2 2 2 3 3" xfId="5524" xr:uid="{00000000-0005-0000-0000-000040100000}"/>
    <cellStyle name="Normal 2 4 5 2 2 2 3 3 2" xfId="14850" xr:uid="{F0153FFA-AA8F-4400-8C04-DAA5F7665EE2}"/>
    <cellStyle name="Normal 2 4 5 2 2 2 3 3 3" xfId="23297" xr:uid="{6668C304-6FBC-4D14-A772-CD113E135D2E}"/>
    <cellStyle name="Normal 2 4 5 2 2 2 3 3 4" xfId="31744" xr:uid="{C4EBA629-ED6B-4B0F-9ED5-E9FF3C992079}"/>
    <cellStyle name="Normal 2 4 5 2 2 2 3 4" xfId="10633" xr:uid="{7A8F0B7B-70EB-43C9-823B-3695D9524C11}"/>
    <cellStyle name="Normal 2 4 5 2 2 2 3 5" xfId="19080" xr:uid="{73B0165A-BDD3-4BBC-8DF5-4D91FA510DE3}"/>
    <cellStyle name="Normal 2 4 5 2 2 2 3 6" xfId="27527" xr:uid="{3477F544-E647-47DC-8C23-57B5FC73D425}"/>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17408" xr:uid="{54940E72-F9F0-43CF-8DE6-FD858314A724}"/>
    <cellStyle name="Normal 2 4 5 2 2 2 4 2 2 3" xfId="25855" xr:uid="{D0B9D88D-91F8-414E-AF90-F5A702FCABA0}"/>
    <cellStyle name="Normal 2 4 5 2 2 2 4 2 2 4" xfId="34302" xr:uid="{01EC94E6-E5C5-4A49-A620-6E2C9CB57078}"/>
    <cellStyle name="Normal 2 4 5 2 2 2 4 2 3" xfId="13191" xr:uid="{1BFB79C5-7F56-4781-9E70-C9FBEBB6A3B1}"/>
    <cellStyle name="Normal 2 4 5 2 2 2 4 2 4" xfId="21638" xr:uid="{70CA6FAC-DFDE-42B0-BBC8-81F8DE848724}"/>
    <cellStyle name="Normal 2 4 5 2 2 2 4 2 5" xfId="30085" xr:uid="{40197B9F-FE97-4F93-903C-3171087EF344}"/>
    <cellStyle name="Normal 2 4 5 2 2 2 4 3" xfId="5937" xr:uid="{00000000-0005-0000-0000-000044100000}"/>
    <cellStyle name="Normal 2 4 5 2 2 2 4 3 2" xfId="15263" xr:uid="{8055FEBC-6441-4D32-87BA-57330742996D}"/>
    <cellStyle name="Normal 2 4 5 2 2 2 4 3 3" xfId="23710" xr:uid="{FE1495AC-6688-4B1D-86B7-657D1E283DA4}"/>
    <cellStyle name="Normal 2 4 5 2 2 2 4 3 4" xfId="32157" xr:uid="{EB9CD55B-7DAF-47FF-9135-4CB6206659B3}"/>
    <cellStyle name="Normal 2 4 5 2 2 2 4 4" xfId="11046" xr:uid="{A41BF890-2AD5-447A-ACD6-060767D2EB36}"/>
    <cellStyle name="Normal 2 4 5 2 2 2 4 5" xfId="19493" xr:uid="{A93B0538-1EF4-4473-BBC4-8812B43D40D3}"/>
    <cellStyle name="Normal 2 4 5 2 2 2 4 6" xfId="27940" xr:uid="{6756821D-0E4B-4E3F-AB44-6D63B7B46F88}"/>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17821" xr:uid="{E3249C2E-88D4-48E8-8E66-DF910BEE7D63}"/>
    <cellStyle name="Normal 2 4 5 2 2 2 5 2 2 3" xfId="26268" xr:uid="{39C14DA9-A934-45DD-96CF-8017A4874310}"/>
    <cellStyle name="Normal 2 4 5 2 2 2 5 2 2 4" xfId="34715" xr:uid="{A9B39622-3DA9-4AAE-BCFE-623DA7B97EF2}"/>
    <cellStyle name="Normal 2 4 5 2 2 2 5 2 3" xfId="13604" xr:uid="{2936124E-A9FD-4E87-83CF-B243A6CDF205}"/>
    <cellStyle name="Normal 2 4 5 2 2 2 5 2 4" xfId="22051" xr:uid="{A816A9EE-A09F-4F59-A53B-B7A0020B364A}"/>
    <cellStyle name="Normal 2 4 5 2 2 2 5 2 5" xfId="30498" xr:uid="{990698D9-EAAF-4050-A049-FFC27B3D86C3}"/>
    <cellStyle name="Normal 2 4 5 2 2 2 5 3" xfId="6350" xr:uid="{00000000-0005-0000-0000-000048100000}"/>
    <cellStyle name="Normal 2 4 5 2 2 2 5 3 2" xfId="15676" xr:uid="{1999F023-9895-4AEE-9ED2-21B37FE6D339}"/>
    <cellStyle name="Normal 2 4 5 2 2 2 5 3 3" xfId="24123" xr:uid="{CCB013FA-8492-4202-91F4-4FA1648C849C}"/>
    <cellStyle name="Normal 2 4 5 2 2 2 5 3 4" xfId="32570" xr:uid="{078EBF88-2021-4520-A0F0-03B53E5012F7}"/>
    <cellStyle name="Normal 2 4 5 2 2 2 5 4" xfId="11459" xr:uid="{9EC726C9-E5AD-4D77-B692-525D38D96D5B}"/>
    <cellStyle name="Normal 2 4 5 2 2 2 5 5" xfId="19906" xr:uid="{9FBCC46D-E368-4EDE-9CE5-2362267163B5}"/>
    <cellStyle name="Normal 2 4 5 2 2 2 5 6" xfId="28353" xr:uid="{F1852015-DAFE-471B-A2D6-BD504FEED4AD}"/>
    <cellStyle name="Normal 2 4 5 2 2 2 6" xfId="2480" xr:uid="{00000000-0005-0000-0000-000049100000}"/>
    <cellStyle name="Normal 2 4 5 2 2 2 6 2" xfId="6763" xr:uid="{00000000-0005-0000-0000-00004A100000}"/>
    <cellStyle name="Normal 2 4 5 2 2 2 6 2 2" xfId="16089" xr:uid="{1F8E0307-B52D-4CEB-A9A7-31576F468893}"/>
    <cellStyle name="Normal 2 4 5 2 2 2 6 2 3" xfId="24536" xr:uid="{A9D47189-8618-49CB-ADE6-42E805E4AC68}"/>
    <cellStyle name="Normal 2 4 5 2 2 2 6 2 4" xfId="32983" xr:uid="{107221D3-063C-4CE1-A8BE-092404419166}"/>
    <cellStyle name="Normal 2 4 5 2 2 2 6 3" xfId="11872" xr:uid="{60D65F2D-1E35-417D-AA72-0312C714FD14}"/>
    <cellStyle name="Normal 2 4 5 2 2 2 6 4" xfId="20319" xr:uid="{4138EA40-A308-404F-A405-E9657CD755A9}"/>
    <cellStyle name="Normal 2 4 5 2 2 2 6 5" xfId="28766" xr:uid="{A6ADC91C-DFDD-45D0-8448-36EDDABF60FA}"/>
    <cellStyle name="Normal 2 4 5 2 2 2 7" xfId="4697" xr:uid="{00000000-0005-0000-0000-00004B100000}"/>
    <cellStyle name="Normal 2 4 5 2 2 2 7 2" xfId="14023" xr:uid="{F91D7D53-AE67-42D1-93CC-529F6700B827}"/>
    <cellStyle name="Normal 2 4 5 2 2 2 7 3" xfId="22470" xr:uid="{7188E458-BD07-4AAC-BF5D-4C2B8A93D292}"/>
    <cellStyle name="Normal 2 4 5 2 2 2 7 4" xfId="30917" xr:uid="{875D85E5-BAB5-44EF-B919-1216A4D022BD}"/>
    <cellStyle name="Normal 2 4 5 2 2 2 8" xfId="9125" xr:uid="{AE6B93A1-5C0B-49F1-AF15-6FC3FAFFE3B2}"/>
    <cellStyle name="Normal 2 4 5 2 2 2 9" xfId="9806" xr:uid="{A0CF7811-6BAD-4A09-80C9-6EFF950083A7}"/>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16581" xr:uid="{B9630D58-BE69-426E-AEF7-43187C9C4ED6}"/>
    <cellStyle name="Normal 2 4 5 2 2 3 2 2 3" xfId="25028" xr:uid="{D406F7D3-687C-4596-B2AA-70F6441DD09A}"/>
    <cellStyle name="Normal 2 4 5 2 2 3 2 2 4" xfId="33475" xr:uid="{A5EC67F1-1BE7-44E8-9672-7D3227D48D72}"/>
    <cellStyle name="Normal 2 4 5 2 2 3 2 3" xfId="12364" xr:uid="{7479AC23-0F70-4F88-BD1A-47234635441C}"/>
    <cellStyle name="Normal 2 4 5 2 2 3 2 4" xfId="20811" xr:uid="{3254E09D-760B-4197-8631-CF93C3BEFD7C}"/>
    <cellStyle name="Normal 2 4 5 2 2 3 2 5" xfId="29258" xr:uid="{A160496B-B776-4A09-9FD0-14F90F659E76}"/>
    <cellStyle name="Normal 2 4 5 2 2 3 3" xfId="5110" xr:uid="{00000000-0005-0000-0000-00004F100000}"/>
    <cellStyle name="Normal 2 4 5 2 2 3 3 2" xfId="14436" xr:uid="{40BA0B9A-FE49-4A9E-BE0F-735EC97DCEB3}"/>
    <cellStyle name="Normal 2 4 5 2 2 3 3 3" xfId="22883" xr:uid="{7DD639DA-85EC-44E7-A0AB-D1DB0C49402B}"/>
    <cellStyle name="Normal 2 4 5 2 2 3 3 4" xfId="31330" xr:uid="{9C228DC3-709B-4CFD-B88E-3FCB01D57973}"/>
    <cellStyle name="Normal 2 4 5 2 2 3 4" xfId="9343" xr:uid="{FC4CD386-4202-45E2-8021-2A85CACF4E8B}"/>
    <cellStyle name="Normal 2 4 5 2 2 3 5" xfId="10219" xr:uid="{4503851E-F412-4ED6-947C-B071B8C87F42}"/>
    <cellStyle name="Normal 2 4 5 2 2 3 6" xfId="18666" xr:uid="{941C8639-D79A-4C2F-9D76-669D221024F5}"/>
    <cellStyle name="Normal 2 4 5 2 2 3 7" xfId="27113" xr:uid="{FAE9AC8D-B700-4D0A-BF09-1C768B998DA6}"/>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16994" xr:uid="{6E4BADF2-49F2-4A9E-844A-8556F3EBBFE9}"/>
    <cellStyle name="Normal 2 4 5 2 2 4 2 2 3" xfId="25441" xr:uid="{D9A78BE0-5CCD-44E2-B355-62DF4D32E96C}"/>
    <cellStyle name="Normal 2 4 5 2 2 4 2 2 4" xfId="33888" xr:uid="{95E475B1-83F9-4A42-8951-3261C3459D5A}"/>
    <cellStyle name="Normal 2 4 5 2 2 4 2 3" xfId="12777" xr:uid="{C0AC7841-A128-46A4-9DF5-908108C7EEA3}"/>
    <cellStyle name="Normal 2 4 5 2 2 4 2 4" xfId="21224" xr:uid="{6FE883A7-6481-49DE-BDDB-FD57245D54E4}"/>
    <cellStyle name="Normal 2 4 5 2 2 4 2 5" xfId="29671" xr:uid="{096845BB-DB19-4A7E-A751-22022F592CF8}"/>
    <cellStyle name="Normal 2 4 5 2 2 4 3" xfId="5523" xr:uid="{00000000-0005-0000-0000-000053100000}"/>
    <cellStyle name="Normal 2 4 5 2 2 4 3 2" xfId="14849" xr:uid="{60B7FC8B-06A6-42D7-A884-502D362AF12D}"/>
    <cellStyle name="Normal 2 4 5 2 2 4 3 3" xfId="23296" xr:uid="{9AFF9D6A-531B-430E-B5A6-1747F516BBF4}"/>
    <cellStyle name="Normal 2 4 5 2 2 4 3 4" xfId="31743" xr:uid="{9C346C33-8351-498D-8587-D97D250B2C80}"/>
    <cellStyle name="Normal 2 4 5 2 2 4 4" xfId="10632" xr:uid="{75EE4DC6-8DEB-4B67-908B-D521CB16248E}"/>
    <cellStyle name="Normal 2 4 5 2 2 4 5" xfId="19079" xr:uid="{A4684B4A-4B6B-4666-837F-5A0F22610763}"/>
    <cellStyle name="Normal 2 4 5 2 2 4 6" xfId="27526" xr:uid="{5FCBF8D5-186B-4E17-BB76-7D601C7E499B}"/>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17407" xr:uid="{C2120215-63B4-4D2C-911B-0695036D2EEB}"/>
    <cellStyle name="Normal 2 4 5 2 2 5 2 2 3" xfId="25854" xr:uid="{4BB41BA7-5350-4B54-94E6-6CDD80F182E2}"/>
    <cellStyle name="Normal 2 4 5 2 2 5 2 2 4" xfId="34301" xr:uid="{6F214A06-9E56-410A-900C-5978AEEC8371}"/>
    <cellStyle name="Normal 2 4 5 2 2 5 2 3" xfId="13190" xr:uid="{412BE06C-20B8-46B9-9E8F-8DCB45A414D6}"/>
    <cellStyle name="Normal 2 4 5 2 2 5 2 4" xfId="21637" xr:uid="{549C755B-408D-4D4B-9860-EB454CBFF692}"/>
    <cellStyle name="Normal 2 4 5 2 2 5 2 5" xfId="30084" xr:uid="{7AE9408B-086A-4B47-9DAD-7EFD82030287}"/>
    <cellStyle name="Normal 2 4 5 2 2 5 3" xfId="5936" xr:uid="{00000000-0005-0000-0000-000057100000}"/>
    <cellStyle name="Normal 2 4 5 2 2 5 3 2" xfId="15262" xr:uid="{C44108D2-7408-400A-83EC-2B5588573B4A}"/>
    <cellStyle name="Normal 2 4 5 2 2 5 3 3" xfId="23709" xr:uid="{8071B89B-8F36-4CCD-BC6F-40BA69C7DD79}"/>
    <cellStyle name="Normal 2 4 5 2 2 5 3 4" xfId="32156" xr:uid="{588A405E-D301-4688-B5A1-61527E01CFB7}"/>
    <cellStyle name="Normal 2 4 5 2 2 5 4" xfId="11045" xr:uid="{943045F5-CB41-4F40-806B-5146D16B3A2E}"/>
    <cellStyle name="Normal 2 4 5 2 2 5 5" xfId="19492" xr:uid="{C9354247-231A-493A-BD27-5D983421D7B6}"/>
    <cellStyle name="Normal 2 4 5 2 2 5 6" xfId="27939" xr:uid="{090DA804-493E-47E1-9845-CF37C723BF4C}"/>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17820" xr:uid="{72D63072-3E93-4D39-865D-D8FEEF53E8D5}"/>
    <cellStyle name="Normal 2 4 5 2 2 6 2 2 3" xfId="26267" xr:uid="{11B62CA4-4D73-4F1D-9B53-E909C55A9B28}"/>
    <cellStyle name="Normal 2 4 5 2 2 6 2 2 4" xfId="34714" xr:uid="{4B9044B7-DFA0-48DD-A708-51BCEB93A576}"/>
    <cellStyle name="Normal 2 4 5 2 2 6 2 3" xfId="13603" xr:uid="{4024E5D0-D087-46D2-A238-F6E695D0048C}"/>
    <cellStyle name="Normal 2 4 5 2 2 6 2 4" xfId="22050" xr:uid="{3ED45B98-ED07-49B5-B4E0-681F7A55FF95}"/>
    <cellStyle name="Normal 2 4 5 2 2 6 2 5" xfId="30497" xr:uid="{C264CE13-767C-428E-ADF1-211DACA89636}"/>
    <cellStyle name="Normal 2 4 5 2 2 6 3" xfId="6349" xr:uid="{00000000-0005-0000-0000-00005B100000}"/>
    <cellStyle name="Normal 2 4 5 2 2 6 3 2" xfId="15675" xr:uid="{E27E44E2-C752-4D5C-B555-A4399471AD45}"/>
    <cellStyle name="Normal 2 4 5 2 2 6 3 3" xfId="24122" xr:uid="{53281EEE-C9E7-4A27-92D1-F37034CAF1F7}"/>
    <cellStyle name="Normal 2 4 5 2 2 6 3 4" xfId="32569" xr:uid="{898B836A-4187-4FE3-A3DA-4DA7724488A9}"/>
    <cellStyle name="Normal 2 4 5 2 2 6 4" xfId="11458" xr:uid="{6688AE3B-8AB1-4FE2-AAC7-CF3AC8D58C68}"/>
    <cellStyle name="Normal 2 4 5 2 2 6 5" xfId="19905" xr:uid="{C6EA7C91-97B8-44BD-9066-9DDD8DC19BD1}"/>
    <cellStyle name="Normal 2 4 5 2 2 6 6" xfId="28352" xr:uid="{69989650-6539-4516-8910-3B09342053A9}"/>
    <cellStyle name="Normal 2 4 5 2 2 7" xfId="2479" xr:uid="{00000000-0005-0000-0000-00005C100000}"/>
    <cellStyle name="Normal 2 4 5 2 2 7 2" xfId="6762" xr:uid="{00000000-0005-0000-0000-00005D100000}"/>
    <cellStyle name="Normal 2 4 5 2 2 7 2 2" xfId="16088" xr:uid="{CCEBA616-05FC-43D9-A077-045D8D204FDB}"/>
    <cellStyle name="Normal 2 4 5 2 2 7 2 3" xfId="24535" xr:uid="{80BDF582-AC8C-4C05-9BB8-499AF19EBF0E}"/>
    <cellStyle name="Normal 2 4 5 2 2 7 2 4" xfId="32982" xr:uid="{07E9AC5A-6C77-4AB1-B15F-3107E8B92243}"/>
    <cellStyle name="Normal 2 4 5 2 2 7 3" xfId="11871" xr:uid="{38C899F4-EAEE-4C1C-A1F2-599CDFECD2A0}"/>
    <cellStyle name="Normal 2 4 5 2 2 7 4" xfId="20318" xr:uid="{AE9E3E6E-EB78-4D01-BF43-CDA090EFDBFA}"/>
    <cellStyle name="Normal 2 4 5 2 2 7 5" xfId="28765" xr:uid="{003FA884-A880-4DB4-B325-B39D58B456C7}"/>
    <cellStyle name="Normal 2 4 5 2 2 8" xfId="4696" xr:uid="{00000000-0005-0000-0000-00005E100000}"/>
    <cellStyle name="Normal 2 4 5 2 2 8 2" xfId="14022" xr:uid="{CF2DD169-5108-4868-9673-31D92391C855}"/>
    <cellStyle name="Normal 2 4 5 2 2 8 3" xfId="22469" xr:uid="{32987C8E-AB35-4B6F-A67F-DD8F2CF3B4AD}"/>
    <cellStyle name="Normal 2 4 5 2 2 8 4" xfId="30916" xr:uid="{B0F28BE0-7B39-4DFD-8BE7-FDC902A1ED98}"/>
    <cellStyle name="Normal 2 4 5 2 2 9" xfId="8918" xr:uid="{C191AFB9-5B9B-45BF-8589-0BB68E370D0F}"/>
    <cellStyle name="Normal 2 4 5 2 3" xfId="307" xr:uid="{00000000-0005-0000-0000-00005F100000}"/>
    <cellStyle name="Normal 2 4 5 2 3 10" xfId="18254" xr:uid="{02F723E5-A0F2-4010-AD13-A99EB84727B8}"/>
    <cellStyle name="Normal 2 4 5 2 3 11" xfId="26701" xr:uid="{FA6743E2-A15C-417D-81BC-28C706185AC8}"/>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16583" xr:uid="{85561EF1-D510-43DC-8652-3E04BF6D921C}"/>
    <cellStyle name="Normal 2 4 5 2 3 2 2 2 3" xfId="25030" xr:uid="{626CFA1B-C0E2-426E-99FE-4FF10847CD14}"/>
    <cellStyle name="Normal 2 4 5 2 3 2 2 2 4" xfId="33477" xr:uid="{37146406-F816-4D4F-A364-EB16D8FC3161}"/>
    <cellStyle name="Normal 2 4 5 2 3 2 2 3" xfId="12366" xr:uid="{D779F981-DD33-4D0A-B12C-651EDC5B51DF}"/>
    <cellStyle name="Normal 2 4 5 2 3 2 2 4" xfId="20813" xr:uid="{CE3F588D-44DC-48D1-ADD7-D2054CB6A126}"/>
    <cellStyle name="Normal 2 4 5 2 3 2 2 5" xfId="29260" xr:uid="{3B058BAD-F320-4B28-B431-72F130F1346B}"/>
    <cellStyle name="Normal 2 4 5 2 3 2 3" xfId="5112" xr:uid="{00000000-0005-0000-0000-000063100000}"/>
    <cellStyle name="Normal 2 4 5 2 3 2 3 2" xfId="14438" xr:uid="{79593782-C4C3-412D-9FC6-98CF02C07D6D}"/>
    <cellStyle name="Normal 2 4 5 2 3 2 3 3" xfId="22885" xr:uid="{B04B2348-BFAB-44E3-9517-8D3C319169AB}"/>
    <cellStyle name="Normal 2 4 5 2 3 2 3 4" xfId="31332" xr:uid="{3750D00F-7410-457C-9F97-8B78F11E13F1}"/>
    <cellStyle name="Normal 2 4 5 2 3 2 4" xfId="9447" xr:uid="{5DAE67B2-15F6-4C7F-9310-B9C816D42F72}"/>
    <cellStyle name="Normal 2 4 5 2 3 2 5" xfId="10221" xr:uid="{7EE43EA7-9B7B-4480-993D-D5F4E108804B}"/>
    <cellStyle name="Normal 2 4 5 2 3 2 6" xfId="18668" xr:uid="{7457304F-7F13-4A47-BF90-F04925A388D7}"/>
    <cellStyle name="Normal 2 4 5 2 3 2 7" xfId="27115" xr:uid="{674F7938-1B86-41FF-A358-A3E7977B12A3}"/>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16996" xr:uid="{341A178F-A5A2-4E80-B2C0-297728991E68}"/>
    <cellStyle name="Normal 2 4 5 2 3 3 2 2 3" xfId="25443" xr:uid="{6EB57420-64F5-4691-861A-4BFEC9CB4F40}"/>
    <cellStyle name="Normal 2 4 5 2 3 3 2 2 4" xfId="33890" xr:uid="{EDF773C3-7B45-420D-9BFE-7BD1CCEFDC3D}"/>
    <cellStyle name="Normal 2 4 5 2 3 3 2 3" xfId="12779" xr:uid="{707A04F0-CB5E-4E17-A957-6EA81C08285D}"/>
    <cellStyle name="Normal 2 4 5 2 3 3 2 4" xfId="21226" xr:uid="{C7202492-106D-4203-9FCB-22FBF9F660BC}"/>
    <cellStyle name="Normal 2 4 5 2 3 3 2 5" xfId="29673" xr:uid="{83161742-6225-47BB-9D5D-0393BE3387BA}"/>
    <cellStyle name="Normal 2 4 5 2 3 3 3" xfId="5525" xr:uid="{00000000-0005-0000-0000-000067100000}"/>
    <cellStyle name="Normal 2 4 5 2 3 3 3 2" xfId="14851" xr:uid="{0C626190-3688-41F4-BEF5-7F73B6C900E8}"/>
    <cellStyle name="Normal 2 4 5 2 3 3 3 3" xfId="23298" xr:uid="{2AE49148-D725-4683-B1E2-CFC62143395C}"/>
    <cellStyle name="Normal 2 4 5 2 3 3 3 4" xfId="31745" xr:uid="{FD81B75E-E21C-4504-A1A0-71B7F800A8AD}"/>
    <cellStyle name="Normal 2 4 5 2 3 3 4" xfId="10634" xr:uid="{5176C044-A469-408D-A4B0-DD12249AF6A4}"/>
    <cellStyle name="Normal 2 4 5 2 3 3 5" xfId="19081" xr:uid="{812F1976-E85C-449E-A485-3839669860DA}"/>
    <cellStyle name="Normal 2 4 5 2 3 3 6" xfId="27528" xr:uid="{C23980B2-3618-46C1-9335-2F84FF1FA0C6}"/>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17409" xr:uid="{D2794739-1476-42DB-B18A-52C8D2EF7641}"/>
    <cellStyle name="Normal 2 4 5 2 3 4 2 2 3" xfId="25856" xr:uid="{4EC5E139-897D-41F8-AD43-CF8CF4D013D4}"/>
    <cellStyle name="Normal 2 4 5 2 3 4 2 2 4" xfId="34303" xr:uid="{735E6062-F56A-40A8-9F10-FB2C311E95AB}"/>
    <cellStyle name="Normal 2 4 5 2 3 4 2 3" xfId="13192" xr:uid="{01821376-0B1D-473A-B8A4-0645A98A671E}"/>
    <cellStyle name="Normal 2 4 5 2 3 4 2 4" xfId="21639" xr:uid="{E781FE07-F491-4CBE-8B06-DFACE47138B6}"/>
    <cellStyle name="Normal 2 4 5 2 3 4 2 5" xfId="30086" xr:uid="{AAEFFD2B-BBCB-4116-94A6-44BF1DF7F9C9}"/>
    <cellStyle name="Normal 2 4 5 2 3 4 3" xfId="5938" xr:uid="{00000000-0005-0000-0000-00006B100000}"/>
    <cellStyle name="Normal 2 4 5 2 3 4 3 2" xfId="15264" xr:uid="{A4DEA563-A3C6-48DD-8525-2085427DE6E5}"/>
    <cellStyle name="Normal 2 4 5 2 3 4 3 3" xfId="23711" xr:uid="{DB8EEC64-108E-4F16-A994-7609A4223AFF}"/>
    <cellStyle name="Normal 2 4 5 2 3 4 3 4" xfId="32158" xr:uid="{68EB9B6A-75ED-4FDF-8B13-60E3FC4FD7A2}"/>
    <cellStyle name="Normal 2 4 5 2 3 4 4" xfId="11047" xr:uid="{D9E23ED0-9DD9-4B53-9902-6CE829179636}"/>
    <cellStyle name="Normal 2 4 5 2 3 4 5" xfId="19494" xr:uid="{280C5A80-552E-4F08-A964-CD245FDA1F6B}"/>
    <cellStyle name="Normal 2 4 5 2 3 4 6" xfId="27941" xr:uid="{865E7C29-6F3E-4501-BF23-57F4A467419E}"/>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17822" xr:uid="{9E046942-00EB-4124-B567-AB66F454FEB0}"/>
    <cellStyle name="Normal 2 4 5 2 3 5 2 2 3" xfId="26269" xr:uid="{6C949C30-CC33-410B-A775-A86179506A0C}"/>
    <cellStyle name="Normal 2 4 5 2 3 5 2 2 4" xfId="34716" xr:uid="{DE78D51F-29E7-4425-A431-EF6D2857CABE}"/>
    <cellStyle name="Normal 2 4 5 2 3 5 2 3" xfId="13605" xr:uid="{DFCEE79F-E03D-457A-9BEA-4C085AACEAE1}"/>
    <cellStyle name="Normal 2 4 5 2 3 5 2 4" xfId="22052" xr:uid="{44CE73A8-CDDB-4081-8A9D-7CD4E3BD7231}"/>
    <cellStyle name="Normal 2 4 5 2 3 5 2 5" xfId="30499" xr:uid="{944F7C0F-E2B7-402F-A79E-DBE29E75C120}"/>
    <cellStyle name="Normal 2 4 5 2 3 5 3" xfId="6351" xr:uid="{00000000-0005-0000-0000-00006F100000}"/>
    <cellStyle name="Normal 2 4 5 2 3 5 3 2" xfId="15677" xr:uid="{DEA88FFA-E61E-4740-A790-DA6DD60BDD9E}"/>
    <cellStyle name="Normal 2 4 5 2 3 5 3 3" xfId="24124" xr:uid="{08A7E663-C47D-4738-88FB-14B23F776C96}"/>
    <cellStyle name="Normal 2 4 5 2 3 5 3 4" xfId="32571" xr:uid="{22EC3AC6-A493-417F-8CFA-01B6DE63ECF6}"/>
    <cellStyle name="Normal 2 4 5 2 3 5 4" xfId="11460" xr:uid="{637B7D5E-BC9E-4558-A86C-FD7436C75086}"/>
    <cellStyle name="Normal 2 4 5 2 3 5 5" xfId="19907" xr:uid="{50C59A23-70A6-47CB-9A1B-908BF71BCEF0}"/>
    <cellStyle name="Normal 2 4 5 2 3 5 6" xfId="28354" xr:uid="{A7C6E791-351D-4749-BF93-2ECDE7F826D0}"/>
    <cellStyle name="Normal 2 4 5 2 3 6" xfId="2481" xr:uid="{00000000-0005-0000-0000-000070100000}"/>
    <cellStyle name="Normal 2 4 5 2 3 6 2" xfId="6764" xr:uid="{00000000-0005-0000-0000-000071100000}"/>
    <cellStyle name="Normal 2 4 5 2 3 6 2 2" xfId="16090" xr:uid="{4E965781-0B0C-4570-917F-B6F1D1516644}"/>
    <cellStyle name="Normal 2 4 5 2 3 6 2 3" xfId="24537" xr:uid="{ECA55B3E-036E-4A85-831F-3A4117726DD0}"/>
    <cellStyle name="Normal 2 4 5 2 3 6 2 4" xfId="32984" xr:uid="{EEE2CBFD-0469-4AD5-A636-82B9A706ED8A}"/>
    <cellStyle name="Normal 2 4 5 2 3 6 3" xfId="11873" xr:uid="{9E0D7F27-5129-4AF5-B158-3C47D040195A}"/>
    <cellStyle name="Normal 2 4 5 2 3 6 4" xfId="20320" xr:uid="{C41C84D7-53B5-48A8-B8C8-4E46572E97D8}"/>
    <cellStyle name="Normal 2 4 5 2 3 6 5" xfId="28767" xr:uid="{EF050A00-8052-471F-BFED-38F00C30BF9A}"/>
    <cellStyle name="Normal 2 4 5 2 3 7" xfId="4698" xr:uid="{00000000-0005-0000-0000-000072100000}"/>
    <cellStyle name="Normal 2 4 5 2 3 7 2" xfId="14024" xr:uid="{3AD7DC98-4977-482C-9FAC-A92952235380}"/>
    <cellStyle name="Normal 2 4 5 2 3 7 3" xfId="22471" xr:uid="{09E8862B-819D-4C94-ACF2-4A3053700811}"/>
    <cellStyle name="Normal 2 4 5 2 3 7 4" xfId="30918" xr:uid="{94152009-3B73-45C4-BE22-272962D06D2F}"/>
    <cellStyle name="Normal 2 4 5 2 3 8" xfId="9022" xr:uid="{B979F5DF-A88B-437D-B1B4-B92D08856DC7}"/>
    <cellStyle name="Normal 2 4 5 2 3 9" xfId="9807" xr:uid="{3335162E-AE53-4BE3-9CA0-345DF66B5F01}"/>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16580" xr:uid="{45FA7758-4588-40B0-9833-55BE556DF11C}"/>
    <cellStyle name="Normal 2 4 5 2 4 2 2 3" xfId="25027" xr:uid="{CC0E5D48-D083-4779-AD54-6AF434FA0688}"/>
    <cellStyle name="Normal 2 4 5 2 4 2 2 4" xfId="33474" xr:uid="{E5F6B50E-AEE8-4486-B392-96A9F08E25E7}"/>
    <cellStyle name="Normal 2 4 5 2 4 2 3" xfId="12363" xr:uid="{72C76656-4E29-4258-83A9-D9615107AA47}"/>
    <cellStyle name="Normal 2 4 5 2 4 2 4" xfId="20810" xr:uid="{889746E5-BED9-4D4B-8219-D46B3A2CA267}"/>
    <cellStyle name="Normal 2 4 5 2 4 2 5" xfId="29257" xr:uid="{03B10EEE-42D1-4B93-999D-31FA842E4765}"/>
    <cellStyle name="Normal 2 4 5 2 4 3" xfId="5109" xr:uid="{00000000-0005-0000-0000-000076100000}"/>
    <cellStyle name="Normal 2 4 5 2 4 3 2" xfId="14435" xr:uid="{51905235-822F-4A4B-9209-DE64876C5EF8}"/>
    <cellStyle name="Normal 2 4 5 2 4 3 3" xfId="22882" xr:uid="{E0832AFE-1A91-4B8B-99C4-81F0FA5D94C7}"/>
    <cellStyle name="Normal 2 4 5 2 4 3 4" xfId="31329" xr:uid="{C2B48B8F-F23B-44DC-B3EA-49790853DD0C}"/>
    <cellStyle name="Normal 2 4 5 2 4 4" xfId="9240" xr:uid="{16FBE981-4867-4157-8C0D-9C1339DB5B3F}"/>
    <cellStyle name="Normal 2 4 5 2 4 5" xfId="10218" xr:uid="{DE4FB44C-C56D-4F91-B161-FA192B77F7F5}"/>
    <cellStyle name="Normal 2 4 5 2 4 6" xfId="18665" xr:uid="{6E0B1469-2DA0-412E-B260-A7263866759A}"/>
    <cellStyle name="Normal 2 4 5 2 4 7" xfId="27112" xr:uid="{22281C0E-23C0-4297-A671-A0BFEF0BFAC8}"/>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16993" xr:uid="{B2E708B6-DA31-4B99-8C53-5ACCD2F31626}"/>
    <cellStyle name="Normal 2 4 5 2 5 2 2 3" xfId="25440" xr:uid="{EE9ED838-F68F-48DB-AD7F-6A37939A3EAF}"/>
    <cellStyle name="Normal 2 4 5 2 5 2 2 4" xfId="33887" xr:uid="{CF566212-CE1E-4394-B7D8-E4D8FBC68B39}"/>
    <cellStyle name="Normal 2 4 5 2 5 2 3" xfId="12776" xr:uid="{9E31049F-ECC0-4CDD-837E-72C73EEE6F57}"/>
    <cellStyle name="Normal 2 4 5 2 5 2 4" xfId="21223" xr:uid="{8BD8687B-C9FF-44C5-883C-B8EF5AFB47BD}"/>
    <cellStyle name="Normal 2 4 5 2 5 2 5" xfId="29670" xr:uid="{C3DA8CC8-8C37-4D6D-91C7-4C63D731925F}"/>
    <cellStyle name="Normal 2 4 5 2 5 3" xfId="5522" xr:uid="{00000000-0005-0000-0000-00007A100000}"/>
    <cellStyle name="Normal 2 4 5 2 5 3 2" xfId="14848" xr:uid="{C08B99EE-ACF1-4A1D-91C7-49E0B2C4F9D9}"/>
    <cellStyle name="Normal 2 4 5 2 5 3 3" xfId="23295" xr:uid="{3F71AE30-2671-4FC4-828D-5B427EF4DBB6}"/>
    <cellStyle name="Normal 2 4 5 2 5 3 4" xfId="31742" xr:uid="{C661E036-504F-4810-A6F4-E772210A3783}"/>
    <cellStyle name="Normal 2 4 5 2 5 4" xfId="10631" xr:uid="{7FDF58C7-C6ED-4412-B61C-A5D2ABA4FFB4}"/>
    <cellStyle name="Normal 2 4 5 2 5 5" xfId="19078" xr:uid="{3B9F791D-73C1-4D0E-BE25-F53D41AB4F6B}"/>
    <cellStyle name="Normal 2 4 5 2 5 6" xfId="27525" xr:uid="{20F3ADAB-7975-43F2-BA60-001817B68F3A}"/>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17406" xr:uid="{BC992711-ACC3-4D65-BFED-E09DAB5A364B}"/>
    <cellStyle name="Normal 2 4 5 2 6 2 2 3" xfId="25853" xr:uid="{1C409FAA-6308-4A4A-8757-0635150F5D9F}"/>
    <cellStyle name="Normal 2 4 5 2 6 2 2 4" xfId="34300" xr:uid="{20133F27-84A3-4C7F-A5CB-2B3850EC0FEB}"/>
    <cellStyle name="Normal 2 4 5 2 6 2 3" xfId="13189" xr:uid="{F379FB54-9E43-4A5A-9244-4FCAF5A4626A}"/>
    <cellStyle name="Normal 2 4 5 2 6 2 4" xfId="21636" xr:uid="{D4413FEC-C1DC-41BF-B7B5-F26EAFEE6726}"/>
    <cellStyle name="Normal 2 4 5 2 6 2 5" xfId="30083" xr:uid="{1E051F77-405D-41D8-84DB-B11C1AA9DA15}"/>
    <cellStyle name="Normal 2 4 5 2 6 3" xfId="5935" xr:uid="{00000000-0005-0000-0000-00007E100000}"/>
    <cellStyle name="Normal 2 4 5 2 6 3 2" xfId="15261" xr:uid="{3ABBA001-34C2-4024-AE73-0656E4F377A0}"/>
    <cellStyle name="Normal 2 4 5 2 6 3 3" xfId="23708" xr:uid="{3EEA8CDE-5D79-4512-8F75-A4B61D217D8F}"/>
    <cellStyle name="Normal 2 4 5 2 6 3 4" xfId="32155" xr:uid="{5ABD220C-99FA-492C-B234-559AC53D83B7}"/>
    <cellStyle name="Normal 2 4 5 2 6 4" xfId="11044" xr:uid="{F82B675C-AEC5-4B08-96F1-C583F0326A7E}"/>
    <cellStyle name="Normal 2 4 5 2 6 5" xfId="19491" xr:uid="{03215587-9919-4374-BF1D-D93456CB085A}"/>
    <cellStyle name="Normal 2 4 5 2 6 6" xfId="27938" xr:uid="{198F3CFE-433D-4682-97FA-A81E1CF11455}"/>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17819" xr:uid="{3CF88A67-A984-47ED-84B8-EAF168A0506A}"/>
    <cellStyle name="Normal 2 4 5 2 7 2 2 3" xfId="26266" xr:uid="{2DDE4E26-4A1D-4B51-9DFE-783FBEFE1C67}"/>
    <cellStyle name="Normal 2 4 5 2 7 2 2 4" xfId="34713" xr:uid="{86EE313F-27F3-4DCF-97B6-8086C05E9850}"/>
    <cellStyle name="Normal 2 4 5 2 7 2 3" xfId="13602" xr:uid="{289EDFB5-5651-4EBF-81E7-684C5877C83D}"/>
    <cellStyle name="Normal 2 4 5 2 7 2 4" xfId="22049" xr:uid="{1CF32B80-B81A-41E7-B851-1D43D9F576F4}"/>
    <cellStyle name="Normal 2 4 5 2 7 2 5" xfId="30496" xr:uid="{01B93873-BBEC-4897-AC2B-598790873C4F}"/>
    <cellStyle name="Normal 2 4 5 2 7 3" xfId="6348" xr:uid="{00000000-0005-0000-0000-000082100000}"/>
    <cellStyle name="Normal 2 4 5 2 7 3 2" xfId="15674" xr:uid="{D59B75DB-4437-4965-9824-547AF42370B6}"/>
    <cellStyle name="Normal 2 4 5 2 7 3 3" xfId="24121" xr:uid="{A8577959-C9C6-422E-8A8C-BB24AD0295C9}"/>
    <cellStyle name="Normal 2 4 5 2 7 3 4" xfId="32568" xr:uid="{6DAD0034-E081-450A-A51F-3D8DF6930798}"/>
    <cellStyle name="Normal 2 4 5 2 7 4" xfId="11457" xr:uid="{B5D63539-0C06-4C6A-8748-FD121495CDDF}"/>
    <cellStyle name="Normal 2 4 5 2 7 5" xfId="19904" xr:uid="{174FEB5A-D397-44F9-BA17-E2EB439ABFE0}"/>
    <cellStyle name="Normal 2 4 5 2 7 6" xfId="28351" xr:uid="{246626B5-FDC9-40CE-A8F7-F37038A76C45}"/>
    <cellStyle name="Normal 2 4 5 2 8" xfId="2478" xr:uid="{00000000-0005-0000-0000-000083100000}"/>
    <cellStyle name="Normal 2 4 5 2 8 2" xfId="6761" xr:uid="{00000000-0005-0000-0000-000084100000}"/>
    <cellStyle name="Normal 2 4 5 2 8 2 2" xfId="16087" xr:uid="{2D03565A-59DA-45AC-ADA5-A9E1FB9AFE8F}"/>
    <cellStyle name="Normal 2 4 5 2 8 2 3" xfId="24534" xr:uid="{9F92A37D-65C4-4940-9D06-4EC5BEA0F514}"/>
    <cellStyle name="Normal 2 4 5 2 8 2 4" xfId="32981" xr:uid="{52F7D1F7-2ADB-4C96-9C33-DE202ADD321B}"/>
    <cellStyle name="Normal 2 4 5 2 8 3" xfId="11870" xr:uid="{247CD69E-BE30-49D0-92CB-7F6397EE9EA6}"/>
    <cellStyle name="Normal 2 4 5 2 8 4" xfId="20317" xr:uid="{9D8FE4CC-9E54-413D-BEC5-62730521EDDB}"/>
    <cellStyle name="Normal 2 4 5 2 8 5" xfId="28764" xr:uid="{46882127-C162-46E6-AFA6-D2A64F6FAB8B}"/>
    <cellStyle name="Normal 2 4 5 2 9" xfId="4695" xr:uid="{00000000-0005-0000-0000-000085100000}"/>
    <cellStyle name="Normal 2 4 5 2 9 2" xfId="14021" xr:uid="{7A4DD3F6-0B68-4855-8F85-62B56F800924}"/>
    <cellStyle name="Normal 2 4 5 2 9 3" xfId="22468" xr:uid="{03288740-72B1-4E45-B61B-D323F3B5B98D}"/>
    <cellStyle name="Normal 2 4 5 2 9 4" xfId="30915" xr:uid="{7BF81F8C-6B15-49C1-94A2-D9F13773B8AF}"/>
    <cellStyle name="Normal 2 4 5 3" xfId="308" xr:uid="{00000000-0005-0000-0000-000086100000}"/>
    <cellStyle name="Normal 2 4 5 3 10" xfId="9808" xr:uid="{9FCEBC06-022D-4087-9D0C-A75122773963}"/>
    <cellStyle name="Normal 2 4 5 3 11" xfId="18255" xr:uid="{83DB3F0C-5733-4068-B085-D669CAEE6A1E}"/>
    <cellStyle name="Normal 2 4 5 3 12" xfId="26702" xr:uid="{021BE7EC-623B-4571-8D18-8D2680368830}"/>
    <cellStyle name="Normal 2 4 5 3 2" xfId="309" xr:uid="{00000000-0005-0000-0000-000087100000}"/>
    <cellStyle name="Normal 2 4 5 3 2 10" xfId="18256" xr:uid="{4066E055-B32B-45FC-B66F-1B431382B468}"/>
    <cellStyle name="Normal 2 4 5 3 2 11" xfId="26703" xr:uid="{BC471F36-495C-4668-B275-FE42DA26D2E8}"/>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16585" xr:uid="{F894F2F8-D335-4FD5-92CE-E5039431326B}"/>
    <cellStyle name="Normal 2 4 5 3 2 2 2 2 3" xfId="25032" xr:uid="{B55BAE6F-BF24-4C6E-B0B0-16BB916D035A}"/>
    <cellStyle name="Normal 2 4 5 3 2 2 2 2 4" xfId="33479" xr:uid="{E5E70BB4-C258-428A-BA27-F2D955346DB1}"/>
    <cellStyle name="Normal 2 4 5 3 2 2 2 3" xfId="12368" xr:uid="{2CDE9919-0915-4566-A304-BBF97883235B}"/>
    <cellStyle name="Normal 2 4 5 3 2 2 2 4" xfId="20815" xr:uid="{CB3813AC-BE4A-4B14-B932-E792E1AC6AA3}"/>
    <cellStyle name="Normal 2 4 5 3 2 2 2 5" xfId="29262" xr:uid="{0891FCEC-DAFE-44B5-B817-2B9B75ABCAB5}"/>
    <cellStyle name="Normal 2 4 5 3 2 2 3" xfId="5114" xr:uid="{00000000-0005-0000-0000-00008B100000}"/>
    <cellStyle name="Normal 2 4 5 3 2 2 3 2" xfId="14440" xr:uid="{46C82BF8-B481-4992-800E-0FE10C8DC03A}"/>
    <cellStyle name="Normal 2 4 5 3 2 2 3 3" xfId="22887" xr:uid="{A3782FAD-1EE1-44B0-AC69-7A57E7BD4E8A}"/>
    <cellStyle name="Normal 2 4 5 3 2 2 3 4" xfId="31334" xr:uid="{DE79CD9B-0E70-4324-8850-68D04C4755B2}"/>
    <cellStyle name="Normal 2 4 5 3 2 2 4" xfId="9515" xr:uid="{A1D6949C-773D-44DB-B26F-4DD01D24FF00}"/>
    <cellStyle name="Normal 2 4 5 3 2 2 5" xfId="10223" xr:uid="{1FF21F66-AF12-478B-A4B2-FD5DB62FD091}"/>
    <cellStyle name="Normal 2 4 5 3 2 2 6" xfId="18670" xr:uid="{255319EE-53E2-448A-9B7F-641DEAFB7E19}"/>
    <cellStyle name="Normal 2 4 5 3 2 2 7" xfId="27117" xr:uid="{785A4937-0C56-4801-98A9-2DBF45690342}"/>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16998" xr:uid="{5C270CC5-60D5-493F-8B71-923EF79FB47B}"/>
    <cellStyle name="Normal 2 4 5 3 2 3 2 2 3" xfId="25445" xr:uid="{BD296393-BE82-46FC-BAE4-32032133EFA6}"/>
    <cellStyle name="Normal 2 4 5 3 2 3 2 2 4" xfId="33892" xr:uid="{DD5E8708-102C-41CE-A672-AC1E3E84ACB2}"/>
    <cellStyle name="Normal 2 4 5 3 2 3 2 3" xfId="12781" xr:uid="{29FBBCDD-9809-464C-9666-0253D2594F61}"/>
    <cellStyle name="Normal 2 4 5 3 2 3 2 4" xfId="21228" xr:uid="{7E1330AF-C60D-4943-B081-61E3AF35B041}"/>
    <cellStyle name="Normal 2 4 5 3 2 3 2 5" xfId="29675" xr:uid="{CD296D88-1B8E-4DF1-B8F4-487FB197454C}"/>
    <cellStyle name="Normal 2 4 5 3 2 3 3" xfId="5527" xr:uid="{00000000-0005-0000-0000-00008F100000}"/>
    <cellStyle name="Normal 2 4 5 3 2 3 3 2" xfId="14853" xr:uid="{4156C19B-1C1C-4A76-905C-967C21D30434}"/>
    <cellStyle name="Normal 2 4 5 3 2 3 3 3" xfId="23300" xr:uid="{E3251796-2102-4E9F-ACC4-061AABDD04F0}"/>
    <cellStyle name="Normal 2 4 5 3 2 3 3 4" xfId="31747" xr:uid="{1FC2E1D8-E1B4-4249-92F5-8AB0F667C388}"/>
    <cellStyle name="Normal 2 4 5 3 2 3 4" xfId="10636" xr:uid="{13B09FD3-D061-4658-A969-991CC9E2CE45}"/>
    <cellStyle name="Normal 2 4 5 3 2 3 5" xfId="19083" xr:uid="{B17D4DD8-994B-4156-B2B8-ED6577F6CDCA}"/>
    <cellStyle name="Normal 2 4 5 3 2 3 6" xfId="27530" xr:uid="{ABA67FB0-A118-4493-AF69-410520039719}"/>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17411" xr:uid="{B09B02A0-2F7B-47B9-9A66-99E7B8AE8BC9}"/>
    <cellStyle name="Normal 2 4 5 3 2 4 2 2 3" xfId="25858" xr:uid="{48E3E0DA-B447-4828-95B8-BA1A4AA7FBCF}"/>
    <cellStyle name="Normal 2 4 5 3 2 4 2 2 4" xfId="34305" xr:uid="{9122DC8F-D719-472F-8BED-EC3D4C990182}"/>
    <cellStyle name="Normal 2 4 5 3 2 4 2 3" xfId="13194" xr:uid="{C42B370A-EAEC-48FE-8B87-3399603D56D8}"/>
    <cellStyle name="Normal 2 4 5 3 2 4 2 4" xfId="21641" xr:uid="{293A753E-D9E9-48EA-9A7F-2F8FFB865544}"/>
    <cellStyle name="Normal 2 4 5 3 2 4 2 5" xfId="30088" xr:uid="{1E02E224-527C-4222-8380-526ECF159203}"/>
    <cellStyle name="Normal 2 4 5 3 2 4 3" xfId="5940" xr:uid="{00000000-0005-0000-0000-000093100000}"/>
    <cellStyle name="Normal 2 4 5 3 2 4 3 2" xfId="15266" xr:uid="{B724BFEE-5914-4BA6-B1AD-1F92345C995A}"/>
    <cellStyle name="Normal 2 4 5 3 2 4 3 3" xfId="23713" xr:uid="{B74B4947-C66B-471E-9B10-00BB2CFDBEE1}"/>
    <cellStyle name="Normal 2 4 5 3 2 4 3 4" xfId="32160" xr:uid="{3F7B4A78-DE13-47A5-B97A-4C9DA43B968F}"/>
    <cellStyle name="Normal 2 4 5 3 2 4 4" xfId="11049" xr:uid="{2B68A442-C663-41F5-A8EE-19CD559A0F82}"/>
    <cellStyle name="Normal 2 4 5 3 2 4 5" xfId="19496" xr:uid="{E267B451-6E66-46C6-B395-BC91FAB4BE16}"/>
    <cellStyle name="Normal 2 4 5 3 2 4 6" xfId="27943" xr:uid="{7E78A172-F4E0-4B93-A39C-8855310AB353}"/>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17824" xr:uid="{FC654C38-EA44-4153-8414-73F8C90C31B1}"/>
    <cellStyle name="Normal 2 4 5 3 2 5 2 2 3" xfId="26271" xr:uid="{F15C67BB-3643-4195-8F38-E18326811B77}"/>
    <cellStyle name="Normal 2 4 5 3 2 5 2 2 4" xfId="34718" xr:uid="{47DD4710-40D4-4798-B2BD-0A08FD414F94}"/>
    <cellStyle name="Normal 2 4 5 3 2 5 2 3" xfId="13607" xr:uid="{A59EFF77-2403-4127-986A-B92F7031ABB1}"/>
    <cellStyle name="Normal 2 4 5 3 2 5 2 4" xfId="22054" xr:uid="{2DA616D6-9AE8-478B-A68D-0BD1B605BA33}"/>
    <cellStyle name="Normal 2 4 5 3 2 5 2 5" xfId="30501" xr:uid="{268123F4-3606-4DA9-AC0B-2A5DDACC740B}"/>
    <cellStyle name="Normal 2 4 5 3 2 5 3" xfId="6353" xr:uid="{00000000-0005-0000-0000-000097100000}"/>
    <cellStyle name="Normal 2 4 5 3 2 5 3 2" xfId="15679" xr:uid="{B35CC592-F0C3-4865-BE95-049A42E24533}"/>
    <cellStyle name="Normal 2 4 5 3 2 5 3 3" xfId="24126" xr:uid="{9A32CBCF-2C04-4DC8-AD6A-1DC27112F965}"/>
    <cellStyle name="Normal 2 4 5 3 2 5 3 4" xfId="32573" xr:uid="{E3D65D3E-081D-4F95-8D0E-9363848F1194}"/>
    <cellStyle name="Normal 2 4 5 3 2 5 4" xfId="11462" xr:uid="{78EDA54B-8F40-4EDA-B93E-F7B75B5BDEFC}"/>
    <cellStyle name="Normal 2 4 5 3 2 5 5" xfId="19909" xr:uid="{5F04194D-B063-4E25-980D-28B9E60C879A}"/>
    <cellStyle name="Normal 2 4 5 3 2 5 6" xfId="28356" xr:uid="{F6CAB394-B6E0-4661-8055-7E9FEE91221A}"/>
    <cellStyle name="Normal 2 4 5 3 2 6" xfId="2483" xr:uid="{00000000-0005-0000-0000-000098100000}"/>
    <cellStyle name="Normal 2 4 5 3 2 6 2" xfId="6766" xr:uid="{00000000-0005-0000-0000-000099100000}"/>
    <cellStyle name="Normal 2 4 5 3 2 6 2 2" xfId="16092" xr:uid="{E3C6BE68-F336-4E7D-8EFD-5F34C908F1B1}"/>
    <cellStyle name="Normal 2 4 5 3 2 6 2 3" xfId="24539" xr:uid="{AE80A7AA-73EB-4C8B-9C66-5593FF801A10}"/>
    <cellStyle name="Normal 2 4 5 3 2 6 2 4" xfId="32986" xr:uid="{61F5852F-BFA5-43FB-A764-1479BB0013F8}"/>
    <cellStyle name="Normal 2 4 5 3 2 6 3" xfId="11875" xr:uid="{B6A6776D-4B4D-409C-B39D-88649C7B60B6}"/>
    <cellStyle name="Normal 2 4 5 3 2 6 4" xfId="20322" xr:uid="{D6FB9DEF-F81B-44BA-B000-9EF5250B6249}"/>
    <cellStyle name="Normal 2 4 5 3 2 6 5" xfId="28769" xr:uid="{2AF13D9D-FE8F-49A4-8499-F405B50F4E92}"/>
    <cellStyle name="Normal 2 4 5 3 2 7" xfId="4700" xr:uid="{00000000-0005-0000-0000-00009A100000}"/>
    <cellStyle name="Normal 2 4 5 3 2 7 2" xfId="14026" xr:uid="{FB3E4611-52A2-4838-96B6-A149FC687DAB}"/>
    <cellStyle name="Normal 2 4 5 3 2 7 3" xfId="22473" xr:uid="{0AB8F13B-D7A8-4A40-91AE-6496022BC2A9}"/>
    <cellStyle name="Normal 2 4 5 3 2 7 4" xfId="30920" xr:uid="{DA0D0D7A-26DA-43DE-8430-96CE2574ED6F}"/>
    <cellStyle name="Normal 2 4 5 3 2 8" xfId="9090" xr:uid="{4B64C5F8-5AC3-43D3-B94A-46850BBF79A5}"/>
    <cellStyle name="Normal 2 4 5 3 2 9" xfId="9809" xr:uid="{D3EFEE69-4DC1-4AE3-9545-C54370A72A68}"/>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16584" xr:uid="{D204CBA6-60C6-4EED-AF30-2CAF06F1731E}"/>
    <cellStyle name="Normal 2 4 5 3 3 2 2 3" xfId="25031" xr:uid="{BC80DB6F-4EED-466C-9D9A-94AB304C9B60}"/>
    <cellStyle name="Normal 2 4 5 3 3 2 2 4" xfId="33478" xr:uid="{CB1785FB-BF82-42E1-9142-F631DB9D0629}"/>
    <cellStyle name="Normal 2 4 5 3 3 2 3" xfId="12367" xr:uid="{F1B45EB4-2FE5-4412-9444-D9F58807E22D}"/>
    <cellStyle name="Normal 2 4 5 3 3 2 4" xfId="20814" xr:uid="{5BE0B91E-E732-4213-9559-447B5A857ABB}"/>
    <cellStyle name="Normal 2 4 5 3 3 2 5" xfId="29261" xr:uid="{350287FA-7DAC-4BDC-B50F-D4EAD167216E}"/>
    <cellStyle name="Normal 2 4 5 3 3 3" xfId="5113" xr:uid="{00000000-0005-0000-0000-00009E100000}"/>
    <cellStyle name="Normal 2 4 5 3 3 3 2" xfId="14439" xr:uid="{0322E64B-7D3B-422D-ABF7-F1890D200A8D}"/>
    <cellStyle name="Normal 2 4 5 3 3 3 3" xfId="22886" xr:uid="{5FDD8AFB-6106-44B9-B72B-6A439C0FA699}"/>
    <cellStyle name="Normal 2 4 5 3 3 3 4" xfId="31333" xr:uid="{6B8FC7A5-CE95-4E7F-B8A5-F1A60D5E7EC4}"/>
    <cellStyle name="Normal 2 4 5 3 3 4" xfId="9308" xr:uid="{40198FFA-4C90-42BE-90C8-42459F1A2A1C}"/>
    <cellStyle name="Normal 2 4 5 3 3 5" xfId="10222" xr:uid="{836E1DEF-6A27-451A-A45A-965489129C75}"/>
    <cellStyle name="Normal 2 4 5 3 3 6" xfId="18669" xr:uid="{854C9666-C353-4768-929D-39E2DF38A522}"/>
    <cellStyle name="Normal 2 4 5 3 3 7" xfId="27116" xr:uid="{98A3AC14-4729-49E8-9834-99D56FCFB285}"/>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16997" xr:uid="{C432E91D-4037-480A-BF13-B5E99CF2C41C}"/>
    <cellStyle name="Normal 2 4 5 3 4 2 2 3" xfId="25444" xr:uid="{608E43EC-AAEA-4C9C-ABAA-5E69255017F4}"/>
    <cellStyle name="Normal 2 4 5 3 4 2 2 4" xfId="33891" xr:uid="{C1DBB35F-3C91-42E0-9791-0ECD71D0EC20}"/>
    <cellStyle name="Normal 2 4 5 3 4 2 3" xfId="12780" xr:uid="{E409BEFE-A95A-4445-8581-156E586518A0}"/>
    <cellStyle name="Normal 2 4 5 3 4 2 4" xfId="21227" xr:uid="{5E2724CB-2F99-43AB-A140-360281CCB512}"/>
    <cellStyle name="Normal 2 4 5 3 4 2 5" xfId="29674" xr:uid="{5C5F16BB-A0CE-4AF1-82DC-CCF701515F37}"/>
    <cellStyle name="Normal 2 4 5 3 4 3" xfId="5526" xr:uid="{00000000-0005-0000-0000-0000A2100000}"/>
    <cellStyle name="Normal 2 4 5 3 4 3 2" xfId="14852" xr:uid="{CB27EE65-A72F-4A1A-B500-E1DB09E30D42}"/>
    <cellStyle name="Normal 2 4 5 3 4 3 3" xfId="23299" xr:uid="{B2AC1BBD-A4F7-4763-8022-587B69B5ADCC}"/>
    <cellStyle name="Normal 2 4 5 3 4 3 4" xfId="31746" xr:uid="{3E608156-5250-4A61-9D26-75E7FCD99E77}"/>
    <cellStyle name="Normal 2 4 5 3 4 4" xfId="10635" xr:uid="{FBCBE5BD-B609-458E-9232-816906DE49F7}"/>
    <cellStyle name="Normal 2 4 5 3 4 5" xfId="19082" xr:uid="{A5A85F06-6553-47BD-9B75-47BDA8C5C8C2}"/>
    <cellStyle name="Normal 2 4 5 3 4 6" xfId="27529" xr:uid="{36708C6A-ED9F-4A59-A1DD-285D2ED5C2D2}"/>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17410" xr:uid="{7184309B-2502-40FC-A497-1FFB6E978B5A}"/>
    <cellStyle name="Normal 2 4 5 3 5 2 2 3" xfId="25857" xr:uid="{59A2D172-6EF0-4FBA-995D-3AC79E3F5753}"/>
    <cellStyle name="Normal 2 4 5 3 5 2 2 4" xfId="34304" xr:uid="{23A0E8B8-1123-473B-92D7-951A4493BB2F}"/>
    <cellStyle name="Normal 2 4 5 3 5 2 3" xfId="13193" xr:uid="{2C5984DD-0351-492E-BCA8-74FCFCC8CA23}"/>
    <cellStyle name="Normal 2 4 5 3 5 2 4" xfId="21640" xr:uid="{9EA0E439-478A-4058-BD68-C1C23A483E7D}"/>
    <cellStyle name="Normal 2 4 5 3 5 2 5" xfId="30087" xr:uid="{8355BB5F-8E45-4BCB-B747-363421D47300}"/>
    <cellStyle name="Normal 2 4 5 3 5 3" xfId="5939" xr:uid="{00000000-0005-0000-0000-0000A6100000}"/>
    <cellStyle name="Normal 2 4 5 3 5 3 2" xfId="15265" xr:uid="{77955459-7382-4E10-9032-44F2EAA2EA3D}"/>
    <cellStyle name="Normal 2 4 5 3 5 3 3" xfId="23712" xr:uid="{4C60D9FB-4C4F-439A-BD2B-9CD5A9FD0727}"/>
    <cellStyle name="Normal 2 4 5 3 5 3 4" xfId="32159" xr:uid="{DC294EFB-896C-4754-B290-A764311AD76E}"/>
    <cellStyle name="Normal 2 4 5 3 5 4" xfId="11048" xr:uid="{FABA76F8-B304-483B-93D9-C7C53DB0EAA1}"/>
    <cellStyle name="Normal 2 4 5 3 5 5" xfId="19495" xr:uid="{7A68547B-275A-47A0-98C1-C3689D090690}"/>
    <cellStyle name="Normal 2 4 5 3 5 6" xfId="27942" xr:uid="{785222EC-0062-4CC2-AD92-8FDB300DD0AA}"/>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17823" xr:uid="{38DD57F4-7AAD-4BEF-8FA8-6DD73D4BD9F9}"/>
    <cellStyle name="Normal 2 4 5 3 6 2 2 3" xfId="26270" xr:uid="{9E3350FE-931C-4D58-AA8D-D9628F5B45E7}"/>
    <cellStyle name="Normal 2 4 5 3 6 2 2 4" xfId="34717" xr:uid="{99D33431-3262-4BD6-B186-E314F42C04F7}"/>
    <cellStyle name="Normal 2 4 5 3 6 2 3" xfId="13606" xr:uid="{B6DD2B77-7BBE-490A-8E16-B31DBA45EA35}"/>
    <cellStyle name="Normal 2 4 5 3 6 2 4" xfId="22053" xr:uid="{F6437AB3-FC8F-4F43-80D8-EEC064A44671}"/>
    <cellStyle name="Normal 2 4 5 3 6 2 5" xfId="30500" xr:uid="{2C17F119-1BA5-4C00-895C-E72E576E7195}"/>
    <cellStyle name="Normal 2 4 5 3 6 3" xfId="6352" xr:uid="{00000000-0005-0000-0000-0000AA100000}"/>
    <cellStyle name="Normal 2 4 5 3 6 3 2" xfId="15678" xr:uid="{D2F60CB6-A1B4-4103-915B-6D4E492D16E4}"/>
    <cellStyle name="Normal 2 4 5 3 6 3 3" xfId="24125" xr:uid="{6CF705AF-45C3-414D-A641-8E85F1FC88CC}"/>
    <cellStyle name="Normal 2 4 5 3 6 3 4" xfId="32572" xr:uid="{7CD216BD-5C01-4EE2-B404-1E8EFF801E78}"/>
    <cellStyle name="Normal 2 4 5 3 6 4" xfId="11461" xr:uid="{C16ABD88-D99B-473B-B876-69BFD4A77FF0}"/>
    <cellStyle name="Normal 2 4 5 3 6 5" xfId="19908" xr:uid="{E3BB81F9-0766-476D-926D-ED19745C9B64}"/>
    <cellStyle name="Normal 2 4 5 3 6 6" xfId="28355" xr:uid="{4E9B58D1-F0BC-4454-8BA9-F7EB1B1FE441}"/>
    <cellStyle name="Normal 2 4 5 3 7" xfId="2482" xr:uid="{00000000-0005-0000-0000-0000AB100000}"/>
    <cellStyle name="Normal 2 4 5 3 7 2" xfId="6765" xr:uid="{00000000-0005-0000-0000-0000AC100000}"/>
    <cellStyle name="Normal 2 4 5 3 7 2 2" xfId="16091" xr:uid="{CC0B0A2F-0282-4A6D-8422-FAA731B6E223}"/>
    <cellStyle name="Normal 2 4 5 3 7 2 3" xfId="24538" xr:uid="{2264419A-D8EB-4137-9811-1FD18B89267A}"/>
    <cellStyle name="Normal 2 4 5 3 7 2 4" xfId="32985" xr:uid="{ACEFEB1B-ACC6-4AEC-8EB2-B07AC77DECF6}"/>
    <cellStyle name="Normal 2 4 5 3 7 3" xfId="11874" xr:uid="{27BE0CDD-940B-40E3-A4DB-C76E26C12865}"/>
    <cellStyle name="Normal 2 4 5 3 7 4" xfId="20321" xr:uid="{DAD28664-72B4-4260-BA1E-D98A5A167EEB}"/>
    <cellStyle name="Normal 2 4 5 3 7 5" xfId="28768" xr:uid="{06BC36A0-CCFD-4795-BAE2-2E7699F40612}"/>
    <cellStyle name="Normal 2 4 5 3 8" xfId="4699" xr:uid="{00000000-0005-0000-0000-0000AD100000}"/>
    <cellStyle name="Normal 2 4 5 3 8 2" xfId="14025" xr:uid="{AEE5C101-1D0B-422C-A46B-8630301C2AB5}"/>
    <cellStyle name="Normal 2 4 5 3 8 3" xfId="22472" xr:uid="{0981EB2B-AF0B-4EF6-B1DF-F0A9C4FA35AE}"/>
    <cellStyle name="Normal 2 4 5 3 8 4" xfId="30919" xr:uid="{85DDF5EA-B56B-4BD9-9BAA-2E13586E4718}"/>
    <cellStyle name="Normal 2 4 5 3 9" xfId="8883" xr:uid="{0A470B75-873E-4D74-A257-113E3E343E18}"/>
    <cellStyle name="Normal 2 4 5 4" xfId="310" xr:uid="{00000000-0005-0000-0000-0000AE100000}"/>
    <cellStyle name="Normal 2 4 5 4 10" xfId="18257" xr:uid="{600BADFF-6D61-4F28-8037-5FC27F07A577}"/>
    <cellStyle name="Normal 2 4 5 4 11" xfId="26704" xr:uid="{A612CAC5-0A9F-40C0-ACCB-CA7BB444A4DA}"/>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16586" xr:uid="{5ADD072C-0AA0-4CDC-A2A0-65DC37675658}"/>
    <cellStyle name="Normal 2 4 5 4 2 2 2 3" xfId="25033" xr:uid="{4D5A3438-1707-429B-9A1D-5AA13AF59283}"/>
    <cellStyle name="Normal 2 4 5 4 2 2 2 4" xfId="33480" xr:uid="{F6694E8E-3BA6-404A-BFC2-0DCEA38E888C}"/>
    <cellStyle name="Normal 2 4 5 4 2 2 3" xfId="12369" xr:uid="{CFBEA521-230B-4CC6-B7FC-9AF7CD97FACE}"/>
    <cellStyle name="Normal 2 4 5 4 2 2 4" xfId="20816" xr:uid="{1528F496-5A17-405A-B192-CEE4F4CD58D2}"/>
    <cellStyle name="Normal 2 4 5 4 2 2 5" xfId="29263" xr:uid="{83B323DB-22EB-4366-9CD6-5EDB91D1F59E}"/>
    <cellStyle name="Normal 2 4 5 4 2 3" xfId="5115" xr:uid="{00000000-0005-0000-0000-0000B2100000}"/>
    <cellStyle name="Normal 2 4 5 4 2 3 2" xfId="14441" xr:uid="{5CD788F6-D45F-47E9-B5F7-31FDD760EE74}"/>
    <cellStyle name="Normal 2 4 5 4 2 3 3" xfId="22888" xr:uid="{19E06B56-D847-4603-8122-4A162FF80E84}"/>
    <cellStyle name="Normal 2 4 5 4 2 3 4" xfId="31335" xr:uid="{18EFB765-4AF9-4038-92D7-A59CDB2C510E}"/>
    <cellStyle name="Normal 2 4 5 4 2 4" xfId="9412" xr:uid="{0ECAC303-3EA0-4623-AA0F-854157CA32E5}"/>
    <cellStyle name="Normal 2 4 5 4 2 5" xfId="10224" xr:uid="{69E1FE7C-8FDE-496A-BF2F-56417916AA66}"/>
    <cellStyle name="Normal 2 4 5 4 2 6" xfId="18671" xr:uid="{11364515-A583-4C82-9510-102532E2DC02}"/>
    <cellStyle name="Normal 2 4 5 4 2 7" xfId="27118" xr:uid="{A10DC96C-1CF7-448F-9579-8588430F407C}"/>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16999" xr:uid="{3BC56C74-3DCC-4037-B5D0-B548912CC3C4}"/>
    <cellStyle name="Normal 2 4 5 4 3 2 2 3" xfId="25446" xr:uid="{CD2F81E5-BAA2-450E-875F-A09BB59E5BDB}"/>
    <cellStyle name="Normal 2 4 5 4 3 2 2 4" xfId="33893" xr:uid="{4C2091D0-CE5F-4CD5-B789-B6CDA2861FA5}"/>
    <cellStyle name="Normal 2 4 5 4 3 2 3" xfId="12782" xr:uid="{433BB0AB-DBEB-4A97-B7CC-7B46F8D2C675}"/>
    <cellStyle name="Normal 2 4 5 4 3 2 4" xfId="21229" xr:uid="{B681799E-3349-4B0B-9C3C-BF3D248CB4E5}"/>
    <cellStyle name="Normal 2 4 5 4 3 2 5" xfId="29676" xr:uid="{3B8DC7E4-C055-4F53-90D4-5D9E3035073B}"/>
    <cellStyle name="Normal 2 4 5 4 3 3" xfId="5528" xr:uid="{00000000-0005-0000-0000-0000B6100000}"/>
    <cellStyle name="Normal 2 4 5 4 3 3 2" xfId="14854" xr:uid="{7A77368E-723F-4B33-8CB3-1F317BC92A69}"/>
    <cellStyle name="Normal 2 4 5 4 3 3 3" xfId="23301" xr:uid="{432124C8-635C-46F4-A85A-E00EA75EEAD4}"/>
    <cellStyle name="Normal 2 4 5 4 3 3 4" xfId="31748" xr:uid="{6CA5EE6C-4FC8-4B25-9A63-4B0DEA315390}"/>
    <cellStyle name="Normal 2 4 5 4 3 4" xfId="10637" xr:uid="{37800E3C-75D4-4B41-BDDE-9D117B75C590}"/>
    <cellStyle name="Normal 2 4 5 4 3 5" xfId="19084" xr:uid="{9AFE2F23-EB68-422F-8A6E-246D413BE00C}"/>
    <cellStyle name="Normal 2 4 5 4 3 6" xfId="27531" xr:uid="{49F21905-EB29-4D43-A519-902B5F3F18C8}"/>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17412" xr:uid="{6EAD6998-2262-45F7-BACE-CA508161AF9C}"/>
    <cellStyle name="Normal 2 4 5 4 4 2 2 3" xfId="25859" xr:uid="{9866632C-4EEC-4B79-8929-7CAB3376B7C8}"/>
    <cellStyle name="Normal 2 4 5 4 4 2 2 4" xfId="34306" xr:uid="{0E8C9B42-4DAB-4815-B2FC-9074E976C8CD}"/>
    <cellStyle name="Normal 2 4 5 4 4 2 3" xfId="13195" xr:uid="{6AEFBD59-6E40-4251-BFF8-D8B07DAD9EB7}"/>
    <cellStyle name="Normal 2 4 5 4 4 2 4" xfId="21642" xr:uid="{549FF6A8-B627-461C-B7F1-7BB69133A961}"/>
    <cellStyle name="Normal 2 4 5 4 4 2 5" xfId="30089" xr:uid="{EF59487A-9D52-431F-B392-456C54479949}"/>
    <cellStyle name="Normal 2 4 5 4 4 3" xfId="5941" xr:uid="{00000000-0005-0000-0000-0000BA100000}"/>
    <cellStyle name="Normal 2 4 5 4 4 3 2" xfId="15267" xr:uid="{1D8FD3E2-038C-47CA-87B6-D00355E6C837}"/>
    <cellStyle name="Normal 2 4 5 4 4 3 3" xfId="23714" xr:uid="{C3273D8A-33F7-4266-8B2E-692CB054CACE}"/>
    <cellStyle name="Normal 2 4 5 4 4 3 4" xfId="32161" xr:uid="{95C0FD56-829B-48C1-9F23-B0ECB6204EF8}"/>
    <cellStyle name="Normal 2 4 5 4 4 4" xfId="11050" xr:uid="{BFD60664-EC9D-4202-9277-C6AF95043217}"/>
    <cellStyle name="Normal 2 4 5 4 4 5" xfId="19497" xr:uid="{DA64E817-90F1-4A15-AD72-7B2BC38D36B9}"/>
    <cellStyle name="Normal 2 4 5 4 4 6" xfId="27944" xr:uid="{F187E193-E9A4-4487-89F8-A1C0E9260CB5}"/>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17825" xr:uid="{AFBBE1B9-42BB-4FAC-B35F-86318D3C1CEF}"/>
    <cellStyle name="Normal 2 4 5 4 5 2 2 3" xfId="26272" xr:uid="{BA6C8EC5-D414-40A8-929C-A55C454D5A51}"/>
    <cellStyle name="Normal 2 4 5 4 5 2 2 4" xfId="34719" xr:uid="{500C09F0-04F2-4229-962A-AB8A81B5C565}"/>
    <cellStyle name="Normal 2 4 5 4 5 2 3" xfId="13608" xr:uid="{4B0B94DD-BAE0-4AB6-A7DA-D2C4C5BAABE1}"/>
    <cellStyle name="Normal 2 4 5 4 5 2 4" xfId="22055" xr:uid="{95588B57-4E48-456E-97A0-889B65A26EDF}"/>
    <cellStyle name="Normal 2 4 5 4 5 2 5" xfId="30502" xr:uid="{643FA129-8EE2-49E4-854E-CC786AEF9C2C}"/>
    <cellStyle name="Normal 2 4 5 4 5 3" xfId="6354" xr:uid="{00000000-0005-0000-0000-0000BE100000}"/>
    <cellStyle name="Normal 2 4 5 4 5 3 2" xfId="15680" xr:uid="{B327C68C-7549-496E-9B6F-ECFFD683B3DD}"/>
    <cellStyle name="Normal 2 4 5 4 5 3 3" xfId="24127" xr:uid="{CD66680A-4A1A-4E3E-AF4B-C3C3884E2EB2}"/>
    <cellStyle name="Normal 2 4 5 4 5 3 4" xfId="32574" xr:uid="{9A8074D5-393A-4BCF-80CF-9A38E3EBBA87}"/>
    <cellStyle name="Normal 2 4 5 4 5 4" xfId="11463" xr:uid="{DBB5B98D-134A-488E-82BD-62D915AF34D2}"/>
    <cellStyle name="Normal 2 4 5 4 5 5" xfId="19910" xr:uid="{E1160089-8DE4-495E-9812-A31F155BDABA}"/>
    <cellStyle name="Normal 2 4 5 4 5 6" xfId="28357" xr:uid="{E257AC5B-8902-4B6D-B63E-C68403584759}"/>
    <cellStyle name="Normal 2 4 5 4 6" xfId="2484" xr:uid="{00000000-0005-0000-0000-0000BF100000}"/>
    <cellStyle name="Normal 2 4 5 4 6 2" xfId="6767" xr:uid="{00000000-0005-0000-0000-0000C0100000}"/>
    <cellStyle name="Normal 2 4 5 4 6 2 2" xfId="16093" xr:uid="{75D29F31-C474-4DF8-BE42-636F452C4ED8}"/>
    <cellStyle name="Normal 2 4 5 4 6 2 3" xfId="24540" xr:uid="{6FF9A278-FD8A-4819-9D62-1355A6B3F837}"/>
    <cellStyle name="Normal 2 4 5 4 6 2 4" xfId="32987" xr:uid="{465C9B6F-64D1-4443-89B1-1A408E80FBFE}"/>
    <cellStyle name="Normal 2 4 5 4 6 3" xfId="11876" xr:uid="{1E7F09C0-B657-47D7-84D3-00F4AE1408B2}"/>
    <cellStyle name="Normal 2 4 5 4 6 4" xfId="20323" xr:uid="{9B8F4B60-6CED-4C57-9C5E-61AF1E8EE131}"/>
    <cellStyle name="Normal 2 4 5 4 6 5" xfId="28770" xr:uid="{B5CC6C9A-52F9-47FE-89B3-00EE4B242C9B}"/>
    <cellStyle name="Normal 2 4 5 4 7" xfId="4701" xr:uid="{00000000-0005-0000-0000-0000C1100000}"/>
    <cellStyle name="Normal 2 4 5 4 7 2" xfId="14027" xr:uid="{8EFB7A46-A92D-4E7F-869C-FFB54AD1E9B5}"/>
    <cellStyle name="Normal 2 4 5 4 7 3" xfId="22474" xr:uid="{6C2DB16B-C683-4042-8CC3-4924911EC8E3}"/>
    <cellStyle name="Normal 2 4 5 4 7 4" xfId="30921" xr:uid="{EA957DDD-C646-4F33-947D-F7C40B565191}"/>
    <cellStyle name="Normal 2 4 5 4 8" xfId="8987" xr:uid="{8DC2C01A-3078-41AD-BCFB-AA1CA8EE9C0A}"/>
    <cellStyle name="Normal 2 4 5 4 9" xfId="9810" xr:uid="{10877E85-09A6-4DAC-A837-270A0E6770EB}"/>
    <cellStyle name="Normal 2 4 5 5" xfId="792" xr:uid="{00000000-0005-0000-0000-0000C2100000}"/>
    <cellStyle name="Normal 2 4 5 5 2" xfId="3031" xr:uid="{00000000-0005-0000-0000-0000C3100000}"/>
    <cellStyle name="Normal 2 4 5 5 2 2" xfId="7253" xr:uid="{00000000-0005-0000-0000-0000C4100000}"/>
    <cellStyle name="Normal 2 4 5 5 2 2 2" xfId="16579" xr:uid="{19EB4B0A-A5FD-483E-8AD8-0A26AC82D898}"/>
    <cellStyle name="Normal 2 4 5 5 2 2 3" xfId="25026" xr:uid="{4BC45B2F-D1F0-4E40-AC7A-B9C97DE1BF92}"/>
    <cellStyle name="Normal 2 4 5 5 2 2 4" xfId="33473" xr:uid="{DF34E380-1C02-44DB-80F1-6F54B3653039}"/>
    <cellStyle name="Normal 2 4 5 5 2 3" xfId="12362" xr:uid="{2D7B2643-E5ED-49A4-9239-21932F6BA9C5}"/>
    <cellStyle name="Normal 2 4 5 5 2 4" xfId="20809" xr:uid="{8A772BDE-0C91-4173-8C94-7466137C0E3B}"/>
    <cellStyle name="Normal 2 4 5 5 2 5" xfId="29256" xr:uid="{E74BEDAD-341D-48A7-8501-6931A9F36503}"/>
    <cellStyle name="Normal 2 4 5 5 3" xfId="5108" xr:uid="{00000000-0005-0000-0000-0000C5100000}"/>
    <cellStyle name="Normal 2 4 5 5 3 2" xfId="14434" xr:uid="{F440F540-76DE-4385-8E8C-8A036FA17931}"/>
    <cellStyle name="Normal 2 4 5 5 3 3" xfId="22881" xr:uid="{74901B33-8948-42A6-8E5C-E19C2F2A0AF6}"/>
    <cellStyle name="Normal 2 4 5 5 3 4" xfId="31328" xr:uid="{3FA54352-35BF-4996-AD8C-AC1E06C00DB7}"/>
    <cellStyle name="Normal 2 4 5 5 4" xfId="9204" xr:uid="{BE34B337-03EE-47D8-9E35-2EE6FAB30236}"/>
    <cellStyle name="Normal 2 4 5 5 5" xfId="10217" xr:uid="{8B4D0984-9BE5-428B-BAA7-E221297DF814}"/>
    <cellStyle name="Normal 2 4 5 5 6" xfId="18664" xr:uid="{9BF99DF4-9ED1-4743-A35E-66FE46A8B83F}"/>
    <cellStyle name="Normal 2 4 5 5 7" xfId="27111" xr:uid="{FFAE156B-87D0-4694-863B-BA73D4308515}"/>
    <cellStyle name="Normal 2 4 5 6" xfId="1214" xr:uid="{00000000-0005-0000-0000-0000C6100000}"/>
    <cellStyle name="Normal 2 4 5 6 2" xfId="3444" xr:uid="{00000000-0005-0000-0000-0000C7100000}"/>
    <cellStyle name="Normal 2 4 5 6 2 2" xfId="7666" xr:uid="{00000000-0005-0000-0000-0000C8100000}"/>
    <cellStyle name="Normal 2 4 5 6 2 2 2" xfId="16992" xr:uid="{4653D319-616F-4E2F-9FF8-668099075A97}"/>
    <cellStyle name="Normal 2 4 5 6 2 2 3" xfId="25439" xr:uid="{D302CE54-960F-4288-AE6A-66E713BE65CF}"/>
    <cellStyle name="Normal 2 4 5 6 2 2 4" xfId="33886" xr:uid="{F9B18849-C824-476F-9D04-58DFE700215A}"/>
    <cellStyle name="Normal 2 4 5 6 2 3" xfId="12775" xr:uid="{349BFA10-B262-4A39-B7AF-1627A5DD4915}"/>
    <cellStyle name="Normal 2 4 5 6 2 4" xfId="21222" xr:uid="{EE952549-306E-478B-95BC-706985BA46FC}"/>
    <cellStyle name="Normal 2 4 5 6 2 5" xfId="29669" xr:uid="{0F432CCE-8E5D-4293-8452-EE8A0711CE80}"/>
    <cellStyle name="Normal 2 4 5 6 3" xfId="5521" xr:uid="{00000000-0005-0000-0000-0000C9100000}"/>
    <cellStyle name="Normal 2 4 5 6 3 2" xfId="14847" xr:uid="{3CF3E084-AEDF-43F9-A706-5920C6A3A438}"/>
    <cellStyle name="Normal 2 4 5 6 3 3" xfId="23294" xr:uid="{88863830-4C4B-43FC-8A40-E9990A721C39}"/>
    <cellStyle name="Normal 2 4 5 6 3 4" xfId="31741" xr:uid="{C6D50F49-6ACC-40C7-8E1C-60C1A45B122B}"/>
    <cellStyle name="Normal 2 4 5 6 4" xfId="10630" xr:uid="{41B08B4F-586D-42C4-82D7-9CECF24742BA}"/>
    <cellStyle name="Normal 2 4 5 6 5" xfId="19077" xr:uid="{7B09DBC9-3D40-43BD-AA13-ADDE836C8CCC}"/>
    <cellStyle name="Normal 2 4 5 6 6" xfId="27524" xr:uid="{30874676-9698-4B98-AF34-8E87C0603F9C}"/>
    <cellStyle name="Normal 2 4 5 7" xfId="1627" xr:uid="{00000000-0005-0000-0000-0000CA100000}"/>
    <cellStyle name="Normal 2 4 5 7 2" xfId="3857" xr:uid="{00000000-0005-0000-0000-0000CB100000}"/>
    <cellStyle name="Normal 2 4 5 7 2 2" xfId="8079" xr:uid="{00000000-0005-0000-0000-0000CC100000}"/>
    <cellStyle name="Normal 2 4 5 7 2 2 2" xfId="17405" xr:uid="{77BFE326-6B1A-488D-B55F-5E6E343EC195}"/>
    <cellStyle name="Normal 2 4 5 7 2 2 3" xfId="25852" xr:uid="{3A27C23F-F4D8-47CE-A47A-42CB685F1621}"/>
    <cellStyle name="Normal 2 4 5 7 2 2 4" xfId="34299" xr:uid="{7496E287-A00A-46C9-BC82-63F95A81117A}"/>
    <cellStyle name="Normal 2 4 5 7 2 3" xfId="13188" xr:uid="{4F0E204C-2164-458B-B438-C655AB5F9880}"/>
    <cellStyle name="Normal 2 4 5 7 2 4" xfId="21635" xr:uid="{34DB5579-9018-44E3-98D9-194BA0D8773D}"/>
    <cellStyle name="Normal 2 4 5 7 2 5" xfId="30082" xr:uid="{048F18DC-6BDA-46BD-A832-3F7C581820D7}"/>
    <cellStyle name="Normal 2 4 5 7 3" xfId="5934" xr:uid="{00000000-0005-0000-0000-0000CD100000}"/>
    <cellStyle name="Normal 2 4 5 7 3 2" xfId="15260" xr:uid="{0B86861C-EE3D-44BC-AF49-25EB95C6CC15}"/>
    <cellStyle name="Normal 2 4 5 7 3 3" xfId="23707" xr:uid="{C0AE4E7B-0CF3-4F49-A8F9-3DF322013518}"/>
    <cellStyle name="Normal 2 4 5 7 3 4" xfId="32154" xr:uid="{C9B095EC-22B7-4D9F-A687-97F80BB00FE7}"/>
    <cellStyle name="Normal 2 4 5 7 4" xfId="11043" xr:uid="{42830EB3-124D-47E5-A95F-725EF5A87652}"/>
    <cellStyle name="Normal 2 4 5 7 5" xfId="19490" xr:uid="{BDD86DDE-DEA4-4367-A06F-FE75D4DF7A77}"/>
    <cellStyle name="Normal 2 4 5 7 6" xfId="27937" xr:uid="{C25A2AC5-BA2D-46D8-8E85-23659B3715F2}"/>
    <cellStyle name="Normal 2 4 5 8" xfId="2041" xr:uid="{00000000-0005-0000-0000-0000CE100000}"/>
    <cellStyle name="Normal 2 4 5 8 2" xfId="4270" xr:uid="{00000000-0005-0000-0000-0000CF100000}"/>
    <cellStyle name="Normal 2 4 5 8 2 2" xfId="8492" xr:uid="{00000000-0005-0000-0000-0000D0100000}"/>
    <cellStyle name="Normal 2 4 5 8 2 2 2" xfId="17818" xr:uid="{83609F05-8B77-45A9-AEE3-E290961DF761}"/>
    <cellStyle name="Normal 2 4 5 8 2 2 3" xfId="26265" xr:uid="{7418BA54-09DB-4327-B5FF-D57A71813C3B}"/>
    <cellStyle name="Normal 2 4 5 8 2 2 4" xfId="34712" xr:uid="{0952246F-DE2D-47E0-9479-F1DEB32AC5DE}"/>
    <cellStyle name="Normal 2 4 5 8 2 3" xfId="13601" xr:uid="{56E0B5C6-E230-40AB-8E44-96C91BCE3B09}"/>
    <cellStyle name="Normal 2 4 5 8 2 4" xfId="22048" xr:uid="{B5BE21AA-E364-4D54-A531-18EB2F9EBCCF}"/>
    <cellStyle name="Normal 2 4 5 8 2 5" xfId="30495" xr:uid="{AF42F8A5-5961-41A8-9084-1FC50770F211}"/>
    <cellStyle name="Normal 2 4 5 8 3" xfId="6347" xr:uid="{00000000-0005-0000-0000-0000D1100000}"/>
    <cellStyle name="Normal 2 4 5 8 3 2" xfId="15673" xr:uid="{E8F75EAA-2366-4318-B9E3-FD51751FFEBE}"/>
    <cellStyle name="Normal 2 4 5 8 3 3" xfId="24120" xr:uid="{D45EE644-4B6D-4896-8936-2AD11A87BF7B}"/>
    <cellStyle name="Normal 2 4 5 8 3 4" xfId="32567" xr:uid="{9F013B27-194D-45DA-BFE7-63D848E10FC5}"/>
    <cellStyle name="Normal 2 4 5 8 4" xfId="11456" xr:uid="{C9F171CA-7F5B-40A6-8925-CC3CDFFB9043}"/>
    <cellStyle name="Normal 2 4 5 8 5" xfId="19903" xr:uid="{884C83D0-B3AB-479D-B71E-A5E847161854}"/>
    <cellStyle name="Normal 2 4 5 8 6" xfId="28350" xr:uid="{1E5AE05B-57AF-431F-A9F1-8D59B5E61C87}"/>
    <cellStyle name="Normal 2 4 5 9" xfId="2477" xr:uid="{00000000-0005-0000-0000-0000D2100000}"/>
    <cellStyle name="Normal 2 4 5 9 2" xfId="6760" xr:uid="{00000000-0005-0000-0000-0000D3100000}"/>
    <cellStyle name="Normal 2 4 5 9 2 2" xfId="16086" xr:uid="{49BC2F18-241A-4D74-AA1B-F09D63476055}"/>
    <cellStyle name="Normal 2 4 5 9 2 3" xfId="24533" xr:uid="{F3E2C0AE-D34E-4D25-9E31-8F0226360700}"/>
    <cellStyle name="Normal 2 4 5 9 2 4" xfId="32980" xr:uid="{7F1CD8E2-8F53-49DD-BD3B-BD1F7B590A3C}"/>
    <cellStyle name="Normal 2 4 5 9 3" xfId="11869" xr:uid="{0ECF35D7-8887-43F3-8E0E-A0D1C32BC1FB}"/>
    <cellStyle name="Normal 2 4 5 9 4" xfId="20316" xr:uid="{32B26D3D-273A-4AF7-8AB8-D01B9D159A7C}"/>
    <cellStyle name="Normal 2 4 5 9 5" xfId="28763" xr:uid="{8FF08E44-6F1E-421A-874F-0EDC2465AEF3}"/>
    <cellStyle name="Normal 2 4 6" xfId="311" xr:uid="{00000000-0005-0000-0000-0000D4100000}"/>
    <cellStyle name="Normal 2 4 7" xfId="312" xr:uid="{00000000-0005-0000-0000-0000D5100000}"/>
    <cellStyle name="Normal 2 4 7 10" xfId="9811" xr:uid="{3229FC37-D347-4B0B-B2B4-6A867242F069}"/>
    <cellStyle name="Normal 2 4 7 11" xfId="18258" xr:uid="{1E8118F6-933C-4CA2-BB2A-332509CD4837}"/>
    <cellStyle name="Normal 2 4 7 12" xfId="26705" xr:uid="{34AB08AB-C66E-4AC8-937F-112A02BDF721}"/>
    <cellStyle name="Normal 2 4 7 2" xfId="313" xr:uid="{00000000-0005-0000-0000-0000D6100000}"/>
    <cellStyle name="Normal 2 4 7 2 10" xfId="18259" xr:uid="{F359AF96-23BE-4C24-A1E8-BC3FD0297B2C}"/>
    <cellStyle name="Normal 2 4 7 2 11" xfId="26706" xr:uid="{220D1C39-642F-4B33-BE31-AC2CBC8A3167}"/>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16588" xr:uid="{1FE2F59B-59DC-4AC7-A205-A4450C037E4A}"/>
    <cellStyle name="Normal 2 4 7 2 2 2 2 3" xfId="25035" xr:uid="{DD5003ED-2454-4314-887C-045FCD661F94}"/>
    <cellStyle name="Normal 2 4 7 2 2 2 2 4" xfId="33482" xr:uid="{8C549FBD-7B3E-4EB1-B989-7B44020D56F2}"/>
    <cellStyle name="Normal 2 4 7 2 2 2 3" xfId="12371" xr:uid="{6666BD4A-06B4-46A8-A98D-9EF5222C9802}"/>
    <cellStyle name="Normal 2 4 7 2 2 2 4" xfId="20818" xr:uid="{1770F831-B9AD-4DCA-82B7-9508C3E211C4}"/>
    <cellStyle name="Normal 2 4 7 2 2 2 5" xfId="29265" xr:uid="{ED36CA34-3836-4698-8FB6-0EF369163334}"/>
    <cellStyle name="Normal 2 4 7 2 2 3" xfId="5117" xr:uid="{00000000-0005-0000-0000-0000DA100000}"/>
    <cellStyle name="Normal 2 4 7 2 2 3 2" xfId="14443" xr:uid="{BF05AAB6-E763-445E-953B-8CF24CECC937}"/>
    <cellStyle name="Normal 2 4 7 2 2 3 3" xfId="22890" xr:uid="{7916F0D8-A2CC-4FCA-8296-CE5003515869}"/>
    <cellStyle name="Normal 2 4 7 2 2 3 4" xfId="31337" xr:uid="{0F55428B-8D4D-465C-87B5-08BD75C6C6F7}"/>
    <cellStyle name="Normal 2 4 7 2 2 4" xfId="9483" xr:uid="{3D7EFF6F-050D-4214-91CB-DF2673F23584}"/>
    <cellStyle name="Normal 2 4 7 2 2 5" xfId="10226" xr:uid="{A0ADEBCB-603C-404C-B1A6-601072471335}"/>
    <cellStyle name="Normal 2 4 7 2 2 6" xfId="18673" xr:uid="{FBB27E1A-2B67-4C89-8C33-0F14DF607463}"/>
    <cellStyle name="Normal 2 4 7 2 2 7" xfId="27120" xr:uid="{ACBAA70D-F895-49C5-B8BA-36F98A3BB27D}"/>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17001" xr:uid="{37061492-E0AD-4E1F-95FD-061626C588DB}"/>
    <cellStyle name="Normal 2 4 7 2 3 2 2 3" xfId="25448" xr:uid="{FC488FC8-E0A8-44F6-9CA4-30CC366B0E48}"/>
    <cellStyle name="Normal 2 4 7 2 3 2 2 4" xfId="33895" xr:uid="{06E6DA05-3ADC-4850-A2E6-9EE2A3E0C9BF}"/>
    <cellStyle name="Normal 2 4 7 2 3 2 3" xfId="12784" xr:uid="{E23E0967-22CD-4499-B49B-22A079ED2114}"/>
    <cellStyle name="Normal 2 4 7 2 3 2 4" xfId="21231" xr:uid="{877AD2D1-FF0B-4AA6-8703-819A6161283E}"/>
    <cellStyle name="Normal 2 4 7 2 3 2 5" xfId="29678" xr:uid="{7CC0C69E-B069-4CE1-B54F-CB4E467CB7F6}"/>
    <cellStyle name="Normal 2 4 7 2 3 3" xfId="5530" xr:uid="{00000000-0005-0000-0000-0000DE100000}"/>
    <cellStyle name="Normal 2 4 7 2 3 3 2" xfId="14856" xr:uid="{CEE2F76A-B7C2-49B1-8C5B-275D7BDAE4AA}"/>
    <cellStyle name="Normal 2 4 7 2 3 3 3" xfId="23303" xr:uid="{CCE3F508-5809-4F27-B279-9F9B2BC8683C}"/>
    <cellStyle name="Normal 2 4 7 2 3 3 4" xfId="31750" xr:uid="{940B78CF-0BBC-4781-8FEA-99F943A0FF84}"/>
    <cellStyle name="Normal 2 4 7 2 3 4" xfId="10639" xr:uid="{A1CB793E-0593-4817-A7BE-860633C0D51E}"/>
    <cellStyle name="Normal 2 4 7 2 3 5" xfId="19086" xr:uid="{E03EEFF6-10BF-41C4-9008-07EB47E5D44B}"/>
    <cellStyle name="Normal 2 4 7 2 3 6" xfId="27533" xr:uid="{6EE6EC17-2957-4717-9797-2187A747D9C3}"/>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17414" xr:uid="{7557A440-5B63-46D2-A30D-1B399AF00110}"/>
    <cellStyle name="Normal 2 4 7 2 4 2 2 3" xfId="25861" xr:uid="{0FBE6A63-CA13-4887-AD6E-797A95F93842}"/>
    <cellStyle name="Normal 2 4 7 2 4 2 2 4" xfId="34308" xr:uid="{0D5AB06D-CF58-459E-B60F-59C2D891C405}"/>
    <cellStyle name="Normal 2 4 7 2 4 2 3" xfId="13197" xr:uid="{3B60CD97-B9D2-417C-B709-D482C7DFB62B}"/>
    <cellStyle name="Normal 2 4 7 2 4 2 4" xfId="21644" xr:uid="{59A4E91D-0279-4FF4-925F-A161D073FDF1}"/>
    <cellStyle name="Normal 2 4 7 2 4 2 5" xfId="30091" xr:uid="{77492174-8CA3-4C01-B575-A8E25EB7CE70}"/>
    <cellStyle name="Normal 2 4 7 2 4 3" xfId="5943" xr:uid="{00000000-0005-0000-0000-0000E2100000}"/>
    <cellStyle name="Normal 2 4 7 2 4 3 2" xfId="15269" xr:uid="{E2F3AC85-BE24-4F12-8292-CF28994777FB}"/>
    <cellStyle name="Normal 2 4 7 2 4 3 3" xfId="23716" xr:uid="{C7AE662F-EDF7-4D33-8726-9A1ED1CD71A6}"/>
    <cellStyle name="Normal 2 4 7 2 4 3 4" xfId="32163" xr:uid="{1C8FCC77-6C4E-499C-AEE5-F9FB103717CF}"/>
    <cellStyle name="Normal 2 4 7 2 4 4" xfId="11052" xr:uid="{9BECF281-AEA0-4BA8-9999-CBB0BE53FDC3}"/>
    <cellStyle name="Normal 2 4 7 2 4 5" xfId="19499" xr:uid="{A1F79655-676B-4676-87A8-B5C4462B0BD3}"/>
    <cellStyle name="Normal 2 4 7 2 4 6" xfId="27946" xr:uid="{897B8A8C-1772-4C97-8A03-FACDB134491E}"/>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17827" xr:uid="{54C3A0C3-F611-4779-B5BF-01A1D5EADA3A}"/>
    <cellStyle name="Normal 2 4 7 2 5 2 2 3" xfId="26274" xr:uid="{3ABA6266-B983-4578-8C11-EC7AE32547E1}"/>
    <cellStyle name="Normal 2 4 7 2 5 2 2 4" xfId="34721" xr:uid="{E2644480-51A8-4228-9201-CF8FF4C7E5B2}"/>
    <cellStyle name="Normal 2 4 7 2 5 2 3" xfId="13610" xr:uid="{070621AD-4C3F-4A0E-8740-BAD60535080E}"/>
    <cellStyle name="Normal 2 4 7 2 5 2 4" xfId="22057" xr:uid="{EBF99071-62AA-4437-977F-63DA7BFCE265}"/>
    <cellStyle name="Normal 2 4 7 2 5 2 5" xfId="30504" xr:uid="{5E36FEC6-EE02-4EFF-BC8F-7DEFFC36D0DF}"/>
    <cellStyle name="Normal 2 4 7 2 5 3" xfId="6356" xr:uid="{00000000-0005-0000-0000-0000E6100000}"/>
    <cellStyle name="Normal 2 4 7 2 5 3 2" xfId="15682" xr:uid="{7CCA0AD6-1816-4BA3-894E-42954D79C927}"/>
    <cellStyle name="Normal 2 4 7 2 5 3 3" xfId="24129" xr:uid="{184979C6-8F6C-43E3-B26F-155B6FEDDC1A}"/>
    <cellStyle name="Normal 2 4 7 2 5 3 4" xfId="32576" xr:uid="{4724F972-37FD-4BE6-BF08-E126BCD47CC0}"/>
    <cellStyle name="Normal 2 4 7 2 5 4" xfId="11465" xr:uid="{E1B638CA-8E00-45DC-B8E5-EFAD85519DBD}"/>
    <cellStyle name="Normal 2 4 7 2 5 5" xfId="19912" xr:uid="{061CF196-B530-4BE2-B1FA-4AAF6E4B0ED8}"/>
    <cellStyle name="Normal 2 4 7 2 5 6" xfId="28359" xr:uid="{2572A735-3954-42B9-83DF-223E60B5C5C2}"/>
    <cellStyle name="Normal 2 4 7 2 6" xfId="2486" xr:uid="{00000000-0005-0000-0000-0000E7100000}"/>
    <cellStyle name="Normal 2 4 7 2 6 2" xfId="6769" xr:uid="{00000000-0005-0000-0000-0000E8100000}"/>
    <cellStyle name="Normal 2 4 7 2 6 2 2" xfId="16095" xr:uid="{9675ECD3-5093-4790-8FCC-26A89CCCFA41}"/>
    <cellStyle name="Normal 2 4 7 2 6 2 3" xfId="24542" xr:uid="{7092D523-01BB-4A32-9347-C9DF5E26B5A9}"/>
    <cellStyle name="Normal 2 4 7 2 6 2 4" xfId="32989" xr:uid="{E352F479-80A8-4715-BD51-6BCE9CC036D5}"/>
    <cellStyle name="Normal 2 4 7 2 6 3" xfId="11878" xr:uid="{B17F7879-9D28-450D-BA30-967EF04DFBFA}"/>
    <cellStyle name="Normal 2 4 7 2 6 4" xfId="20325" xr:uid="{69BB799E-9F95-4024-AEAE-1E491588E18C}"/>
    <cellStyle name="Normal 2 4 7 2 6 5" xfId="28772" xr:uid="{BD7B8885-E321-489F-89B0-1C0FB2E677A6}"/>
    <cellStyle name="Normal 2 4 7 2 7" xfId="4703" xr:uid="{00000000-0005-0000-0000-0000E9100000}"/>
    <cellStyle name="Normal 2 4 7 2 7 2" xfId="14029" xr:uid="{6CCEB469-9C18-4ABC-B84C-0505295DC513}"/>
    <cellStyle name="Normal 2 4 7 2 7 3" xfId="22476" xr:uid="{943752DB-6922-4F58-B22E-8CC33FBBF2DF}"/>
    <cellStyle name="Normal 2 4 7 2 7 4" xfId="30923" xr:uid="{25AD2663-DC02-477C-B5DF-FF73AEA15DD0}"/>
    <cellStyle name="Normal 2 4 7 2 8" xfId="9058" xr:uid="{FCEC438E-EF6A-4A00-BFE3-0DA309169A82}"/>
    <cellStyle name="Normal 2 4 7 2 9" xfId="9812" xr:uid="{A7285DEE-FADA-4A6B-8041-C19FF9D12005}"/>
    <cellStyle name="Normal 2 4 7 3" xfId="800" xr:uid="{00000000-0005-0000-0000-0000EA100000}"/>
    <cellStyle name="Normal 2 4 7 3 2" xfId="3039" xr:uid="{00000000-0005-0000-0000-0000EB100000}"/>
    <cellStyle name="Normal 2 4 7 3 2 2" xfId="7261" xr:uid="{00000000-0005-0000-0000-0000EC100000}"/>
    <cellStyle name="Normal 2 4 7 3 2 2 2" xfId="16587" xr:uid="{E1E42DCC-8AA0-4236-80A8-3C4AD3720667}"/>
    <cellStyle name="Normal 2 4 7 3 2 2 3" xfId="25034" xr:uid="{ED27570D-3157-421E-A5C9-53C81E11C379}"/>
    <cellStyle name="Normal 2 4 7 3 2 2 4" xfId="33481" xr:uid="{A970778B-E40B-4C9E-BDEA-C616347DA00F}"/>
    <cellStyle name="Normal 2 4 7 3 2 3" xfId="12370" xr:uid="{F8EE7AE1-1953-4D7A-93C1-1576119E1298}"/>
    <cellStyle name="Normal 2 4 7 3 2 4" xfId="20817" xr:uid="{A97936B5-1413-4582-99ED-38F16842B4C8}"/>
    <cellStyle name="Normal 2 4 7 3 2 5" xfId="29264" xr:uid="{1149835A-E208-4DF6-94D3-A75359ADF712}"/>
    <cellStyle name="Normal 2 4 7 3 3" xfId="5116" xr:uid="{00000000-0005-0000-0000-0000ED100000}"/>
    <cellStyle name="Normal 2 4 7 3 3 2" xfId="14442" xr:uid="{0E0FFF39-1560-4CE0-8C6E-6A740136AF5B}"/>
    <cellStyle name="Normal 2 4 7 3 3 3" xfId="22889" xr:uid="{90C09E16-7525-43E7-9403-55A88ED51CB9}"/>
    <cellStyle name="Normal 2 4 7 3 3 4" xfId="31336" xr:uid="{A6182776-C9C9-47F1-B258-6B7832C19FA0}"/>
    <cellStyle name="Normal 2 4 7 3 4" xfId="9276" xr:uid="{90A81E61-1719-41E4-8673-7681E805C2E0}"/>
    <cellStyle name="Normal 2 4 7 3 5" xfId="10225" xr:uid="{C0DE4B20-3D96-4C8D-834D-D8D626DF218E}"/>
    <cellStyle name="Normal 2 4 7 3 6" xfId="18672" xr:uid="{8CF1C696-8BCF-490B-B9B2-8684597C45B9}"/>
    <cellStyle name="Normal 2 4 7 3 7" xfId="27119" xr:uid="{27E6AF1D-E77E-4E67-93C5-0E3A0FA277E1}"/>
    <cellStyle name="Normal 2 4 7 4" xfId="1222" xr:uid="{00000000-0005-0000-0000-0000EE100000}"/>
    <cellStyle name="Normal 2 4 7 4 2" xfId="3452" xr:uid="{00000000-0005-0000-0000-0000EF100000}"/>
    <cellStyle name="Normal 2 4 7 4 2 2" xfId="7674" xr:uid="{00000000-0005-0000-0000-0000F0100000}"/>
    <cellStyle name="Normal 2 4 7 4 2 2 2" xfId="17000" xr:uid="{1BE5FEFA-F1C8-47DB-8595-BE5F2B352244}"/>
    <cellStyle name="Normal 2 4 7 4 2 2 3" xfId="25447" xr:uid="{3009E4DF-73A7-4A77-B5B8-0E6C3CCDBFFE}"/>
    <cellStyle name="Normal 2 4 7 4 2 2 4" xfId="33894" xr:uid="{2E6CDDBB-DADE-4C0B-A8DF-56CEFB54137D}"/>
    <cellStyle name="Normal 2 4 7 4 2 3" xfId="12783" xr:uid="{CFED2185-7C53-4476-AE46-5C70BC8D4A7F}"/>
    <cellStyle name="Normal 2 4 7 4 2 4" xfId="21230" xr:uid="{8BE17B88-F3DB-40B0-A01D-93EF7A499644}"/>
    <cellStyle name="Normal 2 4 7 4 2 5" xfId="29677" xr:uid="{5F37DE5D-3955-4706-9B44-51DD545EE03B}"/>
    <cellStyle name="Normal 2 4 7 4 3" xfId="5529" xr:uid="{00000000-0005-0000-0000-0000F1100000}"/>
    <cellStyle name="Normal 2 4 7 4 3 2" xfId="14855" xr:uid="{2ADA87E3-16E7-4B9A-8D70-F10E205FA97A}"/>
    <cellStyle name="Normal 2 4 7 4 3 3" xfId="23302" xr:uid="{67B12330-DB95-4521-89E8-4E42AEB6FF5C}"/>
    <cellStyle name="Normal 2 4 7 4 3 4" xfId="31749" xr:uid="{10D06EC6-7887-48DF-A59A-EC18887FC394}"/>
    <cellStyle name="Normal 2 4 7 4 4" xfId="10638" xr:uid="{E5BED6E7-1222-4FF7-9057-CE8D2C025075}"/>
    <cellStyle name="Normal 2 4 7 4 5" xfId="19085" xr:uid="{A2D17D36-9586-4E8C-B7E3-DEF0E0EF80A7}"/>
    <cellStyle name="Normal 2 4 7 4 6" xfId="27532" xr:uid="{95A75F75-9E9C-4CD8-9E4F-2720FECD3A58}"/>
    <cellStyle name="Normal 2 4 7 5" xfId="1635" xr:uid="{00000000-0005-0000-0000-0000F2100000}"/>
    <cellStyle name="Normal 2 4 7 5 2" xfId="3865" xr:uid="{00000000-0005-0000-0000-0000F3100000}"/>
    <cellStyle name="Normal 2 4 7 5 2 2" xfId="8087" xr:uid="{00000000-0005-0000-0000-0000F4100000}"/>
    <cellStyle name="Normal 2 4 7 5 2 2 2" xfId="17413" xr:uid="{0C6DE022-4959-4B14-BBA2-464616E20429}"/>
    <cellStyle name="Normal 2 4 7 5 2 2 3" xfId="25860" xr:uid="{1043F117-1545-4D43-9C73-4AA103174758}"/>
    <cellStyle name="Normal 2 4 7 5 2 2 4" xfId="34307" xr:uid="{C3C8D099-ABB1-490B-8D62-C76DC9FAD056}"/>
    <cellStyle name="Normal 2 4 7 5 2 3" xfId="13196" xr:uid="{82795AE6-7B4B-4DD5-B37A-51DF6EB3B4C4}"/>
    <cellStyle name="Normal 2 4 7 5 2 4" xfId="21643" xr:uid="{58BC36B2-F817-4674-A274-7FCEEBEF2D0D}"/>
    <cellStyle name="Normal 2 4 7 5 2 5" xfId="30090" xr:uid="{336CCB41-5F51-4215-B0B5-38F66036A35E}"/>
    <cellStyle name="Normal 2 4 7 5 3" xfId="5942" xr:uid="{00000000-0005-0000-0000-0000F5100000}"/>
    <cellStyle name="Normal 2 4 7 5 3 2" xfId="15268" xr:uid="{FAB2A185-D797-4265-9FFB-C3DE03FDC115}"/>
    <cellStyle name="Normal 2 4 7 5 3 3" xfId="23715" xr:uid="{05A460F3-0CF6-478F-9866-A3C4064F9FE9}"/>
    <cellStyle name="Normal 2 4 7 5 3 4" xfId="32162" xr:uid="{F5C2B483-47E9-4B00-A89C-E25823A7CADE}"/>
    <cellStyle name="Normal 2 4 7 5 4" xfId="11051" xr:uid="{EC8059DA-FCF3-474F-B3B3-F1135D47C087}"/>
    <cellStyle name="Normal 2 4 7 5 5" xfId="19498" xr:uid="{1FE3147C-3511-439E-B535-AC5FFF27A682}"/>
    <cellStyle name="Normal 2 4 7 5 6" xfId="27945" xr:uid="{709634C6-2F04-4B19-A704-0152CFF7F79C}"/>
    <cellStyle name="Normal 2 4 7 6" xfId="2049" xr:uid="{00000000-0005-0000-0000-0000F6100000}"/>
    <cellStyle name="Normal 2 4 7 6 2" xfId="4278" xr:uid="{00000000-0005-0000-0000-0000F7100000}"/>
    <cellStyle name="Normal 2 4 7 6 2 2" xfId="8500" xr:uid="{00000000-0005-0000-0000-0000F8100000}"/>
    <cellStyle name="Normal 2 4 7 6 2 2 2" xfId="17826" xr:uid="{67C2501F-6EAE-4B7E-9E15-FA7CFA429EF4}"/>
    <cellStyle name="Normal 2 4 7 6 2 2 3" xfId="26273" xr:uid="{01840802-FA58-4D96-BD74-21E1C1E79BC1}"/>
    <cellStyle name="Normal 2 4 7 6 2 2 4" xfId="34720" xr:uid="{B9FF9E45-7C54-42F4-BE90-76CDBEBA0462}"/>
    <cellStyle name="Normal 2 4 7 6 2 3" xfId="13609" xr:uid="{5D1EA1CE-AC9B-4E33-BA45-683B7226B4F5}"/>
    <cellStyle name="Normal 2 4 7 6 2 4" xfId="22056" xr:uid="{9CC6E7CE-2921-4CB5-B950-3AAB0BF59E6E}"/>
    <cellStyle name="Normal 2 4 7 6 2 5" xfId="30503" xr:uid="{873F3E28-4A26-480E-8E54-14AA34FE3893}"/>
    <cellStyle name="Normal 2 4 7 6 3" xfId="6355" xr:uid="{00000000-0005-0000-0000-0000F9100000}"/>
    <cellStyle name="Normal 2 4 7 6 3 2" xfId="15681" xr:uid="{6904269B-152F-47CA-9DD5-0F3AE1C084C8}"/>
    <cellStyle name="Normal 2 4 7 6 3 3" xfId="24128" xr:uid="{A409F118-804B-47B6-8B0A-013E4A1694AC}"/>
    <cellStyle name="Normal 2 4 7 6 3 4" xfId="32575" xr:uid="{461740E1-DA5D-4848-95BD-B6D8053F8F6F}"/>
    <cellStyle name="Normal 2 4 7 6 4" xfId="11464" xr:uid="{2A6643E7-1EC2-49DE-803E-38CBA3F1AA8B}"/>
    <cellStyle name="Normal 2 4 7 6 5" xfId="19911" xr:uid="{8457ADE6-F284-421E-A1D5-42A419A45F42}"/>
    <cellStyle name="Normal 2 4 7 6 6" xfId="28358" xr:uid="{4F5C6099-E56C-4580-9BA5-61DF6968AE40}"/>
    <cellStyle name="Normal 2 4 7 7" xfId="2485" xr:uid="{00000000-0005-0000-0000-0000FA100000}"/>
    <cellStyle name="Normal 2 4 7 7 2" xfId="6768" xr:uid="{00000000-0005-0000-0000-0000FB100000}"/>
    <cellStyle name="Normal 2 4 7 7 2 2" xfId="16094" xr:uid="{58B9A3DD-2A23-4683-8971-6E0496C8D753}"/>
    <cellStyle name="Normal 2 4 7 7 2 3" xfId="24541" xr:uid="{3CFA365D-44C7-4879-A067-CB1292D99F8A}"/>
    <cellStyle name="Normal 2 4 7 7 2 4" xfId="32988" xr:uid="{4042DDF9-D605-465D-BC9C-1FB5DFB0AE9B}"/>
    <cellStyle name="Normal 2 4 7 7 3" xfId="11877" xr:uid="{7D7B2DEB-EE36-4A9D-9752-A77CD7AC8C7B}"/>
    <cellStyle name="Normal 2 4 7 7 4" xfId="20324" xr:uid="{9C6D500A-DB2E-4FAD-9BC7-88D5437C8633}"/>
    <cellStyle name="Normal 2 4 7 7 5" xfId="28771" xr:uid="{E58BE2A2-3C30-4EC4-9C56-0D9D9E486C97}"/>
    <cellStyle name="Normal 2 4 7 8" xfId="4702" xr:uid="{00000000-0005-0000-0000-0000FC100000}"/>
    <cellStyle name="Normal 2 4 7 8 2" xfId="14028" xr:uid="{652089D6-B2CD-4280-84D9-915F889B318A}"/>
    <cellStyle name="Normal 2 4 7 8 3" xfId="22475" xr:uid="{55E6013C-A52D-4804-9FA1-C67C5B08765E}"/>
    <cellStyle name="Normal 2 4 7 8 4" xfId="30922" xr:uid="{B6BEA9BA-1D1B-4F9C-92B7-736D8E9EC0CF}"/>
    <cellStyle name="Normal 2 4 7 9" xfId="8851" xr:uid="{6946A6C1-9296-4D8F-B36F-8F7964FD7AC6}"/>
    <cellStyle name="Normal 2 4 8" xfId="314" xr:uid="{00000000-0005-0000-0000-0000FD100000}"/>
    <cellStyle name="Normal 2 4 8 10" xfId="18260" xr:uid="{BC2F430B-E159-4FA3-B0EE-FFE9D5F6F6EB}"/>
    <cellStyle name="Normal 2 4 8 11" xfId="26707" xr:uid="{C6625689-BE40-45F9-B31E-A64A76C676AD}"/>
    <cellStyle name="Normal 2 4 8 2" xfId="802" xr:uid="{00000000-0005-0000-0000-0000FE100000}"/>
    <cellStyle name="Normal 2 4 8 2 2" xfId="3041" xr:uid="{00000000-0005-0000-0000-0000FF100000}"/>
    <cellStyle name="Normal 2 4 8 2 2 2" xfId="7263" xr:uid="{00000000-0005-0000-0000-000000110000}"/>
    <cellStyle name="Normal 2 4 8 2 2 2 2" xfId="16589" xr:uid="{22E85210-59A5-45A5-9082-2AB6F856F4BA}"/>
    <cellStyle name="Normal 2 4 8 2 2 2 3" xfId="25036" xr:uid="{3863C94F-77CC-44D4-8D46-3F85FBDBDB91}"/>
    <cellStyle name="Normal 2 4 8 2 2 2 4" xfId="33483" xr:uid="{0E5E7C84-8A3F-4121-8EC6-C374900291F2}"/>
    <cellStyle name="Normal 2 4 8 2 2 3" xfId="12372" xr:uid="{A3023222-90C2-447E-AF1F-9DD5FD7A6CA3}"/>
    <cellStyle name="Normal 2 4 8 2 2 4" xfId="20819" xr:uid="{84D36938-A3D5-4883-926E-478C4FBA43C4}"/>
    <cellStyle name="Normal 2 4 8 2 2 5" xfId="29266" xr:uid="{7A5EBEC9-7CB8-4ABC-A510-872C4344487A}"/>
    <cellStyle name="Normal 2 4 8 2 3" xfId="5118" xr:uid="{00000000-0005-0000-0000-000001110000}"/>
    <cellStyle name="Normal 2 4 8 2 3 2" xfId="14444" xr:uid="{9838D394-1682-4FBB-B30B-9011BC43680D}"/>
    <cellStyle name="Normal 2 4 8 2 3 3" xfId="22891" xr:uid="{1CE59B82-C8DF-4A6D-A4DC-10A5A0BE0425}"/>
    <cellStyle name="Normal 2 4 8 2 3 4" xfId="31338" xr:uid="{FFB86CA2-6825-4F5B-BCAD-1C259B087746}"/>
    <cellStyle name="Normal 2 4 8 2 4" xfId="9392" xr:uid="{812B973E-E5C9-43CD-85B0-C8CA30BD9BF3}"/>
    <cellStyle name="Normal 2 4 8 2 5" xfId="10227" xr:uid="{F219AD1C-63B9-4F8C-9EAD-9FA8A3129D4D}"/>
    <cellStyle name="Normal 2 4 8 2 6" xfId="18674" xr:uid="{E063FF73-224E-4A18-804E-B9F972560146}"/>
    <cellStyle name="Normal 2 4 8 2 7" xfId="27121" xr:uid="{91B090D0-D447-449B-B396-682960C8E125}"/>
    <cellStyle name="Normal 2 4 8 3" xfId="1224" xr:uid="{00000000-0005-0000-0000-000002110000}"/>
    <cellStyle name="Normal 2 4 8 3 2" xfId="3454" xr:uid="{00000000-0005-0000-0000-000003110000}"/>
    <cellStyle name="Normal 2 4 8 3 2 2" xfId="7676" xr:uid="{00000000-0005-0000-0000-000004110000}"/>
    <cellStyle name="Normal 2 4 8 3 2 2 2" xfId="17002" xr:uid="{F861F53C-127A-47E4-A08C-D32417524BF0}"/>
    <cellStyle name="Normal 2 4 8 3 2 2 3" xfId="25449" xr:uid="{448A7BBA-1315-4E39-A005-CB943C983276}"/>
    <cellStyle name="Normal 2 4 8 3 2 2 4" xfId="33896" xr:uid="{79152CEF-9A59-4C59-994B-880A97A57571}"/>
    <cellStyle name="Normal 2 4 8 3 2 3" xfId="12785" xr:uid="{1EA481AD-7845-426E-96B2-AE5630165C9E}"/>
    <cellStyle name="Normal 2 4 8 3 2 4" xfId="21232" xr:uid="{36A0E884-EADA-424C-9769-E35F07656564}"/>
    <cellStyle name="Normal 2 4 8 3 2 5" xfId="29679" xr:uid="{5FF5F195-82BE-4432-B806-CA45B256A00E}"/>
    <cellStyle name="Normal 2 4 8 3 3" xfId="5531" xr:uid="{00000000-0005-0000-0000-000005110000}"/>
    <cellStyle name="Normal 2 4 8 3 3 2" xfId="14857" xr:uid="{9DD975FD-F8D3-4BD1-83FD-F5D4E5BE6562}"/>
    <cellStyle name="Normal 2 4 8 3 3 3" xfId="23304" xr:uid="{0B0C26A6-BFC1-4ABB-828B-2C53AFA61F9C}"/>
    <cellStyle name="Normal 2 4 8 3 3 4" xfId="31751" xr:uid="{0A40650E-11C4-4529-8F58-2C8F9803A995}"/>
    <cellStyle name="Normal 2 4 8 3 4" xfId="10640" xr:uid="{47E2DAE0-C62A-4D02-AA8B-4765CA19C46F}"/>
    <cellStyle name="Normal 2 4 8 3 5" xfId="19087" xr:uid="{5AD17406-8AAD-4241-AD96-D76FA6639784}"/>
    <cellStyle name="Normal 2 4 8 3 6" xfId="27534" xr:uid="{303B2F6D-345C-4051-85FF-5ECD98BA70F9}"/>
    <cellStyle name="Normal 2 4 8 4" xfId="1637" xr:uid="{00000000-0005-0000-0000-000006110000}"/>
    <cellStyle name="Normal 2 4 8 4 2" xfId="3867" xr:uid="{00000000-0005-0000-0000-000007110000}"/>
    <cellStyle name="Normal 2 4 8 4 2 2" xfId="8089" xr:uid="{00000000-0005-0000-0000-000008110000}"/>
    <cellStyle name="Normal 2 4 8 4 2 2 2" xfId="17415" xr:uid="{7AEDDC11-96D1-4FD4-A8D4-A4B763C6B252}"/>
    <cellStyle name="Normal 2 4 8 4 2 2 3" xfId="25862" xr:uid="{663E12C1-7635-4371-AEF4-D011E745FC61}"/>
    <cellStyle name="Normal 2 4 8 4 2 2 4" xfId="34309" xr:uid="{C0CD8190-E3AB-46CC-93B0-1BB8892504DD}"/>
    <cellStyle name="Normal 2 4 8 4 2 3" xfId="13198" xr:uid="{1870CDCD-18A5-491D-B9AB-2CC72612B4E5}"/>
    <cellStyle name="Normal 2 4 8 4 2 4" xfId="21645" xr:uid="{719CA1A8-FC31-4788-AEA5-AD69783EABFF}"/>
    <cellStyle name="Normal 2 4 8 4 2 5" xfId="30092" xr:uid="{E6D43B3A-F81B-48FD-B825-137D8140DBE6}"/>
    <cellStyle name="Normal 2 4 8 4 3" xfId="5944" xr:uid="{00000000-0005-0000-0000-000009110000}"/>
    <cellStyle name="Normal 2 4 8 4 3 2" xfId="15270" xr:uid="{A77A5475-0527-45F2-B121-792498670C42}"/>
    <cellStyle name="Normal 2 4 8 4 3 3" xfId="23717" xr:uid="{689BDAF5-3BE5-4FFB-B7AC-B04E7005B244}"/>
    <cellStyle name="Normal 2 4 8 4 3 4" xfId="32164" xr:uid="{13E62464-BA64-49AE-9934-E7E167A45A7D}"/>
    <cellStyle name="Normal 2 4 8 4 4" xfId="11053" xr:uid="{6CE63F5F-EC87-44AC-A199-87E5147D2482}"/>
    <cellStyle name="Normal 2 4 8 4 5" xfId="19500" xr:uid="{AE9B0391-2B1B-4D7A-9EF5-0593072A8FC8}"/>
    <cellStyle name="Normal 2 4 8 4 6" xfId="27947" xr:uid="{EFB81E31-2F8A-4AB3-AA13-8F83F54CA940}"/>
    <cellStyle name="Normal 2 4 8 5" xfId="2051" xr:uid="{00000000-0005-0000-0000-00000A110000}"/>
    <cellStyle name="Normal 2 4 8 5 2" xfId="4280" xr:uid="{00000000-0005-0000-0000-00000B110000}"/>
    <cellStyle name="Normal 2 4 8 5 2 2" xfId="8502" xr:uid="{00000000-0005-0000-0000-00000C110000}"/>
    <cellStyle name="Normal 2 4 8 5 2 2 2" xfId="17828" xr:uid="{917214D9-2BEE-4DD9-940E-5EAA78A89399}"/>
    <cellStyle name="Normal 2 4 8 5 2 2 3" xfId="26275" xr:uid="{D6790910-84E4-4E36-B07F-313A5BA4A924}"/>
    <cellStyle name="Normal 2 4 8 5 2 2 4" xfId="34722" xr:uid="{60C6F842-87E9-4844-A106-E24D52BE72F1}"/>
    <cellStyle name="Normal 2 4 8 5 2 3" xfId="13611" xr:uid="{F2E84B84-4A61-40F0-89A0-3C3F4C6B3F8D}"/>
    <cellStyle name="Normal 2 4 8 5 2 4" xfId="22058" xr:uid="{7DE64016-AE3E-4939-B830-4E08D8A23282}"/>
    <cellStyle name="Normal 2 4 8 5 2 5" xfId="30505" xr:uid="{572CAC71-DC48-4514-9EF4-BA5C5A5DDA54}"/>
    <cellStyle name="Normal 2 4 8 5 3" xfId="6357" xr:uid="{00000000-0005-0000-0000-00000D110000}"/>
    <cellStyle name="Normal 2 4 8 5 3 2" xfId="15683" xr:uid="{A9793855-6B3D-47BB-9C29-EAB299B25424}"/>
    <cellStyle name="Normal 2 4 8 5 3 3" xfId="24130" xr:uid="{5834BE73-E458-4DF2-928A-1BDBBEAC6652}"/>
    <cellStyle name="Normal 2 4 8 5 3 4" xfId="32577" xr:uid="{AEBBD5FD-00B5-4A90-993D-61A8E45913C9}"/>
    <cellStyle name="Normal 2 4 8 5 4" xfId="11466" xr:uid="{1DB7E0B3-FCF4-4E35-AD48-D6256CB61ABB}"/>
    <cellStyle name="Normal 2 4 8 5 5" xfId="19913" xr:uid="{B1D90CD7-AF35-425F-AC63-3BBC3BB63D32}"/>
    <cellStyle name="Normal 2 4 8 5 6" xfId="28360" xr:uid="{D0A63405-41B3-473E-B373-C09AA32DDB9A}"/>
    <cellStyle name="Normal 2 4 8 6" xfId="2487" xr:uid="{00000000-0005-0000-0000-00000E110000}"/>
    <cellStyle name="Normal 2 4 8 6 2" xfId="6770" xr:uid="{00000000-0005-0000-0000-00000F110000}"/>
    <cellStyle name="Normal 2 4 8 6 2 2" xfId="16096" xr:uid="{D56BE84C-489C-4005-AED3-2C81A3AF27E1}"/>
    <cellStyle name="Normal 2 4 8 6 2 3" xfId="24543" xr:uid="{863E154A-F2EF-4745-99EF-B2A9E2C1B4B0}"/>
    <cellStyle name="Normal 2 4 8 6 2 4" xfId="32990" xr:uid="{B79654DA-2942-447F-9141-CC0214D90597}"/>
    <cellStyle name="Normal 2 4 8 6 3" xfId="11879" xr:uid="{E4800040-6D51-4B30-A180-AAC18268FF1E}"/>
    <cellStyle name="Normal 2 4 8 6 4" xfId="20326" xr:uid="{D2C0D879-97E8-4A63-8383-EF3C8696457A}"/>
    <cellStyle name="Normal 2 4 8 6 5" xfId="28773" xr:uid="{4B53C2B5-DA91-4DE0-A25D-49331DFA2467}"/>
    <cellStyle name="Normal 2 4 8 7" xfId="4704" xr:uid="{00000000-0005-0000-0000-000010110000}"/>
    <cellStyle name="Normal 2 4 8 7 2" xfId="14030" xr:uid="{DC5C3B40-15FF-46A1-BB25-F0113BFEDC52}"/>
    <cellStyle name="Normal 2 4 8 7 3" xfId="22477" xr:uid="{A1FA551F-67A2-4228-82B0-FA954ED2B2BB}"/>
    <cellStyle name="Normal 2 4 8 7 4" xfId="30924" xr:uid="{D712E774-B5D9-4EF9-A8E3-0D10AA15855F}"/>
    <cellStyle name="Normal 2 4 8 8" xfId="8967" xr:uid="{32AC97CD-D3FD-4AE1-A8B2-07BEA9D5DE52}"/>
    <cellStyle name="Normal 2 4 8 9" xfId="9813" xr:uid="{9743ABFE-7F1A-4D7B-86B4-F1AB6B845AEA}"/>
    <cellStyle name="Normal 2 4 9" xfId="9170" xr:uid="{5569C060-E090-4551-A44D-517EC3FD1834}"/>
    <cellStyle name="Normal 2 5" xfId="315" xr:uid="{00000000-0005-0000-0000-000011110000}"/>
    <cellStyle name="Normal 2 5 10" xfId="4705" xr:uid="{00000000-0005-0000-0000-000012110000}"/>
    <cellStyle name="Normal 2 5 10 2" xfId="14031" xr:uid="{2EF6D7FC-821A-4937-8C77-2B552D332429}"/>
    <cellStyle name="Normal 2 5 10 3" xfId="22478" xr:uid="{03E7EEE5-80A9-4DDD-A1D8-3AB00D2C3BCD}"/>
    <cellStyle name="Normal 2 5 10 4" xfId="30925" xr:uid="{5478537E-94D6-4BEC-9D03-B34C9FF44D15}"/>
    <cellStyle name="Normal 2 5 11" xfId="9814" xr:uid="{0F39C068-869D-48D8-8EC9-A936A765D2FC}"/>
    <cellStyle name="Normal 2 5 12" xfId="18261" xr:uid="{F7C8FEBD-E703-4B3A-9586-E2B2F324B6A9}"/>
    <cellStyle name="Normal 2 5 13" xfId="26708" xr:uid="{CC609C8F-E827-4A2F-BE2E-AE80576AAF5B}"/>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11" xfId="9815" xr:uid="{8E456F91-7DB6-4331-B7D5-7B86F3FBC1A7}"/>
    <cellStyle name="Normal 2 5 4 12" xfId="18262" xr:uid="{BA2671BB-657B-4C17-9106-25D40E283EE9}"/>
    <cellStyle name="Normal 2 5 4 13" xfId="26709" xr:uid="{918A19D8-7E27-4BEC-8FDD-36A7411347B0}"/>
    <cellStyle name="Normal 2 5 4 2" xfId="319" xr:uid="{00000000-0005-0000-0000-000016110000}"/>
    <cellStyle name="Normal 2 5 4 2 10" xfId="9816" xr:uid="{6D8AF349-7D4A-4523-BDC9-D2B8FB276FDE}"/>
    <cellStyle name="Normal 2 5 4 2 11" xfId="18263" xr:uid="{3DA1E0C9-CCA7-4B7C-AE26-CF47CAFF625F}"/>
    <cellStyle name="Normal 2 5 4 2 12" xfId="26710" xr:uid="{2F7F13C4-804D-4342-AF59-3AE987CF90EE}"/>
    <cellStyle name="Normal 2 5 4 2 2" xfId="320" xr:uid="{00000000-0005-0000-0000-000017110000}"/>
    <cellStyle name="Normal 2 5 4 2 2 10" xfId="18264" xr:uid="{3DA4EFF6-7C90-49CF-B2A9-972563E741BD}"/>
    <cellStyle name="Normal 2 5 4 2 2 11" xfId="26711" xr:uid="{F3963978-C6E9-474A-857A-9AF1E75AE418}"/>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16593" xr:uid="{72DB1BED-DC10-47C3-A00D-A06B1FB5FBB8}"/>
    <cellStyle name="Normal 2 5 4 2 2 2 2 2 3" xfId="25040" xr:uid="{99DE1377-31F5-4932-BD78-FC9BF946EFDE}"/>
    <cellStyle name="Normal 2 5 4 2 2 2 2 2 4" xfId="33487" xr:uid="{F5165FB9-E625-4CBF-ADC5-6FF2FBFD1555}"/>
    <cellStyle name="Normal 2 5 4 2 2 2 2 3" xfId="12376" xr:uid="{05418EBA-3972-48A7-9D92-742C3EF80E8B}"/>
    <cellStyle name="Normal 2 5 4 2 2 2 2 4" xfId="20823" xr:uid="{ED1AF754-1518-46D1-80E6-9093163D05C2}"/>
    <cellStyle name="Normal 2 5 4 2 2 2 2 5" xfId="29270" xr:uid="{8D256354-2D5F-4F4D-9606-7A99B985B887}"/>
    <cellStyle name="Normal 2 5 4 2 2 2 3" xfId="5122" xr:uid="{00000000-0005-0000-0000-00001B110000}"/>
    <cellStyle name="Normal 2 5 4 2 2 2 3 2" xfId="14448" xr:uid="{1921B81E-9947-4AF8-B5AC-34B7D048ABDF}"/>
    <cellStyle name="Normal 2 5 4 2 2 2 3 3" xfId="22895" xr:uid="{FC911A62-F74A-4759-81C8-DD9A3A250015}"/>
    <cellStyle name="Normal 2 5 4 2 2 2 3 4" xfId="31342" xr:uid="{FB14F33D-49BE-44BB-AA9E-D51703ADB746}"/>
    <cellStyle name="Normal 2 5 4 2 2 2 4" xfId="9551" xr:uid="{392D7741-6781-4EA5-9C28-040053C1B05B}"/>
    <cellStyle name="Normal 2 5 4 2 2 2 5" xfId="10231" xr:uid="{39866F1C-D28E-40D4-94A7-FE991C4200EB}"/>
    <cellStyle name="Normal 2 5 4 2 2 2 6" xfId="18678" xr:uid="{5004F5ED-3A34-40BE-9087-587106A91A09}"/>
    <cellStyle name="Normal 2 5 4 2 2 2 7" xfId="27125" xr:uid="{E9FA23F4-C259-417B-8A8F-2A200A907D77}"/>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17006" xr:uid="{E850C93F-15E9-4625-8525-98F716715056}"/>
    <cellStyle name="Normal 2 5 4 2 2 3 2 2 3" xfId="25453" xr:uid="{3D3E6B8C-A8CA-4F92-96BA-985C77FD566A}"/>
    <cellStyle name="Normal 2 5 4 2 2 3 2 2 4" xfId="33900" xr:uid="{BFB613D9-1571-44CC-86AC-D6B28185B909}"/>
    <cellStyle name="Normal 2 5 4 2 2 3 2 3" xfId="12789" xr:uid="{71B1A1D3-DEDA-420B-BCE4-A8643EE8A73A}"/>
    <cellStyle name="Normal 2 5 4 2 2 3 2 4" xfId="21236" xr:uid="{DEDA0C3B-5BBE-4B2E-838D-ED59B3001BC4}"/>
    <cellStyle name="Normal 2 5 4 2 2 3 2 5" xfId="29683" xr:uid="{2DB4DF43-12DF-4FC6-9A57-D0B466DE3674}"/>
    <cellStyle name="Normal 2 5 4 2 2 3 3" xfId="5535" xr:uid="{00000000-0005-0000-0000-00001F110000}"/>
    <cellStyle name="Normal 2 5 4 2 2 3 3 2" xfId="14861" xr:uid="{80BA4714-4330-4ACB-A9CB-48E1E4CE42DC}"/>
    <cellStyle name="Normal 2 5 4 2 2 3 3 3" xfId="23308" xr:uid="{FA4D5F76-872E-48AC-A410-A394CB5CB2F0}"/>
    <cellStyle name="Normal 2 5 4 2 2 3 3 4" xfId="31755" xr:uid="{9F40B1B8-7E69-42BD-8937-E2F4AC1B2873}"/>
    <cellStyle name="Normal 2 5 4 2 2 3 4" xfId="10644" xr:uid="{39CFBCCD-1EE4-4618-8B9E-1E8A306CAD73}"/>
    <cellStyle name="Normal 2 5 4 2 2 3 5" xfId="19091" xr:uid="{C83C422A-B4CB-4515-8AB7-28FC0C79261C}"/>
    <cellStyle name="Normal 2 5 4 2 2 3 6" xfId="27538" xr:uid="{5B4A997A-D5ED-4AE5-98B4-22B8FF293CC7}"/>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17419" xr:uid="{2644445F-F895-44AE-8E5A-AAC64F3E2B00}"/>
    <cellStyle name="Normal 2 5 4 2 2 4 2 2 3" xfId="25866" xr:uid="{CD97699C-7C18-44AD-B680-2765068E2EC3}"/>
    <cellStyle name="Normal 2 5 4 2 2 4 2 2 4" xfId="34313" xr:uid="{FF2131F5-CCE8-403C-8F71-4F49BC7A288A}"/>
    <cellStyle name="Normal 2 5 4 2 2 4 2 3" xfId="13202" xr:uid="{1F0229E6-524F-406F-9765-614EF1B1809B}"/>
    <cellStyle name="Normal 2 5 4 2 2 4 2 4" xfId="21649" xr:uid="{39F4CDD0-7ABD-4BB8-B8DE-FB39C8C8E8F0}"/>
    <cellStyle name="Normal 2 5 4 2 2 4 2 5" xfId="30096" xr:uid="{67762DF9-13BD-4ADF-A033-DB8FCC48B28E}"/>
    <cellStyle name="Normal 2 5 4 2 2 4 3" xfId="5948" xr:uid="{00000000-0005-0000-0000-000023110000}"/>
    <cellStyle name="Normal 2 5 4 2 2 4 3 2" xfId="15274" xr:uid="{BFC5EF5E-81B0-47DA-BBB2-BBE7E257D832}"/>
    <cellStyle name="Normal 2 5 4 2 2 4 3 3" xfId="23721" xr:uid="{8CCA8733-E253-4336-94EF-4A95B4D2A25C}"/>
    <cellStyle name="Normal 2 5 4 2 2 4 3 4" xfId="32168" xr:uid="{AA32382A-E939-4794-B2BA-0B071D07A12A}"/>
    <cellStyle name="Normal 2 5 4 2 2 4 4" xfId="11057" xr:uid="{3632D8DB-2060-43B9-BA00-48EEB1CFCC15}"/>
    <cellStyle name="Normal 2 5 4 2 2 4 5" xfId="19504" xr:uid="{E8A7EFF4-CBCC-43C0-8293-D67FDA36CC76}"/>
    <cellStyle name="Normal 2 5 4 2 2 4 6" xfId="27951" xr:uid="{060FAEEB-22A8-4AAF-BDB4-44F6026A2433}"/>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17832" xr:uid="{0BCB490F-9F3D-4EC0-AA7E-9C9BD5518443}"/>
    <cellStyle name="Normal 2 5 4 2 2 5 2 2 3" xfId="26279" xr:uid="{3AFC5038-3C6E-4A39-9168-215C7A6C01C0}"/>
    <cellStyle name="Normal 2 5 4 2 2 5 2 2 4" xfId="34726" xr:uid="{1CE588B7-D17C-481C-B9B4-7D0D7C737DA2}"/>
    <cellStyle name="Normal 2 5 4 2 2 5 2 3" xfId="13615" xr:uid="{AD2645DC-6DB4-4AB0-9551-45B4285E59F4}"/>
    <cellStyle name="Normal 2 5 4 2 2 5 2 4" xfId="22062" xr:uid="{1E7989B5-CCAD-4D36-A317-DFB6754800D0}"/>
    <cellStyle name="Normal 2 5 4 2 2 5 2 5" xfId="30509" xr:uid="{457A4AC0-B465-41CF-8FC7-1A3C24C1290C}"/>
    <cellStyle name="Normal 2 5 4 2 2 5 3" xfId="6361" xr:uid="{00000000-0005-0000-0000-000027110000}"/>
    <cellStyle name="Normal 2 5 4 2 2 5 3 2" xfId="15687" xr:uid="{35502A53-FB5B-4963-B53B-9A676EC7DE0F}"/>
    <cellStyle name="Normal 2 5 4 2 2 5 3 3" xfId="24134" xr:uid="{220E4854-56FE-4E1A-B26E-0666315CB643}"/>
    <cellStyle name="Normal 2 5 4 2 2 5 3 4" xfId="32581" xr:uid="{B92F2194-6242-40A9-8368-F7060978156C}"/>
    <cellStyle name="Normal 2 5 4 2 2 5 4" xfId="11470" xr:uid="{F291645B-E782-4224-AF7E-C82A9A22A570}"/>
    <cellStyle name="Normal 2 5 4 2 2 5 5" xfId="19917" xr:uid="{09BA4537-DA3C-44CB-8325-B64CBC66C802}"/>
    <cellStyle name="Normal 2 5 4 2 2 5 6" xfId="28364" xr:uid="{586071AB-F799-41D1-B9A7-60445D56DCD3}"/>
    <cellStyle name="Normal 2 5 4 2 2 6" xfId="2491" xr:uid="{00000000-0005-0000-0000-000028110000}"/>
    <cellStyle name="Normal 2 5 4 2 2 6 2" xfId="6774" xr:uid="{00000000-0005-0000-0000-000029110000}"/>
    <cellStyle name="Normal 2 5 4 2 2 6 2 2" xfId="16100" xr:uid="{47793766-318A-40B8-A989-EB070B628FBD}"/>
    <cellStyle name="Normal 2 5 4 2 2 6 2 3" xfId="24547" xr:uid="{3B6F5701-CBCD-4353-92A2-FD9405BFDF48}"/>
    <cellStyle name="Normal 2 5 4 2 2 6 2 4" xfId="32994" xr:uid="{083DF328-41C1-406A-A4F7-440A8CC67A00}"/>
    <cellStyle name="Normal 2 5 4 2 2 6 3" xfId="11883" xr:uid="{DE053CA1-1EF0-4AFA-B46D-1F797FE85761}"/>
    <cellStyle name="Normal 2 5 4 2 2 6 4" xfId="20330" xr:uid="{B46CFD84-B34C-4495-80F3-758B27731B23}"/>
    <cellStyle name="Normal 2 5 4 2 2 6 5" xfId="28777" xr:uid="{5837CBB4-2B31-4275-8F52-D7C00ACCDD0B}"/>
    <cellStyle name="Normal 2 5 4 2 2 7" xfId="4708" xr:uid="{00000000-0005-0000-0000-00002A110000}"/>
    <cellStyle name="Normal 2 5 4 2 2 7 2" xfId="14034" xr:uid="{975E55FC-EDA8-48C2-BDB4-E691A30D15A9}"/>
    <cellStyle name="Normal 2 5 4 2 2 7 3" xfId="22481" xr:uid="{923916C4-BC76-41F2-AE6A-D16AE85C24B4}"/>
    <cellStyle name="Normal 2 5 4 2 2 7 4" xfId="30928" xr:uid="{0866A806-0638-4C4A-AFAF-3AC16705823A}"/>
    <cellStyle name="Normal 2 5 4 2 2 8" xfId="9126" xr:uid="{C2CF4AFD-4082-4555-941B-6E9759C32D63}"/>
    <cellStyle name="Normal 2 5 4 2 2 9" xfId="9817" xr:uid="{1CB459D3-CE53-47EC-B057-700CEBDE839D}"/>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16592" xr:uid="{5C7F25FD-D6AE-4834-A263-5D07944A0267}"/>
    <cellStyle name="Normal 2 5 4 2 3 2 2 3" xfId="25039" xr:uid="{EE3302C6-71D7-471B-BF55-7148DDE69F9B}"/>
    <cellStyle name="Normal 2 5 4 2 3 2 2 4" xfId="33486" xr:uid="{70AF539C-33DA-4389-8D1C-01206E3A0E27}"/>
    <cellStyle name="Normal 2 5 4 2 3 2 3" xfId="12375" xr:uid="{540FA394-747A-4D15-8096-CAF00952EB56}"/>
    <cellStyle name="Normal 2 5 4 2 3 2 4" xfId="20822" xr:uid="{66AF5AE0-DC6E-49D2-B0D4-6325B03AD177}"/>
    <cellStyle name="Normal 2 5 4 2 3 2 5" xfId="29269" xr:uid="{90FA5F04-EA01-405A-BC7B-3819D3F7FE0F}"/>
    <cellStyle name="Normal 2 5 4 2 3 3" xfId="5121" xr:uid="{00000000-0005-0000-0000-00002E110000}"/>
    <cellStyle name="Normal 2 5 4 2 3 3 2" xfId="14447" xr:uid="{BD6AB5A2-8C64-4C53-B754-5EAF5409E004}"/>
    <cellStyle name="Normal 2 5 4 2 3 3 3" xfId="22894" xr:uid="{C16A9B02-AED0-4338-9BD2-E8A27B1959EC}"/>
    <cellStyle name="Normal 2 5 4 2 3 3 4" xfId="31341" xr:uid="{704F6F6D-9B29-4D1B-82D9-7A362772A10B}"/>
    <cellStyle name="Normal 2 5 4 2 3 4" xfId="9344" xr:uid="{207B8A34-09D9-4349-A9C7-5A5A998C6B6F}"/>
    <cellStyle name="Normal 2 5 4 2 3 5" xfId="10230" xr:uid="{973E24A2-56C3-4292-8310-D266BB79B3C1}"/>
    <cellStyle name="Normal 2 5 4 2 3 6" xfId="18677" xr:uid="{9056AB21-1C1A-4258-B6F8-329BD2E9791B}"/>
    <cellStyle name="Normal 2 5 4 2 3 7" xfId="27124" xr:uid="{C19392C9-5B2F-4F1E-92CB-7AFE4F974FAF}"/>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17005" xr:uid="{3E643FEC-621A-49AD-877C-FB8E9B3143C6}"/>
    <cellStyle name="Normal 2 5 4 2 4 2 2 3" xfId="25452" xr:uid="{21192D61-3786-428C-9C44-46CA18A945C4}"/>
    <cellStyle name="Normal 2 5 4 2 4 2 2 4" xfId="33899" xr:uid="{6B9FD257-CBB2-4E5C-BB0E-F6D340A2BEDD}"/>
    <cellStyle name="Normal 2 5 4 2 4 2 3" xfId="12788" xr:uid="{9C448557-8D09-4003-A71E-919A27B2D018}"/>
    <cellStyle name="Normal 2 5 4 2 4 2 4" xfId="21235" xr:uid="{4C58C759-1CBC-4232-AF23-07DF5029AE48}"/>
    <cellStyle name="Normal 2 5 4 2 4 2 5" xfId="29682" xr:uid="{15E53E0A-84C1-4DFF-B192-8BE704F65674}"/>
    <cellStyle name="Normal 2 5 4 2 4 3" xfId="5534" xr:uid="{00000000-0005-0000-0000-000032110000}"/>
    <cellStyle name="Normal 2 5 4 2 4 3 2" xfId="14860" xr:uid="{6FA32673-1AF0-408A-A398-127D254B3760}"/>
    <cellStyle name="Normal 2 5 4 2 4 3 3" xfId="23307" xr:uid="{629FD3FE-F963-4C37-B6AE-EE9173210AA9}"/>
    <cellStyle name="Normal 2 5 4 2 4 3 4" xfId="31754" xr:uid="{EE8076AB-6941-42D7-A5B4-2E5CD57FCBDA}"/>
    <cellStyle name="Normal 2 5 4 2 4 4" xfId="10643" xr:uid="{3BCCD478-6440-434B-B59B-1F8AD5251960}"/>
    <cellStyle name="Normal 2 5 4 2 4 5" xfId="19090" xr:uid="{5639AF03-F862-41C7-8573-AE7B23810B35}"/>
    <cellStyle name="Normal 2 5 4 2 4 6" xfId="27537" xr:uid="{70DEAE78-482B-49D8-B927-08BAE00B16FA}"/>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17418" xr:uid="{DE74FD4F-FAF9-46B1-BBBA-DFCB23888285}"/>
    <cellStyle name="Normal 2 5 4 2 5 2 2 3" xfId="25865" xr:uid="{A94268CC-D380-4AA6-8783-BFEEC09CEC64}"/>
    <cellStyle name="Normal 2 5 4 2 5 2 2 4" xfId="34312" xr:uid="{3D59D240-1122-4FC5-824B-339A36938CD0}"/>
    <cellStyle name="Normal 2 5 4 2 5 2 3" xfId="13201" xr:uid="{D1A93B18-4F39-4D5D-9099-037F2279A4F1}"/>
    <cellStyle name="Normal 2 5 4 2 5 2 4" xfId="21648" xr:uid="{A5528F33-1D74-455E-A98D-F92314D8B199}"/>
    <cellStyle name="Normal 2 5 4 2 5 2 5" xfId="30095" xr:uid="{F4191119-EC99-43D7-9594-7C3CC009339C}"/>
    <cellStyle name="Normal 2 5 4 2 5 3" xfId="5947" xr:uid="{00000000-0005-0000-0000-000036110000}"/>
    <cellStyle name="Normal 2 5 4 2 5 3 2" xfId="15273" xr:uid="{1C1A8214-CFDA-475F-ACB4-34985CD17EAB}"/>
    <cellStyle name="Normal 2 5 4 2 5 3 3" xfId="23720" xr:uid="{A638635D-5FD8-44ED-80EA-CF3E9FA68CB5}"/>
    <cellStyle name="Normal 2 5 4 2 5 3 4" xfId="32167" xr:uid="{FB290BB5-5D37-4700-B48F-B643D7F53984}"/>
    <cellStyle name="Normal 2 5 4 2 5 4" xfId="11056" xr:uid="{D765F1DC-7E55-41D0-99E8-6FBB7C7BDFE1}"/>
    <cellStyle name="Normal 2 5 4 2 5 5" xfId="19503" xr:uid="{7FDDCD86-E50F-4900-B997-52A00140AC2D}"/>
    <cellStyle name="Normal 2 5 4 2 5 6" xfId="27950" xr:uid="{BA54CF7D-ABD7-4AA1-92A6-E6080710BE82}"/>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17831" xr:uid="{F25CC56D-0E36-44EF-A628-53A49EDAE865}"/>
    <cellStyle name="Normal 2 5 4 2 6 2 2 3" xfId="26278" xr:uid="{5484832A-AD69-466D-873D-137C00A2165E}"/>
    <cellStyle name="Normal 2 5 4 2 6 2 2 4" xfId="34725" xr:uid="{1E14E321-0742-4A59-BB57-D36047003BEF}"/>
    <cellStyle name="Normal 2 5 4 2 6 2 3" xfId="13614" xr:uid="{C5C62388-6A79-42E4-9522-F4AB50696739}"/>
    <cellStyle name="Normal 2 5 4 2 6 2 4" xfId="22061" xr:uid="{5E18B2D5-9F17-4538-BF3D-B75D4613A190}"/>
    <cellStyle name="Normal 2 5 4 2 6 2 5" xfId="30508" xr:uid="{A53B4A87-3171-4065-B8A8-40579485C591}"/>
    <cellStyle name="Normal 2 5 4 2 6 3" xfId="6360" xr:uid="{00000000-0005-0000-0000-00003A110000}"/>
    <cellStyle name="Normal 2 5 4 2 6 3 2" xfId="15686" xr:uid="{12938B7A-EF48-4658-B6DE-C713D858272A}"/>
    <cellStyle name="Normal 2 5 4 2 6 3 3" xfId="24133" xr:uid="{ED6EFE02-6435-4126-98D8-0233077C350E}"/>
    <cellStyle name="Normal 2 5 4 2 6 3 4" xfId="32580" xr:uid="{3717F097-1B9F-424B-AE90-663D4DDF424F}"/>
    <cellStyle name="Normal 2 5 4 2 6 4" xfId="11469" xr:uid="{4B7C3E17-8466-4007-ADAD-C36FE6D4EC07}"/>
    <cellStyle name="Normal 2 5 4 2 6 5" xfId="19916" xr:uid="{AE22ADD9-5947-4954-BB57-9F62FC808B87}"/>
    <cellStyle name="Normal 2 5 4 2 6 6" xfId="28363" xr:uid="{51FE1B63-1760-4F7D-9D2E-E2F31B83E93E}"/>
    <cellStyle name="Normal 2 5 4 2 7" xfId="2490" xr:uid="{00000000-0005-0000-0000-00003B110000}"/>
    <cellStyle name="Normal 2 5 4 2 7 2" xfId="6773" xr:uid="{00000000-0005-0000-0000-00003C110000}"/>
    <cellStyle name="Normal 2 5 4 2 7 2 2" xfId="16099" xr:uid="{698DB02C-9826-4CE1-BD0D-43AB83AE6A96}"/>
    <cellStyle name="Normal 2 5 4 2 7 2 3" xfId="24546" xr:uid="{C6A82A72-5DF0-43B5-88D2-34A568F8950F}"/>
    <cellStyle name="Normal 2 5 4 2 7 2 4" xfId="32993" xr:uid="{D352C15A-6D57-46E3-8475-C293F6151F53}"/>
    <cellStyle name="Normal 2 5 4 2 7 3" xfId="11882" xr:uid="{FE719935-C3D2-480E-B131-4CA1CFD7743C}"/>
    <cellStyle name="Normal 2 5 4 2 7 4" xfId="20329" xr:uid="{AF794632-18C8-4B07-BAE0-B1044DED9E57}"/>
    <cellStyle name="Normal 2 5 4 2 7 5" xfId="28776" xr:uid="{D996062E-E209-4ED4-9D7C-4D7B5A08A10F}"/>
    <cellStyle name="Normal 2 5 4 2 8" xfId="4707" xr:uid="{00000000-0005-0000-0000-00003D110000}"/>
    <cellStyle name="Normal 2 5 4 2 8 2" xfId="14033" xr:uid="{226421F7-B7C8-4A47-A6E5-F3547330B5AB}"/>
    <cellStyle name="Normal 2 5 4 2 8 3" xfId="22480" xr:uid="{7DD3B41D-7A2E-4836-A0F3-89BB668C3C47}"/>
    <cellStyle name="Normal 2 5 4 2 8 4" xfId="30927" xr:uid="{2FC00B51-238C-409A-9945-0BE10CCB5CEE}"/>
    <cellStyle name="Normal 2 5 4 2 9" xfId="8919" xr:uid="{2A8C96F6-0F22-4271-BCA3-7E5B2E35A54F}"/>
    <cellStyle name="Normal 2 5 4 3" xfId="321" xr:uid="{00000000-0005-0000-0000-00003E110000}"/>
    <cellStyle name="Normal 2 5 4 3 10" xfId="18265" xr:uid="{2013F007-10BA-49ED-9192-0EE4564A0AF4}"/>
    <cellStyle name="Normal 2 5 4 3 11" xfId="26712" xr:uid="{C7BCD982-EFC3-40DE-AB3A-73E18F95EB54}"/>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16594" xr:uid="{710ACB74-A7E6-4683-80BF-5087DB6A27F8}"/>
    <cellStyle name="Normal 2 5 4 3 2 2 2 3" xfId="25041" xr:uid="{AEFEF1D8-993A-433F-A4DA-F984F992A0C6}"/>
    <cellStyle name="Normal 2 5 4 3 2 2 2 4" xfId="33488" xr:uid="{5DD396DD-E5CE-4458-B513-5BE62E44A9CD}"/>
    <cellStyle name="Normal 2 5 4 3 2 2 3" xfId="12377" xr:uid="{79720B4D-6E05-4BF5-B7DA-B4D536CF6C86}"/>
    <cellStyle name="Normal 2 5 4 3 2 2 4" xfId="20824" xr:uid="{933E4FEF-F5AF-4C3D-AB5F-5627B7D43B59}"/>
    <cellStyle name="Normal 2 5 4 3 2 2 5" xfId="29271" xr:uid="{8E9045BE-2ABD-4603-9413-3017BB1589E3}"/>
    <cellStyle name="Normal 2 5 4 3 2 3" xfId="5123" xr:uid="{00000000-0005-0000-0000-000042110000}"/>
    <cellStyle name="Normal 2 5 4 3 2 3 2" xfId="14449" xr:uid="{77783832-4368-4110-A10A-A26B8C0BA9F2}"/>
    <cellStyle name="Normal 2 5 4 3 2 3 3" xfId="22896" xr:uid="{4A5E8A2A-4D1E-44BF-AAE7-367832F86B09}"/>
    <cellStyle name="Normal 2 5 4 3 2 3 4" xfId="31343" xr:uid="{6D69FFD6-CBBF-473B-B9D2-4C9299314149}"/>
    <cellStyle name="Normal 2 5 4 3 2 4" xfId="9448" xr:uid="{0C1738F2-697E-4430-8A3F-E67747B3EDB0}"/>
    <cellStyle name="Normal 2 5 4 3 2 5" xfId="10232" xr:uid="{A85FA3F5-9D9D-497C-986B-6C04C091600F}"/>
    <cellStyle name="Normal 2 5 4 3 2 6" xfId="18679" xr:uid="{C5D8CAE7-C221-46FF-9E2D-848AE18FEC8C}"/>
    <cellStyle name="Normal 2 5 4 3 2 7" xfId="27126" xr:uid="{D05BC5FF-BBCB-4A34-A891-DD1AED9CAC38}"/>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17007" xr:uid="{6BAC1F51-6100-4786-B1C6-307519E78DA5}"/>
    <cellStyle name="Normal 2 5 4 3 3 2 2 3" xfId="25454" xr:uid="{BB18167A-012D-4258-A33F-56FB623C5362}"/>
    <cellStyle name="Normal 2 5 4 3 3 2 2 4" xfId="33901" xr:uid="{23698D62-12CF-4FEC-B77F-6A4A2808542F}"/>
    <cellStyle name="Normal 2 5 4 3 3 2 3" xfId="12790" xr:uid="{8110891C-4B9E-40BD-B72C-8129C70B5E95}"/>
    <cellStyle name="Normal 2 5 4 3 3 2 4" xfId="21237" xr:uid="{946E882B-F2B2-4ADD-8F50-AA73F841412F}"/>
    <cellStyle name="Normal 2 5 4 3 3 2 5" xfId="29684" xr:uid="{1C75E45D-A2B2-4D46-B239-07946FBFD165}"/>
    <cellStyle name="Normal 2 5 4 3 3 3" xfId="5536" xr:uid="{00000000-0005-0000-0000-000046110000}"/>
    <cellStyle name="Normal 2 5 4 3 3 3 2" xfId="14862" xr:uid="{FF4361C0-9108-40A1-8408-C4C60913D0A2}"/>
    <cellStyle name="Normal 2 5 4 3 3 3 3" xfId="23309" xr:uid="{4BC4DD2F-E599-417E-A85E-F2D353BA9E78}"/>
    <cellStyle name="Normal 2 5 4 3 3 3 4" xfId="31756" xr:uid="{16B94B7F-716E-4CAD-ABFB-C822AFE95279}"/>
    <cellStyle name="Normal 2 5 4 3 3 4" xfId="10645" xr:uid="{22072DFC-E733-4B6C-9016-0644C1C8E6B3}"/>
    <cellStyle name="Normal 2 5 4 3 3 5" xfId="19092" xr:uid="{B09EC19E-1E00-41ED-8A79-1871B2562113}"/>
    <cellStyle name="Normal 2 5 4 3 3 6" xfId="27539" xr:uid="{9390604E-A37D-432A-9059-BC8BB1CE5B02}"/>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17420" xr:uid="{9E95FAE0-0F8E-4BCF-9B5E-7FA33D46B882}"/>
    <cellStyle name="Normal 2 5 4 3 4 2 2 3" xfId="25867" xr:uid="{A835AFC0-1FB7-4B18-A0A1-262186A55F29}"/>
    <cellStyle name="Normal 2 5 4 3 4 2 2 4" xfId="34314" xr:uid="{1A0EA9AB-3CBF-4AE5-9C19-B7BA28B60CFF}"/>
    <cellStyle name="Normal 2 5 4 3 4 2 3" xfId="13203" xr:uid="{A830019C-B82D-434C-A404-8C61E53FB58D}"/>
    <cellStyle name="Normal 2 5 4 3 4 2 4" xfId="21650" xr:uid="{C3AB8E78-53BD-4685-A065-3D8B79FD7E08}"/>
    <cellStyle name="Normal 2 5 4 3 4 2 5" xfId="30097" xr:uid="{A13B40E2-8EE5-4C82-AE46-BD07C0A7AD03}"/>
    <cellStyle name="Normal 2 5 4 3 4 3" xfId="5949" xr:uid="{00000000-0005-0000-0000-00004A110000}"/>
    <cellStyle name="Normal 2 5 4 3 4 3 2" xfId="15275" xr:uid="{F3889671-DD42-4F46-AC8F-A40BE32F2907}"/>
    <cellStyle name="Normal 2 5 4 3 4 3 3" xfId="23722" xr:uid="{DFDF1D35-9844-4447-B5E6-3927CA56BCBB}"/>
    <cellStyle name="Normal 2 5 4 3 4 3 4" xfId="32169" xr:uid="{0ECEA2DC-1A61-4ECD-88BD-2371F44A28C4}"/>
    <cellStyle name="Normal 2 5 4 3 4 4" xfId="11058" xr:uid="{260D4D2C-9755-4BC3-9622-3FA52F79FD33}"/>
    <cellStyle name="Normal 2 5 4 3 4 5" xfId="19505" xr:uid="{F40531B7-139F-4D12-9CCD-D689BD890CEE}"/>
    <cellStyle name="Normal 2 5 4 3 4 6" xfId="27952" xr:uid="{1DC8BD70-C56C-40F6-98E8-5C9281A2A82A}"/>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17833" xr:uid="{0A5AC95A-C64B-445C-962E-051ADEA3398E}"/>
    <cellStyle name="Normal 2 5 4 3 5 2 2 3" xfId="26280" xr:uid="{8C5A2CBC-1BD7-4B4C-9F4B-FBA842A6D287}"/>
    <cellStyle name="Normal 2 5 4 3 5 2 2 4" xfId="34727" xr:uid="{D387A953-D7FD-497D-9762-BAB9D07931F7}"/>
    <cellStyle name="Normal 2 5 4 3 5 2 3" xfId="13616" xr:uid="{D92C4EE7-B804-49C6-B9BE-E9170F874FF0}"/>
    <cellStyle name="Normal 2 5 4 3 5 2 4" xfId="22063" xr:uid="{EB35049A-7DFA-498D-A288-768AECBB506E}"/>
    <cellStyle name="Normal 2 5 4 3 5 2 5" xfId="30510" xr:uid="{31BB5D3B-E9E7-42D2-AFC8-C66B5E8B4ABF}"/>
    <cellStyle name="Normal 2 5 4 3 5 3" xfId="6362" xr:uid="{00000000-0005-0000-0000-00004E110000}"/>
    <cellStyle name="Normal 2 5 4 3 5 3 2" xfId="15688" xr:uid="{59707D27-680A-4448-887A-084AC3117444}"/>
    <cellStyle name="Normal 2 5 4 3 5 3 3" xfId="24135" xr:uid="{3B0E0534-B5C9-473E-9D29-A5E2015B7025}"/>
    <cellStyle name="Normal 2 5 4 3 5 3 4" xfId="32582" xr:uid="{106C1300-DA82-470B-90D7-7BC7E2BE25C1}"/>
    <cellStyle name="Normal 2 5 4 3 5 4" xfId="11471" xr:uid="{E0081175-B40F-46F1-9920-04408F948E63}"/>
    <cellStyle name="Normal 2 5 4 3 5 5" xfId="19918" xr:uid="{230154CD-0D13-44D6-BF13-7F954B406950}"/>
    <cellStyle name="Normal 2 5 4 3 5 6" xfId="28365" xr:uid="{6DBE5C8E-4F0D-48B8-9918-427D1C136D87}"/>
    <cellStyle name="Normal 2 5 4 3 6" xfId="2492" xr:uid="{00000000-0005-0000-0000-00004F110000}"/>
    <cellStyle name="Normal 2 5 4 3 6 2" xfId="6775" xr:uid="{00000000-0005-0000-0000-000050110000}"/>
    <cellStyle name="Normal 2 5 4 3 6 2 2" xfId="16101" xr:uid="{98574C77-BAE9-4786-8D28-BC9E1D9B2412}"/>
    <cellStyle name="Normal 2 5 4 3 6 2 3" xfId="24548" xr:uid="{2888E370-8882-43BA-906F-601ACDFB3C9B}"/>
    <cellStyle name="Normal 2 5 4 3 6 2 4" xfId="32995" xr:uid="{CFCF5ACE-3ABD-436A-B014-DABEFE6F5815}"/>
    <cellStyle name="Normal 2 5 4 3 6 3" xfId="11884" xr:uid="{6CCA42E8-E238-4BF5-848F-B50A9959998D}"/>
    <cellStyle name="Normal 2 5 4 3 6 4" xfId="20331" xr:uid="{26CA3909-B508-4E5F-9F00-F24C26F7B911}"/>
    <cellStyle name="Normal 2 5 4 3 6 5" xfId="28778" xr:uid="{DDBE2F00-CA6B-4EAF-8A9B-E7C5674F869C}"/>
    <cellStyle name="Normal 2 5 4 3 7" xfId="4709" xr:uid="{00000000-0005-0000-0000-000051110000}"/>
    <cellStyle name="Normal 2 5 4 3 7 2" xfId="14035" xr:uid="{E88761C0-103B-485A-BF25-83DDCB5998B7}"/>
    <cellStyle name="Normal 2 5 4 3 7 3" xfId="22482" xr:uid="{A9ECE50E-D704-4326-87BB-3864B5C378DB}"/>
    <cellStyle name="Normal 2 5 4 3 7 4" xfId="30929" xr:uid="{22BFECA9-6B59-4910-9772-BF6354824CF5}"/>
    <cellStyle name="Normal 2 5 4 3 8" xfId="9023" xr:uid="{9B869639-3DD4-4511-AD70-D5125D34938F}"/>
    <cellStyle name="Normal 2 5 4 3 9" xfId="9818" xr:uid="{AEC0601A-C39A-4354-A816-40271CA4397B}"/>
    <cellStyle name="Normal 2 5 4 4" xfId="804" xr:uid="{00000000-0005-0000-0000-000052110000}"/>
    <cellStyle name="Normal 2 5 4 4 2" xfId="3043" xr:uid="{00000000-0005-0000-0000-000053110000}"/>
    <cellStyle name="Normal 2 5 4 4 2 2" xfId="7265" xr:uid="{00000000-0005-0000-0000-000054110000}"/>
    <cellStyle name="Normal 2 5 4 4 2 2 2" xfId="16591" xr:uid="{3811F285-28D4-4B4A-9510-32134B55B8ED}"/>
    <cellStyle name="Normal 2 5 4 4 2 2 3" xfId="25038" xr:uid="{9A94AE5D-96AA-4D88-A36B-0ED20A8C0586}"/>
    <cellStyle name="Normal 2 5 4 4 2 2 4" xfId="33485" xr:uid="{DBABA11A-DE09-4A62-9EEB-FF0C89C52FA1}"/>
    <cellStyle name="Normal 2 5 4 4 2 3" xfId="12374" xr:uid="{6A6A9A01-8813-4C78-9C8B-0CDA24D45ED0}"/>
    <cellStyle name="Normal 2 5 4 4 2 4" xfId="20821" xr:uid="{9BA5B3BD-1863-4B46-BBA8-638E83D720C0}"/>
    <cellStyle name="Normal 2 5 4 4 2 5" xfId="29268" xr:uid="{BD78EC6F-346F-4CC0-AAF2-B130B712722C}"/>
    <cellStyle name="Normal 2 5 4 4 3" xfId="5120" xr:uid="{00000000-0005-0000-0000-000055110000}"/>
    <cellStyle name="Normal 2 5 4 4 3 2" xfId="14446" xr:uid="{1581C4E0-F51C-47BA-834D-A9D0D3462171}"/>
    <cellStyle name="Normal 2 5 4 4 3 3" xfId="22893" xr:uid="{C89EDD0E-21F6-4BCE-A685-0D28C2473B5C}"/>
    <cellStyle name="Normal 2 5 4 4 3 4" xfId="31340" xr:uid="{E861F255-F6C2-4214-BBE3-4EBF3B12B825}"/>
    <cellStyle name="Normal 2 5 4 4 4" xfId="9241" xr:uid="{2BD2F05F-E4C9-46B4-B3C9-F0D081C1F38F}"/>
    <cellStyle name="Normal 2 5 4 4 5" xfId="10229" xr:uid="{2ECF1A0B-22EA-45CB-8604-BC53CA935026}"/>
    <cellStyle name="Normal 2 5 4 4 6" xfId="18676" xr:uid="{2D045790-9902-4245-B467-AE08F59BEA3E}"/>
    <cellStyle name="Normal 2 5 4 4 7" xfId="27123" xr:uid="{9E1D7E39-9856-4B51-8C1D-56839AAFF802}"/>
    <cellStyle name="Normal 2 5 4 5" xfId="1226" xr:uid="{00000000-0005-0000-0000-000056110000}"/>
    <cellStyle name="Normal 2 5 4 5 2" xfId="3456" xr:uid="{00000000-0005-0000-0000-000057110000}"/>
    <cellStyle name="Normal 2 5 4 5 2 2" xfId="7678" xr:uid="{00000000-0005-0000-0000-000058110000}"/>
    <cellStyle name="Normal 2 5 4 5 2 2 2" xfId="17004" xr:uid="{9851FDED-C218-4369-A339-8D8CFAA19885}"/>
    <cellStyle name="Normal 2 5 4 5 2 2 3" xfId="25451" xr:uid="{2B54F60F-4FE4-47D9-898C-3698D1AE2BB8}"/>
    <cellStyle name="Normal 2 5 4 5 2 2 4" xfId="33898" xr:uid="{81EA2B2D-8CB3-4084-AD7E-3C506DAA747F}"/>
    <cellStyle name="Normal 2 5 4 5 2 3" xfId="12787" xr:uid="{F5EC2010-9B3E-454C-989D-0704B822E3CF}"/>
    <cellStyle name="Normal 2 5 4 5 2 4" xfId="21234" xr:uid="{78ED0962-17A8-4DEA-9C77-5851BC169977}"/>
    <cellStyle name="Normal 2 5 4 5 2 5" xfId="29681" xr:uid="{E5DFB082-4E0C-4696-A45F-689087CD5396}"/>
    <cellStyle name="Normal 2 5 4 5 3" xfId="5533" xr:uid="{00000000-0005-0000-0000-000059110000}"/>
    <cellStyle name="Normal 2 5 4 5 3 2" xfId="14859" xr:uid="{03D88A6D-34E6-4104-A09B-C2CBBEC6CAAD}"/>
    <cellStyle name="Normal 2 5 4 5 3 3" xfId="23306" xr:uid="{4B0896C0-BCED-43C5-81F3-9FAB970C25AF}"/>
    <cellStyle name="Normal 2 5 4 5 3 4" xfId="31753" xr:uid="{CC5F82F3-CBB5-48BE-93AF-030882382AD9}"/>
    <cellStyle name="Normal 2 5 4 5 4" xfId="10642" xr:uid="{CFFFC7BF-FB82-4C07-B634-7A72548C4AB6}"/>
    <cellStyle name="Normal 2 5 4 5 5" xfId="19089" xr:uid="{FA5CAEA3-E2E5-465B-ADDB-D2E7DE7DD4BD}"/>
    <cellStyle name="Normal 2 5 4 5 6" xfId="27536" xr:uid="{3E6F5665-B180-4333-965D-701D886453B4}"/>
    <cellStyle name="Normal 2 5 4 6" xfId="1639" xr:uid="{00000000-0005-0000-0000-00005A110000}"/>
    <cellStyle name="Normal 2 5 4 6 2" xfId="3869" xr:uid="{00000000-0005-0000-0000-00005B110000}"/>
    <cellStyle name="Normal 2 5 4 6 2 2" xfId="8091" xr:uid="{00000000-0005-0000-0000-00005C110000}"/>
    <cellStyle name="Normal 2 5 4 6 2 2 2" xfId="17417" xr:uid="{44BB6F8F-3DD0-4BD1-9036-4F39262C2974}"/>
    <cellStyle name="Normal 2 5 4 6 2 2 3" xfId="25864" xr:uid="{C648ACF0-D10C-43C9-A632-82D63D8117C3}"/>
    <cellStyle name="Normal 2 5 4 6 2 2 4" xfId="34311" xr:uid="{22B3F445-ADF4-4BE1-AB86-339D7D95CB73}"/>
    <cellStyle name="Normal 2 5 4 6 2 3" xfId="13200" xr:uid="{E527DFDD-0893-4893-9475-58119E27EFCA}"/>
    <cellStyle name="Normal 2 5 4 6 2 4" xfId="21647" xr:uid="{98059A28-70F2-4F49-A85F-5C7AEC675C2B}"/>
    <cellStyle name="Normal 2 5 4 6 2 5" xfId="30094" xr:uid="{E83ADDD4-A68D-4CF5-BCFB-36EDA65843A5}"/>
    <cellStyle name="Normal 2 5 4 6 3" xfId="5946" xr:uid="{00000000-0005-0000-0000-00005D110000}"/>
    <cellStyle name="Normal 2 5 4 6 3 2" xfId="15272" xr:uid="{05F0EDD8-871A-4BCC-B076-F4746553F5FD}"/>
    <cellStyle name="Normal 2 5 4 6 3 3" xfId="23719" xr:uid="{8A9A5C0E-763C-472C-A036-4A57B52F1434}"/>
    <cellStyle name="Normal 2 5 4 6 3 4" xfId="32166" xr:uid="{CBEC6AEE-B1AA-4A21-8467-7E4664454B82}"/>
    <cellStyle name="Normal 2 5 4 6 4" xfId="11055" xr:uid="{D9B749E4-8D03-4373-B1FA-333A2A7F5B7A}"/>
    <cellStyle name="Normal 2 5 4 6 5" xfId="19502" xr:uid="{A85778C4-2116-4979-9268-4235F076E3D5}"/>
    <cellStyle name="Normal 2 5 4 6 6" xfId="27949" xr:uid="{0CD2B09C-2E21-46FB-B977-45C011E874B7}"/>
    <cellStyle name="Normal 2 5 4 7" xfId="2053" xr:uid="{00000000-0005-0000-0000-00005E110000}"/>
    <cellStyle name="Normal 2 5 4 7 2" xfId="4282" xr:uid="{00000000-0005-0000-0000-00005F110000}"/>
    <cellStyle name="Normal 2 5 4 7 2 2" xfId="8504" xr:uid="{00000000-0005-0000-0000-000060110000}"/>
    <cellStyle name="Normal 2 5 4 7 2 2 2" xfId="17830" xr:uid="{F2E11C7D-DE17-40D4-AD30-581406023E27}"/>
    <cellStyle name="Normal 2 5 4 7 2 2 3" xfId="26277" xr:uid="{049B647B-BE14-4739-A932-31EBB08215F7}"/>
    <cellStyle name="Normal 2 5 4 7 2 2 4" xfId="34724" xr:uid="{51749B8F-AD3D-4E12-BFD0-ECA800F12F48}"/>
    <cellStyle name="Normal 2 5 4 7 2 3" xfId="13613" xr:uid="{3951DC93-B4CE-4E6A-BADA-3251F74CD68B}"/>
    <cellStyle name="Normal 2 5 4 7 2 4" xfId="22060" xr:uid="{A7B4D8B4-0040-43C9-A744-899D326B0DE6}"/>
    <cellStyle name="Normal 2 5 4 7 2 5" xfId="30507" xr:uid="{6A1E12D8-1403-476E-A3B8-AA08E574A134}"/>
    <cellStyle name="Normal 2 5 4 7 3" xfId="6359" xr:uid="{00000000-0005-0000-0000-000061110000}"/>
    <cellStyle name="Normal 2 5 4 7 3 2" xfId="15685" xr:uid="{F4B2668B-80CA-478B-AF03-90054C6F7BCB}"/>
    <cellStyle name="Normal 2 5 4 7 3 3" xfId="24132" xr:uid="{73E9DFE9-74C7-449A-B0C2-F27775A6D735}"/>
    <cellStyle name="Normal 2 5 4 7 3 4" xfId="32579" xr:uid="{5D6ECE01-CE5A-444C-9CD1-EC41DDE22FCA}"/>
    <cellStyle name="Normal 2 5 4 7 4" xfId="11468" xr:uid="{1CB91208-1503-425E-99B9-16B5CA508E63}"/>
    <cellStyle name="Normal 2 5 4 7 5" xfId="19915" xr:uid="{B74D900F-D2BE-4A52-9A09-8367842967D8}"/>
    <cellStyle name="Normal 2 5 4 7 6" xfId="28362" xr:uid="{973C4023-144D-49E5-B4F0-0A26A04CF343}"/>
    <cellStyle name="Normal 2 5 4 8" xfId="2489" xr:uid="{00000000-0005-0000-0000-000062110000}"/>
    <cellStyle name="Normal 2 5 4 8 2" xfId="6772" xr:uid="{00000000-0005-0000-0000-000063110000}"/>
    <cellStyle name="Normal 2 5 4 8 2 2" xfId="16098" xr:uid="{BCD7C6DB-0A20-4841-B55C-503381AC9A20}"/>
    <cellStyle name="Normal 2 5 4 8 2 3" xfId="24545" xr:uid="{6ED561E6-2BBB-4A47-9B0B-5F610EFFF4F6}"/>
    <cellStyle name="Normal 2 5 4 8 2 4" xfId="32992" xr:uid="{6A27EA77-3864-4B52-AD5B-24A5135284C6}"/>
    <cellStyle name="Normal 2 5 4 8 3" xfId="11881" xr:uid="{C6D4CC87-8A0B-4D1E-8D42-D478E0D4316E}"/>
    <cellStyle name="Normal 2 5 4 8 4" xfId="20328" xr:uid="{EF21348D-467A-4CF3-963E-77F520BFEE20}"/>
    <cellStyle name="Normal 2 5 4 8 5" xfId="28775" xr:uid="{42DD1FAB-A8EC-4BA6-A890-93975F9C384D}"/>
    <cellStyle name="Normal 2 5 4 9" xfId="4706" xr:uid="{00000000-0005-0000-0000-000064110000}"/>
    <cellStyle name="Normal 2 5 4 9 2" xfId="14032" xr:uid="{7896F762-A185-469B-9C37-1B947DCA7A6B}"/>
    <cellStyle name="Normal 2 5 4 9 3" xfId="22479" xr:uid="{7555200D-FAA6-4500-8AC0-B5C98F53FEC2}"/>
    <cellStyle name="Normal 2 5 4 9 4" xfId="30926" xr:uid="{E1934997-FB11-4150-A223-59CD2E4C5CA4}"/>
    <cellStyle name="Normal 2 5 5" xfId="803" xr:uid="{00000000-0005-0000-0000-000065110000}"/>
    <cellStyle name="Normal 2 5 5 2" xfId="3042" xr:uid="{00000000-0005-0000-0000-000066110000}"/>
    <cellStyle name="Normal 2 5 5 2 2" xfId="7264" xr:uid="{00000000-0005-0000-0000-000067110000}"/>
    <cellStyle name="Normal 2 5 5 2 2 2" xfId="16590" xr:uid="{D21F5A5B-AA89-45CD-B592-9D74BE2AA767}"/>
    <cellStyle name="Normal 2 5 5 2 2 3" xfId="25037" xr:uid="{C3AF1922-8A20-4F08-9748-6138923ACD10}"/>
    <cellStyle name="Normal 2 5 5 2 2 4" xfId="33484" xr:uid="{D35EA552-10F7-414E-9518-9B3542A011AE}"/>
    <cellStyle name="Normal 2 5 5 2 3" xfId="12373" xr:uid="{B4666C42-B0DA-4AFF-9EAB-FB1E497297D4}"/>
    <cellStyle name="Normal 2 5 5 2 4" xfId="20820" xr:uid="{1510EB65-BFAA-42AE-9932-C16447CE47B3}"/>
    <cellStyle name="Normal 2 5 5 2 5" xfId="29267" xr:uid="{3B8061D0-1ACE-409A-9959-E37A1844F005}"/>
    <cellStyle name="Normal 2 5 5 3" xfId="5119" xr:uid="{00000000-0005-0000-0000-000068110000}"/>
    <cellStyle name="Normal 2 5 5 3 2" xfId="14445" xr:uid="{38200FA0-9E3D-416C-940E-E78242C2E02F}"/>
    <cellStyle name="Normal 2 5 5 3 3" xfId="22892" xr:uid="{F5E13CB0-1CD2-41D2-89B3-3F4F9F6B473D}"/>
    <cellStyle name="Normal 2 5 5 3 4" xfId="31339" xr:uid="{59BA1523-EF90-434E-ACE7-2197E630337A}"/>
    <cellStyle name="Normal 2 5 5 4" xfId="9606" xr:uid="{3AE4D77A-44EE-40C2-9F71-05FBDE2746B2}"/>
    <cellStyle name="Normal 2 5 5 5" xfId="10228" xr:uid="{5BD69191-AA94-47ED-A74D-6C8EA61174D0}"/>
    <cellStyle name="Normal 2 5 5 6" xfId="18675" xr:uid="{424CE527-0B14-4504-87A2-2F664BDB16EC}"/>
    <cellStyle name="Normal 2 5 5 7" xfId="27122" xr:uid="{2117C745-30A6-4A0B-98BD-16BED299FFE1}"/>
    <cellStyle name="Normal 2 5 6" xfId="1225" xr:uid="{00000000-0005-0000-0000-000069110000}"/>
    <cellStyle name="Normal 2 5 6 2" xfId="3455" xr:uid="{00000000-0005-0000-0000-00006A110000}"/>
    <cellStyle name="Normal 2 5 6 2 2" xfId="7677" xr:uid="{00000000-0005-0000-0000-00006B110000}"/>
    <cellStyle name="Normal 2 5 6 2 2 2" xfId="17003" xr:uid="{329A04C4-4B2B-4773-9E4A-6434B8FEBDBB}"/>
    <cellStyle name="Normal 2 5 6 2 2 3" xfId="25450" xr:uid="{3F923E11-95BB-475A-A283-F20394F4B0C9}"/>
    <cellStyle name="Normal 2 5 6 2 2 4" xfId="33897" xr:uid="{B7F80EEA-895E-4CB4-9802-3F41A43A81E1}"/>
    <cellStyle name="Normal 2 5 6 2 3" xfId="12786" xr:uid="{DDCE15B0-028D-4AF4-BA91-3A86792537BE}"/>
    <cellStyle name="Normal 2 5 6 2 4" xfId="21233" xr:uid="{4BE1E86B-4566-41D5-A893-D3B3F04FD712}"/>
    <cellStyle name="Normal 2 5 6 2 5" xfId="29680" xr:uid="{14C74B0D-06EC-4289-8430-7A4DC164188C}"/>
    <cellStyle name="Normal 2 5 6 3" xfId="5532" xr:uid="{00000000-0005-0000-0000-00006C110000}"/>
    <cellStyle name="Normal 2 5 6 3 2" xfId="14858" xr:uid="{A0A0516D-39CC-4446-873D-1784603275BC}"/>
    <cellStyle name="Normal 2 5 6 3 3" xfId="23305" xr:uid="{AA7B3D19-BAEC-4AA6-AD05-7C4C9855084C}"/>
    <cellStyle name="Normal 2 5 6 3 4" xfId="31752" xr:uid="{EE5E2C0B-0027-41E4-9377-9FB21977914C}"/>
    <cellStyle name="Normal 2 5 6 4" xfId="10641" xr:uid="{5E629016-BEFF-4720-8079-B7597B729B8D}"/>
    <cellStyle name="Normal 2 5 6 5" xfId="19088" xr:uid="{021554E4-D551-4C09-AD74-1EC28DBB56D9}"/>
    <cellStyle name="Normal 2 5 6 6" xfId="27535" xr:uid="{BF9C7D1B-A567-4659-A0B2-895F13CF6C11}"/>
    <cellStyle name="Normal 2 5 7" xfId="1638" xr:uid="{00000000-0005-0000-0000-00006D110000}"/>
    <cellStyle name="Normal 2 5 7 2" xfId="3868" xr:uid="{00000000-0005-0000-0000-00006E110000}"/>
    <cellStyle name="Normal 2 5 7 2 2" xfId="8090" xr:uid="{00000000-0005-0000-0000-00006F110000}"/>
    <cellStyle name="Normal 2 5 7 2 2 2" xfId="17416" xr:uid="{12DA8052-2814-49A1-8E5F-3426E07CF417}"/>
    <cellStyle name="Normal 2 5 7 2 2 3" xfId="25863" xr:uid="{D23AD6F7-6BE4-46ED-B0EE-8249BC5BB10B}"/>
    <cellStyle name="Normal 2 5 7 2 2 4" xfId="34310" xr:uid="{ABBAED49-98F7-4A41-B3A2-B22F61C4007B}"/>
    <cellStyle name="Normal 2 5 7 2 3" xfId="13199" xr:uid="{044B2048-0AE6-4CE5-BCEE-7E14F6C4F526}"/>
    <cellStyle name="Normal 2 5 7 2 4" xfId="21646" xr:uid="{39129570-3FF1-4466-B4FA-2FE452421320}"/>
    <cellStyle name="Normal 2 5 7 2 5" xfId="30093" xr:uid="{C81B5C0F-8371-454B-87C7-6ADEDB3083CF}"/>
    <cellStyle name="Normal 2 5 7 3" xfId="5945" xr:uid="{00000000-0005-0000-0000-000070110000}"/>
    <cellStyle name="Normal 2 5 7 3 2" xfId="15271" xr:uid="{474508FD-8E2C-4C9B-B129-6642D9DC4002}"/>
    <cellStyle name="Normal 2 5 7 3 3" xfId="23718" xr:uid="{49A2733D-977C-4B88-BD68-E586727F1965}"/>
    <cellStyle name="Normal 2 5 7 3 4" xfId="32165" xr:uid="{F3B8477A-632F-43E9-BCE5-F182D722B45B}"/>
    <cellStyle name="Normal 2 5 7 4" xfId="11054" xr:uid="{CCC20FFA-D637-40B7-951D-181A0075D39D}"/>
    <cellStyle name="Normal 2 5 7 5" xfId="19501" xr:uid="{6B9A6EEC-5FBC-48D8-BDA8-E3FA9CFCC5B8}"/>
    <cellStyle name="Normal 2 5 7 6" xfId="27948" xr:uid="{46E24967-790B-4535-B9C5-3573E9347179}"/>
    <cellStyle name="Normal 2 5 8" xfId="2052" xr:uid="{00000000-0005-0000-0000-000071110000}"/>
    <cellStyle name="Normal 2 5 8 2" xfId="4281" xr:uid="{00000000-0005-0000-0000-000072110000}"/>
    <cellStyle name="Normal 2 5 8 2 2" xfId="8503" xr:uid="{00000000-0005-0000-0000-000073110000}"/>
    <cellStyle name="Normal 2 5 8 2 2 2" xfId="17829" xr:uid="{6360B225-AC44-41B4-8814-645EF5894442}"/>
    <cellStyle name="Normal 2 5 8 2 2 3" xfId="26276" xr:uid="{6B79A5D7-6A91-4EEE-BE3E-C5016A1E8DF5}"/>
    <cellStyle name="Normal 2 5 8 2 2 4" xfId="34723" xr:uid="{7DD62D05-0044-486F-B815-8214B4F1AC3A}"/>
    <cellStyle name="Normal 2 5 8 2 3" xfId="13612" xr:uid="{6453D9F1-BE12-4C56-9EE0-150403F49D0F}"/>
    <cellStyle name="Normal 2 5 8 2 4" xfId="22059" xr:uid="{79F7CF4E-7EB4-4096-BFEB-8705D69FE239}"/>
    <cellStyle name="Normal 2 5 8 2 5" xfId="30506" xr:uid="{CA11F1CF-15D3-472E-8C27-4C357688DF34}"/>
    <cellStyle name="Normal 2 5 8 3" xfId="6358" xr:uid="{00000000-0005-0000-0000-000074110000}"/>
    <cellStyle name="Normal 2 5 8 3 2" xfId="15684" xr:uid="{52D738A5-2815-491E-A739-3FBE69FC6C3F}"/>
    <cellStyle name="Normal 2 5 8 3 3" xfId="24131" xr:uid="{40575BFD-7908-42A6-9B38-00362A16068C}"/>
    <cellStyle name="Normal 2 5 8 3 4" xfId="32578" xr:uid="{5C381F84-71D8-4245-8DE6-3767F3DAF134}"/>
    <cellStyle name="Normal 2 5 8 4" xfId="11467" xr:uid="{B32B03FE-4F07-43D7-82AA-BDE68501658D}"/>
    <cellStyle name="Normal 2 5 8 5" xfId="19914" xr:uid="{67B44248-050F-48B7-A06A-564862B5EECB}"/>
    <cellStyle name="Normal 2 5 8 6" xfId="28361" xr:uid="{33CDF414-647D-4827-B177-D6D235136AFF}"/>
    <cellStyle name="Normal 2 5 9" xfId="2488" xr:uid="{00000000-0005-0000-0000-000075110000}"/>
    <cellStyle name="Normal 2 5 9 2" xfId="6771" xr:uid="{00000000-0005-0000-0000-000076110000}"/>
    <cellStyle name="Normal 2 5 9 2 2" xfId="16097" xr:uid="{ABA4F92E-DD28-4925-9836-3BD5FE2CAB66}"/>
    <cellStyle name="Normal 2 5 9 2 3" xfId="24544" xr:uid="{83534DDE-C427-49FC-A1CF-8EB4B4F9024C}"/>
    <cellStyle name="Normal 2 5 9 2 4" xfId="32991" xr:uid="{B68C1586-62AE-4CE5-8FF1-E6137A85A582}"/>
    <cellStyle name="Normal 2 5 9 3" xfId="11880" xr:uid="{98A6E57E-A6E4-482E-8E7E-B0BC939E78C2}"/>
    <cellStyle name="Normal 2 5 9 4" xfId="20327" xr:uid="{58BC1C88-384B-493B-A7A4-7FED70A2DC5B}"/>
    <cellStyle name="Normal 2 5 9 5" xfId="28774" xr:uid="{D9AE31C2-0DD5-465E-9AD6-E0C0C0CBE60B}"/>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10" xfId="9819" xr:uid="{2E42B70E-5E87-49EC-AE78-126F354676D9}"/>
    <cellStyle name="Normal 3 2 11" xfId="18266" xr:uid="{153057E9-C516-44B8-912D-E10F92B2A5E4}"/>
    <cellStyle name="Normal 3 2 12" xfId="26713" xr:uid="{605E710E-0B1A-4CEA-9A38-F037350F5A4D}"/>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11" xfId="9820" xr:uid="{DF27DB37-F132-47B6-8395-A9B10AE24CC4}"/>
    <cellStyle name="Normal 3 2 3 12" xfId="18267" xr:uid="{47BEFB06-4261-42AB-8C4C-15441F102462}"/>
    <cellStyle name="Normal 3 2 3 13" xfId="26714" xr:uid="{4A4B4B83-A2E4-4A73-812E-AB6F68DF67EB}"/>
    <cellStyle name="Normal 3 2 3 2" xfId="327" xr:uid="{00000000-0005-0000-0000-00007F110000}"/>
    <cellStyle name="Normal 3 2 3 2 10" xfId="9821" xr:uid="{A52EC89E-90E4-45DC-A5BF-DDDA06825C7E}"/>
    <cellStyle name="Normal 3 2 3 2 11" xfId="18268" xr:uid="{E85DA06A-6D92-40E9-803C-7CBD01D65D81}"/>
    <cellStyle name="Normal 3 2 3 2 12" xfId="26715" xr:uid="{CF6DE8E3-7EA5-4DB7-9614-08BC101C726F}"/>
    <cellStyle name="Normal 3 2 3 2 2" xfId="328" xr:uid="{00000000-0005-0000-0000-000080110000}"/>
    <cellStyle name="Normal 3 2 3 2 2 10" xfId="18269" xr:uid="{15FBAB17-810E-4598-8E00-75A7230DA83E}"/>
    <cellStyle name="Normal 3 2 3 2 2 11" xfId="26716" xr:uid="{8154B417-9329-423E-B120-F3F66E0FE4F8}"/>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16598" xr:uid="{691E5B7B-B8AB-4CB2-BCCE-CE503718B9F5}"/>
    <cellStyle name="Normal 3 2 3 2 2 2 2 2 3" xfId="25045" xr:uid="{6FA1D29A-93DC-4599-A2AF-0A0D7C254ED1}"/>
    <cellStyle name="Normal 3 2 3 2 2 2 2 2 4" xfId="33492" xr:uid="{9680FA8C-5182-49A3-8262-5F720F8A33F5}"/>
    <cellStyle name="Normal 3 2 3 2 2 2 2 3" xfId="12381" xr:uid="{BF5E6FCE-CEE1-4705-94AF-7A8A795B8E24}"/>
    <cellStyle name="Normal 3 2 3 2 2 2 2 4" xfId="20828" xr:uid="{314E49D8-A2A4-4F6D-B697-FB5AB170B9C2}"/>
    <cellStyle name="Normal 3 2 3 2 2 2 2 5" xfId="29275" xr:uid="{3A52C6A4-A5F7-4CA5-A012-56B09D32BB08}"/>
    <cellStyle name="Normal 3 2 3 2 2 2 3" xfId="5127" xr:uid="{00000000-0005-0000-0000-000084110000}"/>
    <cellStyle name="Normal 3 2 3 2 2 2 3 2" xfId="14453" xr:uid="{452A376D-DBA9-46F5-AC8D-0F49CD3EBF31}"/>
    <cellStyle name="Normal 3 2 3 2 2 2 3 3" xfId="22900" xr:uid="{B623D643-A4D8-42FD-BA22-40D320E75445}"/>
    <cellStyle name="Normal 3 2 3 2 2 2 3 4" xfId="31347" xr:uid="{211E0605-2EBB-4EFA-89F9-7B7ED5F82C08}"/>
    <cellStyle name="Normal 3 2 3 2 2 2 4" xfId="9552" xr:uid="{54198C1B-8B77-4C07-BFED-28C4D4E00A0C}"/>
    <cellStyle name="Normal 3 2 3 2 2 2 5" xfId="10236" xr:uid="{71BDD919-527E-41AC-BEFE-A15C5E28F685}"/>
    <cellStyle name="Normal 3 2 3 2 2 2 6" xfId="18683" xr:uid="{77B66056-AE04-448F-B415-960A08250842}"/>
    <cellStyle name="Normal 3 2 3 2 2 2 7" xfId="27130" xr:uid="{5AF1C1B9-F985-4C68-A74C-139391E43F8B}"/>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17011" xr:uid="{907E14DC-126F-4DEC-9E0D-834A75C7DA70}"/>
    <cellStyle name="Normal 3 2 3 2 2 3 2 2 3" xfId="25458" xr:uid="{A00FCE7A-2BBE-436B-9C39-F64DB41B6089}"/>
    <cellStyle name="Normal 3 2 3 2 2 3 2 2 4" xfId="33905" xr:uid="{CABF7F6B-2B93-43F1-AFB6-A96620D8398A}"/>
    <cellStyle name="Normal 3 2 3 2 2 3 2 3" xfId="12794" xr:uid="{15C5390C-AB51-4C35-A11D-572310B02A0F}"/>
    <cellStyle name="Normal 3 2 3 2 2 3 2 4" xfId="21241" xr:uid="{E8D42AC2-68B2-4A2F-8883-B2A3B7F88B3F}"/>
    <cellStyle name="Normal 3 2 3 2 2 3 2 5" xfId="29688" xr:uid="{03407EB6-C512-4BF5-93BC-0B35275976A0}"/>
    <cellStyle name="Normal 3 2 3 2 2 3 3" xfId="5540" xr:uid="{00000000-0005-0000-0000-000088110000}"/>
    <cellStyle name="Normal 3 2 3 2 2 3 3 2" xfId="14866" xr:uid="{C984D335-6B9E-47EE-B920-C2AEEBB4E73B}"/>
    <cellStyle name="Normal 3 2 3 2 2 3 3 3" xfId="23313" xr:uid="{ED0BD53A-D01B-4C9D-986F-645A5E967C07}"/>
    <cellStyle name="Normal 3 2 3 2 2 3 3 4" xfId="31760" xr:uid="{04A74855-7C2E-4746-988B-3B1F51C37D32}"/>
    <cellStyle name="Normal 3 2 3 2 2 3 4" xfId="10649" xr:uid="{718AA96D-E0DA-4ED1-B0E4-B9DE4953DCB4}"/>
    <cellStyle name="Normal 3 2 3 2 2 3 5" xfId="19096" xr:uid="{72D281CA-E060-4FE9-9796-94689BD1BD66}"/>
    <cellStyle name="Normal 3 2 3 2 2 3 6" xfId="27543" xr:uid="{BFCF07EA-EAC9-441C-B6AD-F1B98EA1F581}"/>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17424" xr:uid="{85E1D649-3C93-481B-BDDF-DB4995268518}"/>
    <cellStyle name="Normal 3 2 3 2 2 4 2 2 3" xfId="25871" xr:uid="{FE32EA6A-D4A9-41B8-B004-CB608DC38F89}"/>
    <cellStyle name="Normal 3 2 3 2 2 4 2 2 4" xfId="34318" xr:uid="{93545E8C-736F-448F-99CD-C66FBBA17A1E}"/>
    <cellStyle name="Normal 3 2 3 2 2 4 2 3" xfId="13207" xr:uid="{D1F2824F-9C6C-4C3C-A667-FDB6272980C6}"/>
    <cellStyle name="Normal 3 2 3 2 2 4 2 4" xfId="21654" xr:uid="{4E85B58A-A9C1-40B7-BA75-3EB989A16574}"/>
    <cellStyle name="Normal 3 2 3 2 2 4 2 5" xfId="30101" xr:uid="{071221DB-9F4B-437F-A2F8-16D40AC91675}"/>
    <cellStyle name="Normal 3 2 3 2 2 4 3" xfId="5953" xr:uid="{00000000-0005-0000-0000-00008C110000}"/>
    <cellStyle name="Normal 3 2 3 2 2 4 3 2" xfId="15279" xr:uid="{FCD6FABE-48CE-49C2-8B13-490AF91E8551}"/>
    <cellStyle name="Normal 3 2 3 2 2 4 3 3" xfId="23726" xr:uid="{7A0C84E4-092B-41FE-BF80-51020F561658}"/>
    <cellStyle name="Normal 3 2 3 2 2 4 3 4" xfId="32173" xr:uid="{03195438-7614-46C1-9514-141746B05B92}"/>
    <cellStyle name="Normal 3 2 3 2 2 4 4" xfId="11062" xr:uid="{2ECFE895-0C19-413A-B1F8-F80E72F09158}"/>
    <cellStyle name="Normal 3 2 3 2 2 4 5" xfId="19509" xr:uid="{C8983F18-BA9C-4ED5-A2E2-71792BF19766}"/>
    <cellStyle name="Normal 3 2 3 2 2 4 6" xfId="27956" xr:uid="{1FBF3DB7-0DCB-492D-9191-5D252D86A3E7}"/>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17837" xr:uid="{F1A36199-5783-400F-8D07-6AC882EAA422}"/>
    <cellStyle name="Normal 3 2 3 2 2 5 2 2 3" xfId="26284" xr:uid="{43C18AB3-359F-4FA7-8729-43BBF853DEDE}"/>
    <cellStyle name="Normal 3 2 3 2 2 5 2 2 4" xfId="34731" xr:uid="{0604ADCF-B755-4A94-98FC-D1D2ABD219C4}"/>
    <cellStyle name="Normal 3 2 3 2 2 5 2 3" xfId="13620" xr:uid="{B97BF7EE-F74B-454A-BE3A-4336DADD5996}"/>
    <cellStyle name="Normal 3 2 3 2 2 5 2 4" xfId="22067" xr:uid="{A70CFDDF-D6FC-4029-B541-08E2857675DB}"/>
    <cellStyle name="Normal 3 2 3 2 2 5 2 5" xfId="30514" xr:uid="{EF727A78-1423-4486-9DEB-9CA385CAC9ED}"/>
    <cellStyle name="Normal 3 2 3 2 2 5 3" xfId="6366" xr:uid="{00000000-0005-0000-0000-000090110000}"/>
    <cellStyle name="Normal 3 2 3 2 2 5 3 2" xfId="15692" xr:uid="{B5C612BE-5B96-4785-89D5-99F751BB2A27}"/>
    <cellStyle name="Normal 3 2 3 2 2 5 3 3" xfId="24139" xr:uid="{E0A4B137-B544-4C18-8248-FD06BBDB95C4}"/>
    <cellStyle name="Normal 3 2 3 2 2 5 3 4" xfId="32586" xr:uid="{AB09032A-7618-4D4D-AE0A-5514098DF0A3}"/>
    <cellStyle name="Normal 3 2 3 2 2 5 4" xfId="11475" xr:uid="{872BAAC1-74C3-4623-854B-BD82A596AA05}"/>
    <cellStyle name="Normal 3 2 3 2 2 5 5" xfId="19922" xr:uid="{02B6FA50-1ACE-4576-A22A-203C105622F0}"/>
    <cellStyle name="Normal 3 2 3 2 2 5 6" xfId="28369" xr:uid="{322D556F-6FA4-495A-9081-C99746CF4482}"/>
    <cellStyle name="Normal 3 2 3 2 2 6" xfId="2496" xr:uid="{00000000-0005-0000-0000-000091110000}"/>
    <cellStyle name="Normal 3 2 3 2 2 6 2" xfId="6779" xr:uid="{00000000-0005-0000-0000-000092110000}"/>
    <cellStyle name="Normal 3 2 3 2 2 6 2 2" xfId="16105" xr:uid="{278E935A-11EC-4B9F-9A4F-90E320690902}"/>
    <cellStyle name="Normal 3 2 3 2 2 6 2 3" xfId="24552" xr:uid="{F7E61F2A-99E2-497B-9C86-DA954D86B499}"/>
    <cellStyle name="Normal 3 2 3 2 2 6 2 4" xfId="32999" xr:uid="{2CE73E60-9A96-47B8-87A9-EC5583D57FF9}"/>
    <cellStyle name="Normal 3 2 3 2 2 6 3" xfId="11888" xr:uid="{F6FC5ED8-E7F0-4597-B758-020C3FEFE204}"/>
    <cellStyle name="Normal 3 2 3 2 2 6 4" xfId="20335" xr:uid="{4BA0642C-193A-41E9-828A-3E1F69AC6C31}"/>
    <cellStyle name="Normal 3 2 3 2 2 6 5" xfId="28782" xr:uid="{97FEF428-A4DF-40E7-8FD5-9059AC1B1C28}"/>
    <cellStyle name="Normal 3 2 3 2 2 7" xfId="4713" xr:uid="{00000000-0005-0000-0000-000093110000}"/>
    <cellStyle name="Normal 3 2 3 2 2 7 2" xfId="14039" xr:uid="{AADAF6E8-8964-4B54-9362-43FF40027EA2}"/>
    <cellStyle name="Normal 3 2 3 2 2 7 3" xfId="22486" xr:uid="{1E333CA5-A4FD-4D6F-A522-BFCD024F63AF}"/>
    <cellStyle name="Normal 3 2 3 2 2 7 4" xfId="30933" xr:uid="{C052F4C1-C98E-472F-8910-16ED563FEE87}"/>
    <cellStyle name="Normal 3 2 3 2 2 8" xfId="9127" xr:uid="{0583B12A-AAD6-4358-9C0C-42D6EBC3DFD8}"/>
    <cellStyle name="Normal 3 2 3 2 2 9" xfId="9822" xr:uid="{A61F3053-B963-477C-A071-56A967169437}"/>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16597" xr:uid="{087E05B0-77AD-41E5-93B8-4DE7A2828B2C}"/>
    <cellStyle name="Normal 3 2 3 2 3 2 2 3" xfId="25044" xr:uid="{42473A8B-2BE9-474C-964A-885E901B6BB2}"/>
    <cellStyle name="Normal 3 2 3 2 3 2 2 4" xfId="33491" xr:uid="{DD984DB5-0A0F-49C4-AA60-26EA5BDB72D1}"/>
    <cellStyle name="Normal 3 2 3 2 3 2 3" xfId="12380" xr:uid="{893AE1E3-EC29-468F-B11F-CC9A4A46940E}"/>
    <cellStyle name="Normal 3 2 3 2 3 2 4" xfId="20827" xr:uid="{8375B08D-92D5-46BC-A528-3E9DEF3203DA}"/>
    <cellStyle name="Normal 3 2 3 2 3 2 5" xfId="29274" xr:uid="{3D9D4139-B1E7-433A-A21F-4E31C8A9BD56}"/>
    <cellStyle name="Normal 3 2 3 2 3 3" xfId="5126" xr:uid="{00000000-0005-0000-0000-000097110000}"/>
    <cellStyle name="Normal 3 2 3 2 3 3 2" xfId="14452" xr:uid="{665C8E01-D0D2-4DC4-B63E-CD3B01629063}"/>
    <cellStyle name="Normal 3 2 3 2 3 3 3" xfId="22899" xr:uid="{F521B39D-13A1-4FC3-90C7-154F10AC27C7}"/>
    <cellStyle name="Normal 3 2 3 2 3 3 4" xfId="31346" xr:uid="{28B873C9-1F91-4874-86DA-2A566387453D}"/>
    <cellStyle name="Normal 3 2 3 2 3 4" xfId="9345" xr:uid="{C34A3811-3C7F-4E99-A17A-CCF74A426C86}"/>
    <cellStyle name="Normal 3 2 3 2 3 5" xfId="10235" xr:uid="{7A8F6AF3-BD10-45C0-AB77-EBE2673E674B}"/>
    <cellStyle name="Normal 3 2 3 2 3 6" xfId="18682" xr:uid="{6A6F10C6-3359-4FB9-BC30-D148EF8F1FD3}"/>
    <cellStyle name="Normal 3 2 3 2 3 7" xfId="27129" xr:uid="{2B51856C-0011-4DF0-A78A-F07A9671DC7F}"/>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17010" xr:uid="{C48A4A99-8AA4-403E-8226-2E3EC8C4EF7E}"/>
    <cellStyle name="Normal 3 2 3 2 4 2 2 3" xfId="25457" xr:uid="{369C2819-F226-4A3C-9C28-1FB946753903}"/>
    <cellStyle name="Normal 3 2 3 2 4 2 2 4" xfId="33904" xr:uid="{2280128F-A5E0-4674-BA93-455786042E3E}"/>
    <cellStyle name="Normal 3 2 3 2 4 2 3" xfId="12793" xr:uid="{D0231301-30C9-4A1D-B73A-20C15D4DA518}"/>
    <cellStyle name="Normal 3 2 3 2 4 2 4" xfId="21240" xr:uid="{C8CFC7FB-E7D9-4BD7-A9F7-51A94C86330B}"/>
    <cellStyle name="Normal 3 2 3 2 4 2 5" xfId="29687" xr:uid="{051B9CD9-2A02-4323-A41E-2BD07C463E91}"/>
    <cellStyle name="Normal 3 2 3 2 4 3" xfId="5539" xr:uid="{00000000-0005-0000-0000-00009B110000}"/>
    <cellStyle name="Normal 3 2 3 2 4 3 2" xfId="14865" xr:uid="{A5F54C16-9C33-4AAC-8A7D-C39F9FADB097}"/>
    <cellStyle name="Normal 3 2 3 2 4 3 3" xfId="23312" xr:uid="{B7425C3D-34F5-483F-9924-B34C328A376B}"/>
    <cellStyle name="Normal 3 2 3 2 4 3 4" xfId="31759" xr:uid="{3B07123B-1A1B-4DDA-8E70-9C45365D04F8}"/>
    <cellStyle name="Normal 3 2 3 2 4 4" xfId="10648" xr:uid="{799FB53D-210E-4D96-AC31-3441B7D0B424}"/>
    <cellStyle name="Normal 3 2 3 2 4 5" xfId="19095" xr:uid="{B8753637-18E8-431D-B22B-8AA52A27DE28}"/>
    <cellStyle name="Normal 3 2 3 2 4 6" xfId="27542" xr:uid="{B6DA374C-32CE-4049-A2BD-73626A48B63A}"/>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17423" xr:uid="{D0FD30E8-CB3B-49C0-943C-D148ECDCD978}"/>
    <cellStyle name="Normal 3 2 3 2 5 2 2 3" xfId="25870" xr:uid="{1C54FCDE-6EB9-482A-ABFE-2024F414FE9E}"/>
    <cellStyle name="Normal 3 2 3 2 5 2 2 4" xfId="34317" xr:uid="{685A635F-4661-40B6-9DD7-523CB4C146E1}"/>
    <cellStyle name="Normal 3 2 3 2 5 2 3" xfId="13206" xr:uid="{FD152C43-EBF0-4AD1-820E-9EC0FA50B2B5}"/>
    <cellStyle name="Normal 3 2 3 2 5 2 4" xfId="21653" xr:uid="{31B5A82C-C771-453A-99D5-E42F72AF8B48}"/>
    <cellStyle name="Normal 3 2 3 2 5 2 5" xfId="30100" xr:uid="{EF6846E1-55E8-4F14-874E-8B8B56A7824D}"/>
    <cellStyle name="Normal 3 2 3 2 5 3" xfId="5952" xr:uid="{00000000-0005-0000-0000-00009F110000}"/>
    <cellStyle name="Normal 3 2 3 2 5 3 2" xfId="15278" xr:uid="{C5D00513-F193-413E-8BC5-A4CA7BADE733}"/>
    <cellStyle name="Normal 3 2 3 2 5 3 3" xfId="23725" xr:uid="{850DD7B5-4E4E-43E6-9070-73AEFE0A3CD4}"/>
    <cellStyle name="Normal 3 2 3 2 5 3 4" xfId="32172" xr:uid="{93EB993E-5EDE-43A4-84E9-24E3622A7317}"/>
    <cellStyle name="Normal 3 2 3 2 5 4" xfId="11061" xr:uid="{7AF6B8C0-3813-42C4-A70F-C8580A80D398}"/>
    <cellStyle name="Normal 3 2 3 2 5 5" xfId="19508" xr:uid="{1C762605-AE38-4DB8-934D-C4C6CF66111E}"/>
    <cellStyle name="Normal 3 2 3 2 5 6" xfId="27955" xr:uid="{1C1D6F83-8039-42BE-9C1A-5AFED603884A}"/>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17836" xr:uid="{D9A0D7AC-A570-460A-91F4-58BFB15AC29D}"/>
    <cellStyle name="Normal 3 2 3 2 6 2 2 3" xfId="26283" xr:uid="{5A29CD8E-C208-46D8-8123-519114219885}"/>
    <cellStyle name="Normal 3 2 3 2 6 2 2 4" xfId="34730" xr:uid="{88972338-AE2B-4ADE-BDE2-976EA20BA67E}"/>
    <cellStyle name="Normal 3 2 3 2 6 2 3" xfId="13619" xr:uid="{A0FBA968-77DF-464B-BE17-4705EC67070B}"/>
    <cellStyle name="Normal 3 2 3 2 6 2 4" xfId="22066" xr:uid="{471A1E3A-5C81-42AB-811F-4BE270568545}"/>
    <cellStyle name="Normal 3 2 3 2 6 2 5" xfId="30513" xr:uid="{E4794360-7788-42A5-87C4-C5E7612F16BB}"/>
    <cellStyle name="Normal 3 2 3 2 6 3" xfId="6365" xr:uid="{00000000-0005-0000-0000-0000A3110000}"/>
    <cellStyle name="Normal 3 2 3 2 6 3 2" xfId="15691" xr:uid="{D631B3C1-2514-4907-8A5F-DD3B0C7D51C9}"/>
    <cellStyle name="Normal 3 2 3 2 6 3 3" xfId="24138" xr:uid="{7F5DAE21-EC76-4E4C-A5B1-82D229C387BB}"/>
    <cellStyle name="Normal 3 2 3 2 6 3 4" xfId="32585" xr:uid="{023E9A55-6C88-48B5-90D6-2E8DBB57B8A2}"/>
    <cellStyle name="Normal 3 2 3 2 6 4" xfId="11474" xr:uid="{A6E43298-560E-4793-9F3E-B361A67E7745}"/>
    <cellStyle name="Normal 3 2 3 2 6 5" xfId="19921" xr:uid="{170C6FEB-0C11-4A7C-85E2-EA7D6DC2EF06}"/>
    <cellStyle name="Normal 3 2 3 2 6 6" xfId="28368" xr:uid="{374362F7-8F78-4BBB-A944-584BBA8F18D0}"/>
    <cellStyle name="Normal 3 2 3 2 7" xfId="2495" xr:uid="{00000000-0005-0000-0000-0000A4110000}"/>
    <cellStyle name="Normal 3 2 3 2 7 2" xfId="6778" xr:uid="{00000000-0005-0000-0000-0000A5110000}"/>
    <cellStyle name="Normal 3 2 3 2 7 2 2" xfId="16104" xr:uid="{A9404FB5-8A5F-458A-97C6-08EA2F82C4B8}"/>
    <cellStyle name="Normal 3 2 3 2 7 2 3" xfId="24551" xr:uid="{90996221-9B8F-4A51-BDD1-39323D56B51D}"/>
    <cellStyle name="Normal 3 2 3 2 7 2 4" xfId="32998" xr:uid="{3D721384-E57F-491D-8251-ECE7601A783F}"/>
    <cellStyle name="Normal 3 2 3 2 7 3" xfId="11887" xr:uid="{933C4E63-6115-4CC6-945C-8813A70C00CE}"/>
    <cellStyle name="Normal 3 2 3 2 7 4" xfId="20334" xr:uid="{474FF308-04AF-4AD9-B3CA-4D137EEF9D6F}"/>
    <cellStyle name="Normal 3 2 3 2 7 5" xfId="28781" xr:uid="{3630A53D-6D1A-41E3-A502-1F07939417AD}"/>
    <cellStyle name="Normal 3 2 3 2 8" xfId="4712" xr:uid="{00000000-0005-0000-0000-0000A6110000}"/>
    <cellStyle name="Normal 3 2 3 2 8 2" xfId="14038" xr:uid="{38C14E64-3A36-4730-A9B3-9EF8FC19A4B3}"/>
    <cellStyle name="Normal 3 2 3 2 8 3" xfId="22485" xr:uid="{C34441EF-A75B-44C2-AD61-1F4F850E38DA}"/>
    <cellStyle name="Normal 3 2 3 2 8 4" xfId="30932" xr:uid="{1722C0E8-8AF9-4A2B-A66E-275B50AD4616}"/>
    <cellStyle name="Normal 3 2 3 2 9" xfId="8920" xr:uid="{D9E0825A-068A-435C-BDBE-2C0571A11FAF}"/>
    <cellStyle name="Normal 3 2 3 3" xfId="329" xr:uid="{00000000-0005-0000-0000-0000A7110000}"/>
    <cellStyle name="Normal 3 2 3 3 10" xfId="18270" xr:uid="{2051A499-A73F-4BE1-B26F-087720DE8329}"/>
    <cellStyle name="Normal 3 2 3 3 11" xfId="26717" xr:uid="{57D69544-2D55-410F-B102-6DF24767E5BD}"/>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16599" xr:uid="{AABEA0B4-F2A8-47C1-A83A-95557B55570E}"/>
    <cellStyle name="Normal 3 2 3 3 2 2 2 3" xfId="25046" xr:uid="{8D093671-5942-4F44-BF4E-D90CC61DF941}"/>
    <cellStyle name="Normal 3 2 3 3 2 2 2 4" xfId="33493" xr:uid="{56651BCE-0E17-47D6-AB2F-B37A4C8F8656}"/>
    <cellStyle name="Normal 3 2 3 3 2 2 3" xfId="12382" xr:uid="{22107D9E-D406-4D8F-9AF1-FA707673788E}"/>
    <cellStyle name="Normal 3 2 3 3 2 2 4" xfId="20829" xr:uid="{7DE48FAA-F646-450A-BDC9-06B59EF9A062}"/>
    <cellStyle name="Normal 3 2 3 3 2 2 5" xfId="29276" xr:uid="{A5719E47-2814-49A9-A94B-E00A94F9B80C}"/>
    <cellStyle name="Normal 3 2 3 3 2 3" xfId="5128" xr:uid="{00000000-0005-0000-0000-0000AB110000}"/>
    <cellStyle name="Normal 3 2 3 3 2 3 2" xfId="14454" xr:uid="{E00415C2-2947-4E88-AA90-30A32F833664}"/>
    <cellStyle name="Normal 3 2 3 3 2 3 3" xfId="22901" xr:uid="{9E719F46-6EB7-4F4C-B73E-4B858D2515D9}"/>
    <cellStyle name="Normal 3 2 3 3 2 3 4" xfId="31348" xr:uid="{060A7F6E-06F8-413D-B6E2-8DE25303CB34}"/>
    <cellStyle name="Normal 3 2 3 3 2 4" xfId="9449" xr:uid="{7F58A2DC-DF16-44D1-8D09-04DD41EF4468}"/>
    <cellStyle name="Normal 3 2 3 3 2 5" xfId="10237" xr:uid="{AC553DA9-2E20-40F7-A9BE-EB20E90F61DC}"/>
    <cellStyle name="Normal 3 2 3 3 2 6" xfId="18684" xr:uid="{EF65C780-E3DA-4D99-BC83-B92E5A348652}"/>
    <cellStyle name="Normal 3 2 3 3 2 7" xfId="27131" xr:uid="{F0105DC1-6380-4DC1-A940-E3977BC2A601}"/>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17012" xr:uid="{D2E739DC-1D29-49D1-8652-FD677F5A4F3E}"/>
    <cellStyle name="Normal 3 2 3 3 3 2 2 3" xfId="25459" xr:uid="{3DB62E9B-E3F0-44FD-83A6-956E929DD35B}"/>
    <cellStyle name="Normal 3 2 3 3 3 2 2 4" xfId="33906" xr:uid="{8FD98815-D84A-4438-98F4-8F4C5C5B6B2E}"/>
    <cellStyle name="Normal 3 2 3 3 3 2 3" xfId="12795" xr:uid="{B5A5F1AC-652D-4B8A-A511-5DC2F6040966}"/>
    <cellStyle name="Normal 3 2 3 3 3 2 4" xfId="21242" xr:uid="{26B46127-BB97-4E2D-B9D4-6A7A781CAA04}"/>
    <cellStyle name="Normal 3 2 3 3 3 2 5" xfId="29689" xr:uid="{71D40E65-929B-4A27-904A-2AF21A9FFA24}"/>
    <cellStyle name="Normal 3 2 3 3 3 3" xfId="5541" xr:uid="{00000000-0005-0000-0000-0000AF110000}"/>
    <cellStyle name="Normal 3 2 3 3 3 3 2" xfId="14867" xr:uid="{55B5E2F9-97F6-4EEC-AE5B-D28D8B0C5263}"/>
    <cellStyle name="Normal 3 2 3 3 3 3 3" xfId="23314" xr:uid="{8530DD1A-73C3-444A-A4A8-26F26C49D90B}"/>
    <cellStyle name="Normal 3 2 3 3 3 3 4" xfId="31761" xr:uid="{1AC637D1-E384-4459-876D-80A9F1DECF5B}"/>
    <cellStyle name="Normal 3 2 3 3 3 4" xfId="10650" xr:uid="{9D789F59-6BE7-4569-B20F-9685570B0728}"/>
    <cellStyle name="Normal 3 2 3 3 3 5" xfId="19097" xr:uid="{90227B2C-2579-4D93-B103-C27C0438C23A}"/>
    <cellStyle name="Normal 3 2 3 3 3 6" xfId="27544" xr:uid="{1A6077C7-6DA8-41D5-8D8D-BE47CF032D75}"/>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17425" xr:uid="{52D7AB4C-D267-4BAB-9FD2-6C0D46E77787}"/>
    <cellStyle name="Normal 3 2 3 3 4 2 2 3" xfId="25872" xr:uid="{DAFD8C28-C151-4323-8028-BF8B91BA8DBF}"/>
    <cellStyle name="Normal 3 2 3 3 4 2 2 4" xfId="34319" xr:uid="{F46B2219-3CE1-44EA-930C-8E06305B9B08}"/>
    <cellStyle name="Normal 3 2 3 3 4 2 3" xfId="13208" xr:uid="{16FDB457-B593-4373-A05A-E0BFF47F8CAB}"/>
    <cellStyle name="Normal 3 2 3 3 4 2 4" xfId="21655" xr:uid="{04ECFCB0-8CDB-4F7E-9D28-3ED6D6C73C20}"/>
    <cellStyle name="Normal 3 2 3 3 4 2 5" xfId="30102" xr:uid="{25C0FCE9-134E-4B6D-8493-77BC5C35901C}"/>
    <cellStyle name="Normal 3 2 3 3 4 3" xfId="5954" xr:uid="{00000000-0005-0000-0000-0000B3110000}"/>
    <cellStyle name="Normal 3 2 3 3 4 3 2" xfId="15280" xr:uid="{98C63DE5-47AD-421C-B61E-DE8FE7347D49}"/>
    <cellStyle name="Normal 3 2 3 3 4 3 3" xfId="23727" xr:uid="{76C54B71-0935-47EC-A88A-5B9BE3C6B5B6}"/>
    <cellStyle name="Normal 3 2 3 3 4 3 4" xfId="32174" xr:uid="{2F9F46F8-1D50-4BF6-9455-CE36B0F10B87}"/>
    <cellStyle name="Normal 3 2 3 3 4 4" xfId="11063" xr:uid="{F1B117ED-B801-498F-93B3-EF11DB8D7560}"/>
    <cellStyle name="Normal 3 2 3 3 4 5" xfId="19510" xr:uid="{9329F000-53C9-44FA-9D0D-A5C2827937F7}"/>
    <cellStyle name="Normal 3 2 3 3 4 6" xfId="27957" xr:uid="{23128E64-0586-4536-8380-CB6DD950D0C0}"/>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17838" xr:uid="{A8C5A74A-8A95-4ED4-BCFD-F518BC106DA2}"/>
    <cellStyle name="Normal 3 2 3 3 5 2 2 3" xfId="26285" xr:uid="{9D8E2642-9C5E-401E-855A-0B93CF2584AC}"/>
    <cellStyle name="Normal 3 2 3 3 5 2 2 4" xfId="34732" xr:uid="{013AF516-6A7D-49B9-9E91-5CDF6B3608E8}"/>
    <cellStyle name="Normal 3 2 3 3 5 2 3" xfId="13621" xr:uid="{A01D143A-E682-400F-8EF6-FCEA31E91DB4}"/>
    <cellStyle name="Normal 3 2 3 3 5 2 4" xfId="22068" xr:uid="{195719BF-5B32-4E91-B459-1FE3280D5799}"/>
    <cellStyle name="Normal 3 2 3 3 5 2 5" xfId="30515" xr:uid="{E24EC79B-D5A4-49D3-AD64-0146B70AE4D9}"/>
    <cellStyle name="Normal 3 2 3 3 5 3" xfId="6367" xr:uid="{00000000-0005-0000-0000-0000B7110000}"/>
    <cellStyle name="Normal 3 2 3 3 5 3 2" xfId="15693" xr:uid="{0846B2ED-4565-42C2-A08E-E0AB3333AEEE}"/>
    <cellStyle name="Normal 3 2 3 3 5 3 3" xfId="24140" xr:uid="{41B44D54-23C4-465F-A52B-7A20221EEE2C}"/>
    <cellStyle name="Normal 3 2 3 3 5 3 4" xfId="32587" xr:uid="{69258614-49E9-4D83-A8B3-F94E9C6EB3AD}"/>
    <cellStyle name="Normal 3 2 3 3 5 4" xfId="11476" xr:uid="{6ACD15C2-39C8-4EFE-9973-26297527917C}"/>
    <cellStyle name="Normal 3 2 3 3 5 5" xfId="19923" xr:uid="{59E4F019-52F8-4B02-836B-7DA43039D132}"/>
    <cellStyle name="Normal 3 2 3 3 5 6" xfId="28370" xr:uid="{FF9E7AB9-324B-40D3-9633-039DE7722667}"/>
    <cellStyle name="Normal 3 2 3 3 6" xfId="2497" xr:uid="{00000000-0005-0000-0000-0000B8110000}"/>
    <cellStyle name="Normal 3 2 3 3 6 2" xfId="6780" xr:uid="{00000000-0005-0000-0000-0000B9110000}"/>
    <cellStyle name="Normal 3 2 3 3 6 2 2" xfId="16106" xr:uid="{06167F12-9E58-457E-95E0-49BDBE501CF8}"/>
    <cellStyle name="Normal 3 2 3 3 6 2 3" xfId="24553" xr:uid="{64FF57F6-4D28-43B1-9B72-3F2628125E4D}"/>
    <cellStyle name="Normal 3 2 3 3 6 2 4" xfId="33000" xr:uid="{27A02925-285E-4B68-8D39-5E5F5355CFE3}"/>
    <cellStyle name="Normal 3 2 3 3 6 3" xfId="11889" xr:uid="{233930BF-0373-43DA-90BD-5D27BD6D1A28}"/>
    <cellStyle name="Normal 3 2 3 3 6 4" xfId="20336" xr:uid="{76A05AB2-175F-4EA2-812D-220821DB0692}"/>
    <cellStyle name="Normal 3 2 3 3 6 5" xfId="28783" xr:uid="{ED8C7FFB-DCB6-4F1F-837A-2E28AE3A7600}"/>
    <cellStyle name="Normal 3 2 3 3 7" xfId="4714" xr:uid="{00000000-0005-0000-0000-0000BA110000}"/>
    <cellStyle name="Normal 3 2 3 3 7 2" xfId="14040" xr:uid="{3EA94868-004C-4C83-89AE-9B6D344FD473}"/>
    <cellStyle name="Normal 3 2 3 3 7 3" xfId="22487" xr:uid="{82A87BD3-8650-4B75-A704-797BDBFD1073}"/>
    <cellStyle name="Normal 3 2 3 3 7 4" xfId="30934" xr:uid="{C4F4BC8B-0AA0-45B2-ABCA-F1A494AB3619}"/>
    <cellStyle name="Normal 3 2 3 3 8" xfId="9024" xr:uid="{AE2F680F-18A3-47B5-ADCF-6BEAD71D50CE}"/>
    <cellStyle name="Normal 3 2 3 3 9" xfId="9823" xr:uid="{D0AC1F6C-7E11-497E-BA0E-57F99A15A2D0}"/>
    <cellStyle name="Normal 3 2 3 4" xfId="811" xr:uid="{00000000-0005-0000-0000-0000BB110000}"/>
    <cellStyle name="Normal 3 2 3 4 2" xfId="3048" xr:uid="{00000000-0005-0000-0000-0000BC110000}"/>
    <cellStyle name="Normal 3 2 3 4 2 2" xfId="7270" xr:uid="{00000000-0005-0000-0000-0000BD110000}"/>
    <cellStyle name="Normal 3 2 3 4 2 2 2" xfId="16596" xr:uid="{14BDD1BA-9EAA-4BA3-9460-5254C2BDAD8C}"/>
    <cellStyle name="Normal 3 2 3 4 2 2 3" xfId="25043" xr:uid="{865FC690-806A-4762-9916-6425AD201DA8}"/>
    <cellStyle name="Normal 3 2 3 4 2 2 4" xfId="33490" xr:uid="{4D806490-9E36-4991-AEB5-3193A8816B5D}"/>
    <cellStyle name="Normal 3 2 3 4 2 3" xfId="12379" xr:uid="{CBE91DAE-508D-42D3-ABC3-0ADB235D218F}"/>
    <cellStyle name="Normal 3 2 3 4 2 4" xfId="20826" xr:uid="{C45CBDA3-D628-4287-B86E-785F19C7E6F3}"/>
    <cellStyle name="Normal 3 2 3 4 2 5" xfId="29273" xr:uid="{B539A400-0EFF-4237-BB29-1779A354CA61}"/>
    <cellStyle name="Normal 3 2 3 4 3" xfId="5125" xr:uid="{00000000-0005-0000-0000-0000BE110000}"/>
    <cellStyle name="Normal 3 2 3 4 3 2" xfId="14451" xr:uid="{013C198E-C5EE-405F-AD62-349BF954958C}"/>
    <cellStyle name="Normal 3 2 3 4 3 3" xfId="22898" xr:uid="{EBF77902-25D5-47A8-8C7B-7C916459A3F9}"/>
    <cellStyle name="Normal 3 2 3 4 3 4" xfId="31345" xr:uid="{81D3DB20-0BED-4834-A7BA-9AA6F8C1EF2B}"/>
    <cellStyle name="Normal 3 2 3 4 4" xfId="9242" xr:uid="{05AEEDFF-7EEB-40DB-B13D-145C971A771B}"/>
    <cellStyle name="Normal 3 2 3 4 5" xfId="10234" xr:uid="{2227E721-0957-42A0-A960-90ABF0A1FF57}"/>
    <cellStyle name="Normal 3 2 3 4 6" xfId="18681" xr:uid="{D890E413-52A0-40AF-B24A-552583014827}"/>
    <cellStyle name="Normal 3 2 3 4 7" xfId="27128" xr:uid="{9BAEF3A2-88BF-4F03-9309-6820D08333E6}"/>
    <cellStyle name="Normal 3 2 3 5" xfId="1231" xr:uid="{00000000-0005-0000-0000-0000BF110000}"/>
    <cellStyle name="Normal 3 2 3 5 2" xfId="3461" xr:uid="{00000000-0005-0000-0000-0000C0110000}"/>
    <cellStyle name="Normal 3 2 3 5 2 2" xfId="7683" xr:uid="{00000000-0005-0000-0000-0000C1110000}"/>
    <cellStyle name="Normal 3 2 3 5 2 2 2" xfId="17009" xr:uid="{3CF2D7CB-1F48-4E7A-870B-E958F5632776}"/>
    <cellStyle name="Normal 3 2 3 5 2 2 3" xfId="25456" xr:uid="{13D266C8-D945-4C33-BEA5-B7BF66D50415}"/>
    <cellStyle name="Normal 3 2 3 5 2 2 4" xfId="33903" xr:uid="{4B9BC9F2-230D-471D-82DC-11506D742EEF}"/>
    <cellStyle name="Normal 3 2 3 5 2 3" xfId="12792" xr:uid="{383ECC04-CBE5-4A7E-903E-5494D7EC37D5}"/>
    <cellStyle name="Normal 3 2 3 5 2 4" xfId="21239" xr:uid="{351B34AB-49A2-4766-8F68-FD714E2099C0}"/>
    <cellStyle name="Normal 3 2 3 5 2 5" xfId="29686" xr:uid="{3CCF6955-23B0-444B-B742-E3687A1544CE}"/>
    <cellStyle name="Normal 3 2 3 5 3" xfId="5538" xr:uid="{00000000-0005-0000-0000-0000C2110000}"/>
    <cellStyle name="Normal 3 2 3 5 3 2" xfId="14864" xr:uid="{B2D65F1C-6229-44B5-853A-86F7B884877A}"/>
    <cellStyle name="Normal 3 2 3 5 3 3" xfId="23311" xr:uid="{B2FF198D-D68B-4039-BC95-53BEB1FC77F5}"/>
    <cellStyle name="Normal 3 2 3 5 3 4" xfId="31758" xr:uid="{B3ED0478-21E0-498A-9ADB-EB7AF12184C1}"/>
    <cellStyle name="Normal 3 2 3 5 4" xfId="10647" xr:uid="{37F51520-BB40-4CB7-B24B-8E4978E9DC5A}"/>
    <cellStyle name="Normal 3 2 3 5 5" xfId="19094" xr:uid="{F248C5FF-45F2-4FA0-974D-918E22B12BA3}"/>
    <cellStyle name="Normal 3 2 3 5 6" xfId="27541" xr:uid="{8FA2C6D3-D444-4D61-B1DE-5CF6D89C6B92}"/>
    <cellStyle name="Normal 3 2 3 6" xfId="1644" xr:uid="{00000000-0005-0000-0000-0000C3110000}"/>
    <cellStyle name="Normal 3 2 3 6 2" xfId="3874" xr:uid="{00000000-0005-0000-0000-0000C4110000}"/>
    <cellStyle name="Normal 3 2 3 6 2 2" xfId="8096" xr:uid="{00000000-0005-0000-0000-0000C5110000}"/>
    <cellStyle name="Normal 3 2 3 6 2 2 2" xfId="17422" xr:uid="{0C840E45-226A-46C0-8246-5854C26DF387}"/>
    <cellStyle name="Normal 3 2 3 6 2 2 3" xfId="25869" xr:uid="{0E645B75-2F5F-4431-A57D-FA496B0BF615}"/>
    <cellStyle name="Normal 3 2 3 6 2 2 4" xfId="34316" xr:uid="{4F64C05C-C765-4150-843B-139F93F3E382}"/>
    <cellStyle name="Normal 3 2 3 6 2 3" xfId="13205" xr:uid="{D6D34AA1-8409-4298-9AFF-C8FB4EE02607}"/>
    <cellStyle name="Normal 3 2 3 6 2 4" xfId="21652" xr:uid="{96AF3A35-D4E8-44E3-A55D-1C58D8C0F597}"/>
    <cellStyle name="Normal 3 2 3 6 2 5" xfId="30099" xr:uid="{AD083DC5-8473-45A1-91ED-3C2676A69F46}"/>
    <cellStyle name="Normal 3 2 3 6 3" xfId="5951" xr:uid="{00000000-0005-0000-0000-0000C6110000}"/>
    <cellStyle name="Normal 3 2 3 6 3 2" xfId="15277" xr:uid="{BB8ED564-D83D-4C71-AE7B-A8AE3CD4AA8A}"/>
    <cellStyle name="Normal 3 2 3 6 3 3" xfId="23724" xr:uid="{7829BB2B-5A03-472C-99EE-6DA851CDB4FC}"/>
    <cellStyle name="Normal 3 2 3 6 3 4" xfId="32171" xr:uid="{03673BCC-966C-4CB8-808C-8D1D67F097FF}"/>
    <cellStyle name="Normal 3 2 3 6 4" xfId="11060" xr:uid="{47449FD1-795C-4826-BDC4-EF32B51A0BCF}"/>
    <cellStyle name="Normal 3 2 3 6 5" xfId="19507" xr:uid="{04CC25C0-5F5B-4E30-9B7C-55DB81AA6CA4}"/>
    <cellStyle name="Normal 3 2 3 6 6" xfId="27954" xr:uid="{66DAADDB-C4B6-412F-AB0A-4A2EC9CC4C18}"/>
    <cellStyle name="Normal 3 2 3 7" xfId="2058" xr:uid="{00000000-0005-0000-0000-0000C7110000}"/>
    <cellStyle name="Normal 3 2 3 7 2" xfId="4287" xr:uid="{00000000-0005-0000-0000-0000C8110000}"/>
    <cellStyle name="Normal 3 2 3 7 2 2" xfId="8509" xr:uid="{00000000-0005-0000-0000-0000C9110000}"/>
    <cellStyle name="Normal 3 2 3 7 2 2 2" xfId="17835" xr:uid="{4F55F5DD-CF3A-4009-9187-60B3CA9D97D1}"/>
    <cellStyle name="Normal 3 2 3 7 2 2 3" xfId="26282" xr:uid="{56B3149C-8D7D-4F29-9126-19C4E3FBD225}"/>
    <cellStyle name="Normal 3 2 3 7 2 2 4" xfId="34729" xr:uid="{5BD9BC07-0C00-4EF8-883E-E336B043B63D}"/>
    <cellStyle name="Normal 3 2 3 7 2 3" xfId="13618" xr:uid="{2AF8E60E-28D4-416B-9158-5E6DFE7C072C}"/>
    <cellStyle name="Normal 3 2 3 7 2 4" xfId="22065" xr:uid="{E34EB4B8-10E0-497E-9286-6A843E47C4B4}"/>
    <cellStyle name="Normal 3 2 3 7 2 5" xfId="30512" xr:uid="{41B0319C-B5EF-4B54-8BEE-EC418BFEB13A}"/>
    <cellStyle name="Normal 3 2 3 7 3" xfId="6364" xr:uid="{00000000-0005-0000-0000-0000CA110000}"/>
    <cellStyle name="Normal 3 2 3 7 3 2" xfId="15690" xr:uid="{FEB8AE16-BECB-4CC1-ACAF-F10410CAD859}"/>
    <cellStyle name="Normal 3 2 3 7 3 3" xfId="24137" xr:uid="{730FDA28-C9BA-4B22-8182-1A43EA502277}"/>
    <cellStyle name="Normal 3 2 3 7 3 4" xfId="32584" xr:uid="{0E74443A-B39F-4F9F-808C-C81287C8FEB3}"/>
    <cellStyle name="Normal 3 2 3 7 4" xfId="11473" xr:uid="{81200C9F-817F-48B4-AF2D-62709D2D8A5A}"/>
    <cellStyle name="Normal 3 2 3 7 5" xfId="19920" xr:uid="{1C92A979-3DE1-473D-AA62-691C592790C9}"/>
    <cellStyle name="Normal 3 2 3 7 6" xfId="28367" xr:uid="{29EEA950-F14B-40E6-83B4-4AD70DC03FA2}"/>
    <cellStyle name="Normal 3 2 3 8" xfId="2494" xr:uid="{00000000-0005-0000-0000-0000CB110000}"/>
    <cellStyle name="Normal 3 2 3 8 2" xfId="6777" xr:uid="{00000000-0005-0000-0000-0000CC110000}"/>
    <cellStyle name="Normal 3 2 3 8 2 2" xfId="16103" xr:uid="{2E77E1FB-3EB1-4D27-B0A4-2A338EE7F734}"/>
    <cellStyle name="Normal 3 2 3 8 2 3" xfId="24550" xr:uid="{ACCD53D0-B3A6-4A43-AD8D-F9CFA8F0CA67}"/>
    <cellStyle name="Normal 3 2 3 8 2 4" xfId="32997" xr:uid="{CFA3788A-68E6-4DD3-871F-6397E67C4775}"/>
    <cellStyle name="Normal 3 2 3 8 3" xfId="11886" xr:uid="{AAF63993-3541-4221-A9BB-FBB71E332A87}"/>
    <cellStyle name="Normal 3 2 3 8 4" xfId="20333" xr:uid="{2A836292-AA23-4B93-A19E-47D18E341E11}"/>
    <cellStyle name="Normal 3 2 3 8 5" xfId="28780" xr:uid="{60C9B337-BB22-4B46-A0AA-597EFAD8EC31}"/>
    <cellStyle name="Normal 3 2 3 9" xfId="4711" xr:uid="{00000000-0005-0000-0000-0000CD110000}"/>
    <cellStyle name="Normal 3 2 3 9 2" xfId="14037" xr:uid="{BAAF9524-1C5C-4E9E-B241-14A679EBB46C}"/>
    <cellStyle name="Normal 3 2 3 9 3" xfId="22484" xr:uid="{1618CBDD-0C92-4DB3-96B8-38D9BC45370D}"/>
    <cellStyle name="Normal 3 2 3 9 4" xfId="30931" xr:uid="{07E78DF5-D9CE-44AA-ABBF-B16E5EDA67F4}"/>
    <cellStyle name="Normal 3 2 4" xfId="809" xr:uid="{00000000-0005-0000-0000-0000CE110000}"/>
    <cellStyle name="Normal 3 2 4 2" xfId="3047" xr:uid="{00000000-0005-0000-0000-0000CF110000}"/>
    <cellStyle name="Normal 3 2 4 2 2" xfId="7269" xr:uid="{00000000-0005-0000-0000-0000D0110000}"/>
    <cellStyle name="Normal 3 2 4 2 2 2" xfId="16595" xr:uid="{9B165AA0-FC39-435D-A3B8-09742CDC2FF0}"/>
    <cellStyle name="Normal 3 2 4 2 2 3" xfId="25042" xr:uid="{C58CDA83-BC0E-4D94-819C-4B4CB317EAD1}"/>
    <cellStyle name="Normal 3 2 4 2 2 4" xfId="33489" xr:uid="{1A517489-FB58-43E7-BB8B-15D930CD60F0}"/>
    <cellStyle name="Normal 3 2 4 2 3" xfId="12378" xr:uid="{65ED4E4C-BEFF-48ED-9255-E568C924A6E1}"/>
    <cellStyle name="Normal 3 2 4 2 4" xfId="20825" xr:uid="{7CF537F9-5FC1-4CDC-B917-B55302E093ED}"/>
    <cellStyle name="Normal 3 2 4 2 5" xfId="29272" xr:uid="{090BDDBE-1BF3-467E-A0A3-BF108CE09FC8}"/>
    <cellStyle name="Normal 3 2 4 3" xfId="5124" xr:uid="{00000000-0005-0000-0000-0000D1110000}"/>
    <cellStyle name="Normal 3 2 4 3 2" xfId="14450" xr:uid="{C6D02858-0B11-48B8-8989-30FB00C20140}"/>
    <cellStyle name="Normal 3 2 4 3 3" xfId="22897" xr:uid="{0E4B13D7-2ACB-490F-82B9-A3903AE6EDC2}"/>
    <cellStyle name="Normal 3 2 4 3 4" xfId="31344" xr:uid="{F21241A9-C679-4940-B7A8-5B90BC0AB077}"/>
    <cellStyle name="Normal 3 2 4 4" xfId="9607" xr:uid="{7D769806-7069-4B8D-8CAC-B3B91BBA8D64}"/>
    <cellStyle name="Normal 3 2 4 5" xfId="10233" xr:uid="{BB56E404-C10A-45B8-B9F5-8504D9E71D17}"/>
    <cellStyle name="Normal 3 2 4 6" xfId="18680" xr:uid="{3CBAB427-3E1D-49F6-981D-15472051169B}"/>
    <cellStyle name="Normal 3 2 4 7" xfId="27127" xr:uid="{BC677777-4603-40D9-A32C-0C0277AA44EE}"/>
    <cellStyle name="Normal 3 2 5" xfId="1230" xr:uid="{00000000-0005-0000-0000-0000D2110000}"/>
    <cellStyle name="Normal 3 2 5 2" xfId="3460" xr:uid="{00000000-0005-0000-0000-0000D3110000}"/>
    <cellStyle name="Normal 3 2 5 2 2" xfId="7682" xr:uid="{00000000-0005-0000-0000-0000D4110000}"/>
    <cellStyle name="Normal 3 2 5 2 2 2" xfId="17008" xr:uid="{DE920780-1D6C-4049-8F37-869BD81B72DF}"/>
    <cellStyle name="Normal 3 2 5 2 2 3" xfId="25455" xr:uid="{8D09BA94-C995-4539-B939-68264A81CAF8}"/>
    <cellStyle name="Normal 3 2 5 2 2 4" xfId="33902" xr:uid="{6AF0EDF0-E996-430E-98DE-6CF0695147B2}"/>
    <cellStyle name="Normal 3 2 5 2 3" xfId="12791" xr:uid="{2808810D-CD93-4502-9A3B-0C9C4768B864}"/>
    <cellStyle name="Normal 3 2 5 2 4" xfId="21238" xr:uid="{017A6868-ACF1-428B-A358-5E5ACD13072F}"/>
    <cellStyle name="Normal 3 2 5 2 5" xfId="29685" xr:uid="{E992D1C0-A060-46CF-9AE4-60D8682A5FDC}"/>
    <cellStyle name="Normal 3 2 5 3" xfId="5537" xr:uid="{00000000-0005-0000-0000-0000D5110000}"/>
    <cellStyle name="Normal 3 2 5 3 2" xfId="14863" xr:uid="{F944FE71-64FC-4FC9-B6E6-20EDFE087302}"/>
    <cellStyle name="Normal 3 2 5 3 3" xfId="23310" xr:uid="{0953C50A-2F75-457E-8481-A5F73532E03E}"/>
    <cellStyle name="Normal 3 2 5 3 4" xfId="31757" xr:uid="{5E43E2BF-9EF0-4FE3-B1A8-8CB5E9BC51B0}"/>
    <cellStyle name="Normal 3 2 5 4" xfId="10646" xr:uid="{DBFAEA9D-1604-4925-943F-6FFDF0F37DC5}"/>
    <cellStyle name="Normal 3 2 5 5" xfId="19093" xr:uid="{CC6526AA-3EF5-4AB1-9FE7-30DE982B77B6}"/>
    <cellStyle name="Normal 3 2 5 6" xfId="27540" xr:uid="{01FAC6D9-DDAE-4764-BCA6-86041D7AAB56}"/>
    <cellStyle name="Normal 3 2 6" xfId="1643" xr:uid="{00000000-0005-0000-0000-0000D6110000}"/>
    <cellStyle name="Normal 3 2 6 2" xfId="3873" xr:uid="{00000000-0005-0000-0000-0000D7110000}"/>
    <cellStyle name="Normal 3 2 6 2 2" xfId="8095" xr:uid="{00000000-0005-0000-0000-0000D8110000}"/>
    <cellStyle name="Normal 3 2 6 2 2 2" xfId="17421" xr:uid="{A65D4F86-A246-4AFB-929C-756C97481869}"/>
    <cellStyle name="Normal 3 2 6 2 2 3" xfId="25868" xr:uid="{4350273B-C082-45A5-9740-BB73BD9707FF}"/>
    <cellStyle name="Normal 3 2 6 2 2 4" xfId="34315" xr:uid="{0694C922-F15E-4F4E-8971-D595FA121CD0}"/>
    <cellStyle name="Normal 3 2 6 2 3" xfId="13204" xr:uid="{FE528910-46F3-4DB7-8407-0EEA55A4C714}"/>
    <cellStyle name="Normal 3 2 6 2 4" xfId="21651" xr:uid="{2A13C374-C534-45EE-AA02-7FC185793837}"/>
    <cellStyle name="Normal 3 2 6 2 5" xfId="30098" xr:uid="{8B64F56E-4DAE-45CB-B40B-001379BAD3DD}"/>
    <cellStyle name="Normal 3 2 6 3" xfId="5950" xr:uid="{00000000-0005-0000-0000-0000D9110000}"/>
    <cellStyle name="Normal 3 2 6 3 2" xfId="15276" xr:uid="{B9A114DC-9635-46CD-9EDC-D75FD840F509}"/>
    <cellStyle name="Normal 3 2 6 3 3" xfId="23723" xr:uid="{A982506E-5364-4203-B8B4-55AD757A1D24}"/>
    <cellStyle name="Normal 3 2 6 3 4" xfId="32170" xr:uid="{AC2F7ADC-57D3-4897-9592-9F1B339C5CF2}"/>
    <cellStyle name="Normal 3 2 6 4" xfId="11059" xr:uid="{A5862184-F590-4C3F-A61B-AFFD1CAC23FC}"/>
    <cellStyle name="Normal 3 2 6 5" xfId="19506" xr:uid="{B33608B6-075C-4C02-BDF5-3056A68194FE}"/>
    <cellStyle name="Normal 3 2 6 6" xfId="27953" xr:uid="{C0C0D5DF-5A17-45F1-A777-A896261A71D4}"/>
    <cellStyle name="Normal 3 2 7" xfId="2057" xr:uid="{00000000-0005-0000-0000-0000DA110000}"/>
    <cellStyle name="Normal 3 2 7 2" xfId="4286" xr:uid="{00000000-0005-0000-0000-0000DB110000}"/>
    <cellStyle name="Normal 3 2 7 2 2" xfId="8508" xr:uid="{00000000-0005-0000-0000-0000DC110000}"/>
    <cellStyle name="Normal 3 2 7 2 2 2" xfId="17834" xr:uid="{A513B2E8-DCC5-455D-91E9-C03193BEB79D}"/>
    <cellStyle name="Normal 3 2 7 2 2 3" xfId="26281" xr:uid="{B4F7EA6F-508F-4098-A5C2-DCEBC60867DC}"/>
    <cellStyle name="Normal 3 2 7 2 2 4" xfId="34728" xr:uid="{1EEC8379-8B2E-4A82-9BDD-CD1C685F9F69}"/>
    <cellStyle name="Normal 3 2 7 2 3" xfId="13617" xr:uid="{DD807855-351A-49CE-9558-A6F155972FFA}"/>
    <cellStyle name="Normal 3 2 7 2 4" xfId="22064" xr:uid="{9086F494-E8DF-49BA-B3E5-BE6FA885E250}"/>
    <cellStyle name="Normal 3 2 7 2 5" xfId="30511" xr:uid="{2A04F0BB-584B-4CBA-AE5C-C41A8151AACF}"/>
    <cellStyle name="Normal 3 2 7 3" xfId="6363" xr:uid="{00000000-0005-0000-0000-0000DD110000}"/>
    <cellStyle name="Normal 3 2 7 3 2" xfId="15689" xr:uid="{952EB417-8CB8-4C93-8B5C-57156475E5F3}"/>
    <cellStyle name="Normal 3 2 7 3 3" xfId="24136" xr:uid="{607E3536-50A1-4927-9B31-94FB34C9A8BB}"/>
    <cellStyle name="Normal 3 2 7 3 4" xfId="32583" xr:uid="{AF5B6CCE-796B-45F0-A2B2-D1E9610F8C31}"/>
    <cellStyle name="Normal 3 2 7 4" xfId="11472" xr:uid="{3118D7C5-A249-4E2B-A1CA-9E8DD1FE7632}"/>
    <cellStyle name="Normal 3 2 7 5" xfId="19919" xr:uid="{8A03240A-D206-4122-B8DA-5ABA9A318D6E}"/>
    <cellStyle name="Normal 3 2 7 6" xfId="28366" xr:uid="{69FACA90-183A-4D26-A825-89B47DDDC1C4}"/>
    <cellStyle name="Normal 3 2 8" xfId="2493" xr:uid="{00000000-0005-0000-0000-0000DE110000}"/>
    <cellStyle name="Normal 3 2 8 2" xfId="6776" xr:uid="{00000000-0005-0000-0000-0000DF110000}"/>
    <cellStyle name="Normal 3 2 8 2 2" xfId="16102" xr:uid="{EC69FBB6-7F29-4FA1-BE92-6CAE18D010E4}"/>
    <cellStyle name="Normal 3 2 8 2 3" xfId="24549" xr:uid="{6E416F33-61BC-4BE1-8A36-EB6E22DCB492}"/>
    <cellStyle name="Normal 3 2 8 2 4" xfId="32996" xr:uid="{B5B8AF72-21ED-4F06-A320-C7838CBD521A}"/>
    <cellStyle name="Normal 3 2 8 3" xfId="11885" xr:uid="{2CE31803-3F68-4D04-BD70-C43836C94CF2}"/>
    <cellStyle name="Normal 3 2 8 4" xfId="20332" xr:uid="{0B682F32-19FD-46D7-9213-0997723043B1}"/>
    <cellStyle name="Normal 3 2 8 5" xfId="28779" xr:uid="{D2D313C8-A59E-4B1C-B98B-10E47CB28E4A}"/>
    <cellStyle name="Normal 3 2 9" xfId="4710" xr:uid="{00000000-0005-0000-0000-0000E0110000}"/>
    <cellStyle name="Normal 3 2 9 2" xfId="14036" xr:uid="{711EC018-D064-468E-961E-AFF859367444}"/>
    <cellStyle name="Normal 3 2 9 3" xfId="22483" xr:uid="{5E4AC889-7EAD-4DEF-9CAF-8D1D33AD8289}"/>
    <cellStyle name="Normal 3 2 9 4" xfId="30930" xr:uid="{5D6DFD2D-3951-43F2-9734-A9B9A2CF3AC2}"/>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11" xfId="9824" xr:uid="{E8143B73-6652-4792-9AD2-A88E8394B86F}"/>
    <cellStyle name="Normal 4 12" xfId="18271" xr:uid="{7846CA4F-55F0-4866-880B-6F5341034ED0}"/>
    <cellStyle name="Normal 4 13" xfId="26718" xr:uid="{ED55FCCD-0527-4FC4-950C-F7A9223E9856}"/>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17839" xr:uid="{795EC25B-49CE-4407-9451-A7EBBA5BA092}"/>
    <cellStyle name="Normal 4 2 2 10 2 2 3" xfId="26286" xr:uid="{EEE67B68-58B9-40DB-93AC-02681AAE4111}"/>
    <cellStyle name="Normal 4 2 2 10 2 2 4" xfId="34733" xr:uid="{28F7F59F-EE9E-491B-BF27-B3BC4CF7BFB8}"/>
    <cellStyle name="Normal 4 2 2 10 2 3" xfId="13622" xr:uid="{A54D5B6C-35BF-477A-9EBA-40350D307299}"/>
    <cellStyle name="Normal 4 2 2 10 2 4" xfId="22069" xr:uid="{A236A000-3C7F-4F6A-BF0C-EDAA0260E4C1}"/>
    <cellStyle name="Normal 4 2 2 10 2 5" xfId="30516" xr:uid="{92B4DAD9-5227-472B-B45D-B7FB2BF6C9AB}"/>
    <cellStyle name="Normal 4 2 2 10 3" xfId="6368" xr:uid="{00000000-0005-0000-0000-0000ED110000}"/>
    <cellStyle name="Normal 4 2 2 10 3 2" xfId="15694" xr:uid="{C3DB267E-92CC-4CD0-9B86-2C7EA863EAEE}"/>
    <cellStyle name="Normal 4 2 2 10 3 3" xfId="24141" xr:uid="{2BAD4366-3902-4F18-89CA-F6323A04D981}"/>
    <cellStyle name="Normal 4 2 2 10 3 4" xfId="32588" xr:uid="{4185A012-740D-4ED1-AAC9-E75093C1E08B}"/>
    <cellStyle name="Normal 4 2 2 10 4" xfId="11477" xr:uid="{1EF431BF-0658-4180-96D3-E717C4B44F01}"/>
    <cellStyle name="Normal 4 2 2 10 5" xfId="19924" xr:uid="{8AF3D89D-1448-4072-BB90-F29E02393F10}"/>
    <cellStyle name="Normal 4 2 2 10 6" xfId="28371" xr:uid="{0E982368-3F2F-42FE-98B4-FF35D0108B34}"/>
    <cellStyle name="Normal 4 2 2 11" xfId="2498" xr:uid="{00000000-0005-0000-0000-0000EE110000}"/>
    <cellStyle name="Normal 4 2 2 11 2" xfId="6781" xr:uid="{00000000-0005-0000-0000-0000EF110000}"/>
    <cellStyle name="Normal 4 2 2 11 2 2" xfId="16107" xr:uid="{B79A3894-4E71-4E2E-9729-4098FEEAFE77}"/>
    <cellStyle name="Normal 4 2 2 11 2 3" xfId="24554" xr:uid="{F2A8AA93-3502-454E-AFEF-BE0D2CF3E00C}"/>
    <cellStyle name="Normal 4 2 2 11 2 4" xfId="33001" xr:uid="{AFDC6FA6-AB25-4F8F-8752-5FCBBBB5EF35}"/>
    <cellStyle name="Normal 4 2 2 11 3" xfId="11890" xr:uid="{12C2B89C-3C82-4BB8-8298-D8B75F6ED8BA}"/>
    <cellStyle name="Normal 4 2 2 11 4" xfId="20337" xr:uid="{2B803AA4-C9C7-44C5-BEB2-0304B8B78BF9}"/>
    <cellStyle name="Normal 4 2 2 11 5" xfId="28784" xr:uid="{7F71E3A5-5737-4394-952B-FF2DD70E6C9A}"/>
    <cellStyle name="Normal 4 2 2 12" xfId="4716" xr:uid="{00000000-0005-0000-0000-0000F0110000}"/>
    <cellStyle name="Normal 4 2 2 12 2" xfId="14042" xr:uid="{C0BB55A3-E207-41E3-AC8C-DE8327C2E923}"/>
    <cellStyle name="Normal 4 2 2 12 3" xfId="22489" xr:uid="{E3F0CF2B-64FF-4DC0-80AA-61E7590F61D7}"/>
    <cellStyle name="Normal 4 2 2 12 4" xfId="30936" xr:uid="{4C2F9E74-5603-4641-9443-646E43E4595D}"/>
    <cellStyle name="Normal 4 2 2 13" xfId="8752" xr:uid="{7B61EFAC-4165-4615-9A47-7AF5DAE027C9}"/>
    <cellStyle name="Normal 4 2 2 14" xfId="9825" xr:uid="{4DB5D541-0D70-44B6-BF9F-0BE0C89D4C4B}"/>
    <cellStyle name="Normal 4 2 2 15" xfId="18272" xr:uid="{B2F0662D-413A-4A0E-8E89-DA10FDC376CA}"/>
    <cellStyle name="Normal 4 2 2 16" xfId="26719" xr:uid="{A0376133-7FD4-4179-92F9-1CD31C332743}"/>
    <cellStyle name="Normal 4 2 2 2" xfId="338" xr:uid="{00000000-0005-0000-0000-0000F1110000}"/>
    <cellStyle name="Normal 4 2 2 3" xfId="339" xr:uid="{00000000-0005-0000-0000-0000F2110000}"/>
    <cellStyle name="Normal 4 2 2 3 10" xfId="4717" xr:uid="{00000000-0005-0000-0000-0000F3110000}"/>
    <cellStyle name="Normal 4 2 2 3 10 2" xfId="14043" xr:uid="{ACBF13FA-F44D-4588-95EB-935A6E7BABC2}"/>
    <cellStyle name="Normal 4 2 2 3 10 3" xfId="22490" xr:uid="{5A3B0155-D073-4CD0-A617-C275226E3F49}"/>
    <cellStyle name="Normal 4 2 2 3 10 4" xfId="30937" xr:uid="{D0D3627E-675A-43B6-B117-EFB80294E789}"/>
    <cellStyle name="Normal 4 2 2 3 11" xfId="8784" xr:uid="{8AA3A883-811C-4C4A-AFFF-9AAED56BF228}"/>
    <cellStyle name="Normal 4 2 2 3 12" xfId="9826" xr:uid="{A10B63F1-3D94-4B93-8AF8-744E8926F5C5}"/>
    <cellStyle name="Normal 4 2 2 3 13" xfId="18273" xr:uid="{577DCF4A-DBEC-464C-97FE-EC95779C723B}"/>
    <cellStyle name="Normal 4 2 2 3 14" xfId="26720" xr:uid="{07599599-9420-4841-967A-953F5B9B4899}"/>
    <cellStyle name="Normal 4 2 2 3 2" xfId="340" xr:uid="{00000000-0005-0000-0000-0000F4110000}"/>
    <cellStyle name="Normal 4 2 2 3 2 10" xfId="8819" xr:uid="{16629302-3759-4242-B07E-BB5D034B10E8}"/>
    <cellStyle name="Normal 4 2 2 3 2 11" xfId="9827" xr:uid="{8EFF5251-C1BB-42C4-AF97-3132F6FC2021}"/>
    <cellStyle name="Normal 4 2 2 3 2 12" xfId="18274" xr:uid="{1C02F31A-0ED4-41B4-B468-9814AFA0BA2E}"/>
    <cellStyle name="Normal 4 2 2 3 2 13" xfId="26721" xr:uid="{1EC2B9A5-84FA-4ABA-BEC6-C9D09D4C1C14}"/>
    <cellStyle name="Normal 4 2 2 3 2 2" xfId="341" xr:uid="{00000000-0005-0000-0000-0000F5110000}"/>
    <cellStyle name="Normal 4 2 2 3 2 2 10" xfId="9828" xr:uid="{91E6B78C-66BC-478F-AFFD-CFDD32908A2F}"/>
    <cellStyle name="Normal 4 2 2 3 2 2 11" xfId="18275" xr:uid="{EAEB85E5-1EB3-4567-9302-5F1EC654FA33}"/>
    <cellStyle name="Normal 4 2 2 3 2 2 12" xfId="26722" xr:uid="{B498AB5F-8681-4331-9A76-85A1A5CD9C6E}"/>
    <cellStyle name="Normal 4 2 2 3 2 2 2" xfId="342" xr:uid="{00000000-0005-0000-0000-0000F6110000}"/>
    <cellStyle name="Normal 4 2 2 3 2 2 2 10" xfId="18276" xr:uid="{C8DEBCAF-AD86-4592-8156-95E07FF076CF}"/>
    <cellStyle name="Normal 4 2 2 3 2 2 2 11" xfId="26723" xr:uid="{5247D0DD-69AE-407E-A96A-BB18D8179F3D}"/>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16604" xr:uid="{24301C71-E163-4F8D-B5DF-860A49EAA2B8}"/>
    <cellStyle name="Normal 4 2 2 3 2 2 2 2 2 2 3" xfId="25051" xr:uid="{D9D90E0F-ACC1-4900-9B37-A63BD99705B3}"/>
    <cellStyle name="Normal 4 2 2 3 2 2 2 2 2 2 4" xfId="33498" xr:uid="{99239C39-AC03-49C4-9BF9-2A2F4792EC56}"/>
    <cellStyle name="Normal 4 2 2 3 2 2 2 2 2 3" xfId="12387" xr:uid="{98D7C463-2AEB-4AFA-8EAC-49501AE37DDD}"/>
    <cellStyle name="Normal 4 2 2 3 2 2 2 2 2 4" xfId="20834" xr:uid="{7CD70EA6-0BF6-40D3-AB1B-513D9F40EFEC}"/>
    <cellStyle name="Normal 4 2 2 3 2 2 2 2 2 5" xfId="29281" xr:uid="{48E99998-BE91-4E36-A4C2-247236783C8D}"/>
    <cellStyle name="Normal 4 2 2 3 2 2 2 2 3" xfId="5133" xr:uid="{00000000-0005-0000-0000-0000FA110000}"/>
    <cellStyle name="Normal 4 2 2 3 2 2 2 2 3 2" xfId="14459" xr:uid="{B0092A3F-8DE4-465F-BEBF-4E095AD71368}"/>
    <cellStyle name="Normal 4 2 2 3 2 2 2 2 3 3" xfId="22906" xr:uid="{C1AE4AAC-94CA-4D14-A353-867142348765}"/>
    <cellStyle name="Normal 4 2 2 3 2 2 2 2 3 4" xfId="31353" xr:uid="{302AB979-7EE6-403D-9BE3-39B4D1B280FA}"/>
    <cellStyle name="Normal 4 2 2 3 2 2 2 2 4" xfId="9554" xr:uid="{BAC669EC-8948-4716-90C3-0688F03300CE}"/>
    <cellStyle name="Normal 4 2 2 3 2 2 2 2 5" xfId="10242" xr:uid="{287002C5-343A-4FE3-B0AC-0EA864B4E8D3}"/>
    <cellStyle name="Normal 4 2 2 3 2 2 2 2 6" xfId="18689" xr:uid="{5FF2C597-3972-4CE1-9803-3B523A799667}"/>
    <cellStyle name="Normal 4 2 2 3 2 2 2 2 7" xfId="27136" xr:uid="{4592F639-30BF-49CC-89B3-4BE0903587AC}"/>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17017" xr:uid="{23859D32-5A1E-4410-B3A9-13EDAD7F2C0A}"/>
    <cellStyle name="Normal 4 2 2 3 2 2 2 3 2 2 3" xfId="25464" xr:uid="{E01026C7-B5EF-4887-AFB7-A14D0CD7BB64}"/>
    <cellStyle name="Normal 4 2 2 3 2 2 2 3 2 2 4" xfId="33911" xr:uid="{0097FCAA-3FF9-4C80-82AA-E268987B9BEB}"/>
    <cellStyle name="Normal 4 2 2 3 2 2 2 3 2 3" xfId="12800" xr:uid="{92ECDA33-D33A-437E-9579-894FB11D817B}"/>
    <cellStyle name="Normal 4 2 2 3 2 2 2 3 2 4" xfId="21247" xr:uid="{C7EA1849-4AB9-4E50-8047-0A8E8C044A44}"/>
    <cellStyle name="Normal 4 2 2 3 2 2 2 3 2 5" xfId="29694" xr:uid="{F0595F02-BBCF-410C-888A-1ABA4DC8EB6B}"/>
    <cellStyle name="Normal 4 2 2 3 2 2 2 3 3" xfId="5546" xr:uid="{00000000-0005-0000-0000-0000FE110000}"/>
    <cellStyle name="Normal 4 2 2 3 2 2 2 3 3 2" xfId="14872" xr:uid="{CA93E605-22D2-47AF-AC5D-7F2AFC81015A}"/>
    <cellStyle name="Normal 4 2 2 3 2 2 2 3 3 3" xfId="23319" xr:uid="{048C1201-ADE5-4448-8BB0-429DC805FBAB}"/>
    <cellStyle name="Normal 4 2 2 3 2 2 2 3 3 4" xfId="31766" xr:uid="{6A512429-7D64-444D-AFA4-03F70B3A7170}"/>
    <cellStyle name="Normal 4 2 2 3 2 2 2 3 4" xfId="10655" xr:uid="{7885CF85-6FD3-4FC0-AFC6-C38399540738}"/>
    <cellStyle name="Normal 4 2 2 3 2 2 2 3 5" xfId="19102" xr:uid="{62CDF843-1F32-4F23-9EE9-B624DC901F52}"/>
    <cellStyle name="Normal 4 2 2 3 2 2 2 3 6" xfId="27549" xr:uid="{835DC3E8-FE3C-47E6-A2E5-68B10D226C3E}"/>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17430" xr:uid="{0F62E1A4-8C01-4ABF-8C3F-1DE27081839A}"/>
    <cellStyle name="Normal 4 2 2 3 2 2 2 4 2 2 3" xfId="25877" xr:uid="{EEAA3475-DF0A-4B0F-8F59-D52392DBD192}"/>
    <cellStyle name="Normal 4 2 2 3 2 2 2 4 2 2 4" xfId="34324" xr:uid="{D74EDA81-2940-4886-A51E-907DAD825155}"/>
    <cellStyle name="Normal 4 2 2 3 2 2 2 4 2 3" xfId="13213" xr:uid="{05D951B2-2606-46FA-9C1E-B13D23943F2E}"/>
    <cellStyle name="Normal 4 2 2 3 2 2 2 4 2 4" xfId="21660" xr:uid="{90ED1E64-A1D6-4984-B772-2347A3F705DC}"/>
    <cellStyle name="Normal 4 2 2 3 2 2 2 4 2 5" xfId="30107" xr:uid="{74F4A3DA-C817-4809-B45C-8A5752F9C899}"/>
    <cellStyle name="Normal 4 2 2 3 2 2 2 4 3" xfId="5959" xr:uid="{00000000-0005-0000-0000-000002120000}"/>
    <cellStyle name="Normal 4 2 2 3 2 2 2 4 3 2" xfId="15285" xr:uid="{B08018AD-D6A8-4DE0-9CE5-5A0D10FC3306}"/>
    <cellStyle name="Normal 4 2 2 3 2 2 2 4 3 3" xfId="23732" xr:uid="{D9F5B313-F0AC-469D-870B-63EE4EA95EC6}"/>
    <cellStyle name="Normal 4 2 2 3 2 2 2 4 3 4" xfId="32179" xr:uid="{1365C716-6CA0-4548-8B96-9A2200DA35B5}"/>
    <cellStyle name="Normal 4 2 2 3 2 2 2 4 4" xfId="11068" xr:uid="{7690A142-2396-4C88-89A1-E3F186F233C3}"/>
    <cellStyle name="Normal 4 2 2 3 2 2 2 4 5" xfId="19515" xr:uid="{C472E350-F5A1-4302-8A93-D64289E5AE1C}"/>
    <cellStyle name="Normal 4 2 2 3 2 2 2 4 6" xfId="27962" xr:uid="{0E44145F-23D7-429C-8123-428B772C7F8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17843" xr:uid="{0F4833CC-48AB-4F8B-B966-8E2CD01A2CA9}"/>
    <cellStyle name="Normal 4 2 2 3 2 2 2 5 2 2 3" xfId="26290" xr:uid="{8214AC9F-6274-4A9B-8B29-C3410B628CAE}"/>
    <cellStyle name="Normal 4 2 2 3 2 2 2 5 2 2 4" xfId="34737" xr:uid="{1A605849-DB6D-4691-8EC9-52468373DD99}"/>
    <cellStyle name="Normal 4 2 2 3 2 2 2 5 2 3" xfId="13626" xr:uid="{1700B750-C3E5-4432-9F7F-51B7D19B91E5}"/>
    <cellStyle name="Normal 4 2 2 3 2 2 2 5 2 4" xfId="22073" xr:uid="{3F12C68C-56BF-4E4B-867F-70F6168A0233}"/>
    <cellStyle name="Normal 4 2 2 3 2 2 2 5 2 5" xfId="30520" xr:uid="{F3278748-0CE3-4EF0-ADB3-025D56316727}"/>
    <cellStyle name="Normal 4 2 2 3 2 2 2 5 3" xfId="6372" xr:uid="{00000000-0005-0000-0000-000006120000}"/>
    <cellStyle name="Normal 4 2 2 3 2 2 2 5 3 2" xfId="15698" xr:uid="{C17A7542-CB6B-466B-8917-4C7B9612EE28}"/>
    <cellStyle name="Normal 4 2 2 3 2 2 2 5 3 3" xfId="24145" xr:uid="{DE051DD6-004D-490F-915B-55F7396BE90B}"/>
    <cellStyle name="Normal 4 2 2 3 2 2 2 5 3 4" xfId="32592" xr:uid="{988ABBAF-A303-4532-9C5C-5E42FCCB13CE}"/>
    <cellStyle name="Normal 4 2 2 3 2 2 2 5 4" xfId="11481" xr:uid="{39BCC3DB-42A9-4BC2-81D4-AC45679AFA40}"/>
    <cellStyle name="Normal 4 2 2 3 2 2 2 5 5" xfId="19928" xr:uid="{9EFD4CC0-192F-4ED3-8880-FC1BE6034A80}"/>
    <cellStyle name="Normal 4 2 2 3 2 2 2 5 6" xfId="28375" xr:uid="{08693862-8FE4-498C-9581-65FA1DD0A708}"/>
    <cellStyle name="Normal 4 2 2 3 2 2 2 6" xfId="2502" xr:uid="{00000000-0005-0000-0000-000007120000}"/>
    <cellStyle name="Normal 4 2 2 3 2 2 2 6 2" xfId="6785" xr:uid="{00000000-0005-0000-0000-000008120000}"/>
    <cellStyle name="Normal 4 2 2 3 2 2 2 6 2 2" xfId="16111" xr:uid="{350B465F-A90A-4381-8BB5-CA2001AEAA4D}"/>
    <cellStyle name="Normal 4 2 2 3 2 2 2 6 2 3" xfId="24558" xr:uid="{D9CF5E58-4471-4AB7-BABA-64D8A30C617C}"/>
    <cellStyle name="Normal 4 2 2 3 2 2 2 6 2 4" xfId="33005" xr:uid="{53DC3A7D-7A87-4F3B-9DAB-8AFB85E07BF9}"/>
    <cellStyle name="Normal 4 2 2 3 2 2 2 6 3" xfId="11894" xr:uid="{76009ED1-7539-4C0D-9EAB-86CDF726EDBC}"/>
    <cellStyle name="Normal 4 2 2 3 2 2 2 6 4" xfId="20341" xr:uid="{5F298322-2833-4A71-9039-29E3F0C589CB}"/>
    <cellStyle name="Normal 4 2 2 3 2 2 2 6 5" xfId="28788" xr:uid="{27307105-7BE4-4D1E-AD23-8CE6ADD0CCB0}"/>
    <cellStyle name="Normal 4 2 2 3 2 2 2 7" xfId="4720" xr:uid="{00000000-0005-0000-0000-000009120000}"/>
    <cellStyle name="Normal 4 2 2 3 2 2 2 7 2" xfId="14046" xr:uid="{1447BBFE-462F-4E46-9CB9-F652A0C90169}"/>
    <cellStyle name="Normal 4 2 2 3 2 2 2 7 3" xfId="22493" xr:uid="{09D26C3D-4FB8-42EF-AFD6-9589E0770F89}"/>
    <cellStyle name="Normal 4 2 2 3 2 2 2 7 4" xfId="30940" xr:uid="{DCFF7768-3DBC-4D74-9E8D-3E6660EB5B1C}"/>
    <cellStyle name="Normal 4 2 2 3 2 2 2 8" xfId="9129" xr:uid="{970F8072-C8D6-4D17-95D6-EBF431EAD262}"/>
    <cellStyle name="Normal 4 2 2 3 2 2 2 9" xfId="9829" xr:uid="{F8195A12-F9CA-4CD5-A35E-6E261238C9A5}"/>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16603" xr:uid="{BA0D1927-1C11-4938-A594-35A32EB80301}"/>
    <cellStyle name="Normal 4 2 2 3 2 2 3 2 2 3" xfId="25050" xr:uid="{962CD5C9-75AB-4A41-8051-819DFCE8C661}"/>
    <cellStyle name="Normal 4 2 2 3 2 2 3 2 2 4" xfId="33497" xr:uid="{159EC9F6-EC48-4EA0-B926-837530D5D116}"/>
    <cellStyle name="Normal 4 2 2 3 2 2 3 2 3" xfId="12386" xr:uid="{1BED220D-1DBC-4124-ABD6-EC93C6319DCC}"/>
    <cellStyle name="Normal 4 2 2 3 2 2 3 2 4" xfId="20833" xr:uid="{2617E241-F90E-4898-AF2B-31E1C2ABA4B2}"/>
    <cellStyle name="Normal 4 2 2 3 2 2 3 2 5" xfId="29280" xr:uid="{1E3B8E35-D869-4CF2-BD3E-A3192E7D15EB}"/>
    <cellStyle name="Normal 4 2 2 3 2 2 3 3" xfId="5132" xr:uid="{00000000-0005-0000-0000-00000D120000}"/>
    <cellStyle name="Normal 4 2 2 3 2 2 3 3 2" xfId="14458" xr:uid="{704CF9FD-C13A-4CC7-B309-A47846B8305A}"/>
    <cellStyle name="Normal 4 2 2 3 2 2 3 3 3" xfId="22905" xr:uid="{5584EFB3-90DB-4B3E-9C70-028E2A304B33}"/>
    <cellStyle name="Normal 4 2 2 3 2 2 3 3 4" xfId="31352" xr:uid="{77AD27E9-2B46-42A9-886A-8A472A5E68A7}"/>
    <cellStyle name="Normal 4 2 2 3 2 2 3 4" xfId="9347" xr:uid="{8C9012CB-19BB-4242-9F43-373358B13B52}"/>
    <cellStyle name="Normal 4 2 2 3 2 2 3 5" xfId="10241" xr:uid="{ADD52F7F-7662-4343-A48C-1F1117AA5F75}"/>
    <cellStyle name="Normal 4 2 2 3 2 2 3 6" xfId="18688" xr:uid="{23DA6878-C54E-4523-A5AD-149270478E20}"/>
    <cellStyle name="Normal 4 2 2 3 2 2 3 7" xfId="27135" xr:uid="{A212D145-8593-49D5-86C3-748FD2ABDDB9}"/>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17016" xr:uid="{A2580520-92FF-4FC5-A8EA-EBB8B2CBB596}"/>
    <cellStyle name="Normal 4 2 2 3 2 2 4 2 2 3" xfId="25463" xr:uid="{E3EFE66F-457A-4940-9A0A-CBF6EBE82741}"/>
    <cellStyle name="Normal 4 2 2 3 2 2 4 2 2 4" xfId="33910" xr:uid="{F3F275B2-17F7-4135-AB7D-7BBE9DD019CD}"/>
    <cellStyle name="Normal 4 2 2 3 2 2 4 2 3" xfId="12799" xr:uid="{6FC32C30-B0F5-457B-B8B3-D5B37CF8D0F5}"/>
    <cellStyle name="Normal 4 2 2 3 2 2 4 2 4" xfId="21246" xr:uid="{F28BBF21-4E28-4CB4-98EB-0530F88AF246}"/>
    <cellStyle name="Normal 4 2 2 3 2 2 4 2 5" xfId="29693" xr:uid="{4E6581AE-5D49-445C-9CB4-C2DBEF700117}"/>
    <cellStyle name="Normal 4 2 2 3 2 2 4 3" xfId="5545" xr:uid="{00000000-0005-0000-0000-000011120000}"/>
    <cellStyle name="Normal 4 2 2 3 2 2 4 3 2" xfId="14871" xr:uid="{CBD00226-2271-4DA4-9397-707F517EC7CE}"/>
    <cellStyle name="Normal 4 2 2 3 2 2 4 3 3" xfId="23318" xr:uid="{BCAF4F4A-9BE3-431B-870F-5022EEF83878}"/>
    <cellStyle name="Normal 4 2 2 3 2 2 4 3 4" xfId="31765" xr:uid="{99CABD6B-9CE4-4D6A-91BE-C89B75B9FF3D}"/>
    <cellStyle name="Normal 4 2 2 3 2 2 4 4" xfId="10654" xr:uid="{7AD463D3-1830-4593-AC0C-CB1AFB70ECA6}"/>
    <cellStyle name="Normal 4 2 2 3 2 2 4 5" xfId="19101" xr:uid="{35DDE18D-3A44-427B-ABD2-E512B202E5DF}"/>
    <cellStyle name="Normal 4 2 2 3 2 2 4 6" xfId="27548" xr:uid="{6F5DB79F-3B9C-40F1-9246-878C6395C33A}"/>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17429" xr:uid="{C1A605CD-13ED-4D88-85BD-429BDC716739}"/>
    <cellStyle name="Normal 4 2 2 3 2 2 5 2 2 3" xfId="25876" xr:uid="{46A380AF-6370-4F45-AA8F-060C525F5A1A}"/>
    <cellStyle name="Normal 4 2 2 3 2 2 5 2 2 4" xfId="34323" xr:uid="{32E9CE60-EC2E-430C-AB71-F21D298F24BA}"/>
    <cellStyle name="Normal 4 2 2 3 2 2 5 2 3" xfId="13212" xr:uid="{EE8FD9E4-74F5-44DF-92B8-4A4D168C0568}"/>
    <cellStyle name="Normal 4 2 2 3 2 2 5 2 4" xfId="21659" xr:uid="{16FB103E-8D92-406C-AB11-BDFD1A7A99A3}"/>
    <cellStyle name="Normal 4 2 2 3 2 2 5 2 5" xfId="30106" xr:uid="{E7583068-B14F-468E-9FEB-B22D349BECB6}"/>
    <cellStyle name="Normal 4 2 2 3 2 2 5 3" xfId="5958" xr:uid="{00000000-0005-0000-0000-000015120000}"/>
    <cellStyle name="Normal 4 2 2 3 2 2 5 3 2" xfId="15284" xr:uid="{5D7CE298-793F-402A-B42D-C35B97E07F97}"/>
    <cellStyle name="Normal 4 2 2 3 2 2 5 3 3" xfId="23731" xr:uid="{EAB579FF-C20C-44D0-9DD8-85344C651790}"/>
    <cellStyle name="Normal 4 2 2 3 2 2 5 3 4" xfId="32178" xr:uid="{A42EF981-4EC0-456B-8E8D-1F93D052DB4B}"/>
    <cellStyle name="Normal 4 2 2 3 2 2 5 4" xfId="11067" xr:uid="{51AB7207-0836-42AE-9BAA-0F50C7B7956B}"/>
    <cellStyle name="Normal 4 2 2 3 2 2 5 5" xfId="19514" xr:uid="{7693497B-03A2-4BF9-AC6B-58460427F066}"/>
    <cellStyle name="Normal 4 2 2 3 2 2 5 6" xfId="27961" xr:uid="{0586AEEC-79DD-4C5E-AED0-DB29846E4612}"/>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17842" xr:uid="{6432965E-C3BC-4A4A-9BCC-02D2FF3377A4}"/>
    <cellStyle name="Normal 4 2 2 3 2 2 6 2 2 3" xfId="26289" xr:uid="{535021A3-4680-432D-8DCD-B5B2BA03D3A0}"/>
    <cellStyle name="Normal 4 2 2 3 2 2 6 2 2 4" xfId="34736" xr:uid="{5A2A10D0-DA7E-4F0B-BDD4-81EB95208D3C}"/>
    <cellStyle name="Normal 4 2 2 3 2 2 6 2 3" xfId="13625" xr:uid="{687F0AE0-FB84-4EDF-AEA1-4E9445EF288E}"/>
    <cellStyle name="Normal 4 2 2 3 2 2 6 2 4" xfId="22072" xr:uid="{0EAC63CC-910C-4102-A5B3-C9AAE61FEF38}"/>
    <cellStyle name="Normal 4 2 2 3 2 2 6 2 5" xfId="30519" xr:uid="{070C3989-674B-41DB-A468-DB358803A3E1}"/>
    <cellStyle name="Normal 4 2 2 3 2 2 6 3" xfId="6371" xr:uid="{00000000-0005-0000-0000-000019120000}"/>
    <cellStyle name="Normal 4 2 2 3 2 2 6 3 2" xfId="15697" xr:uid="{8AC3AFF0-0DD4-4AB8-AF94-1D19C6DD6A5E}"/>
    <cellStyle name="Normal 4 2 2 3 2 2 6 3 3" xfId="24144" xr:uid="{5FF0020B-3140-4118-8308-1854C812107E}"/>
    <cellStyle name="Normal 4 2 2 3 2 2 6 3 4" xfId="32591" xr:uid="{DADF7C4D-596D-45C8-B3D6-90F9AE77883E}"/>
    <cellStyle name="Normal 4 2 2 3 2 2 6 4" xfId="11480" xr:uid="{84617A80-E976-440F-A7AD-E1AD3119DD71}"/>
    <cellStyle name="Normal 4 2 2 3 2 2 6 5" xfId="19927" xr:uid="{56C39FDF-FC46-4CE0-9C08-C2E11BA82406}"/>
    <cellStyle name="Normal 4 2 2 3 2 2 6 6" xfId="28374" xr:uid="{D58303A2-8AF8-49F3-8999-62F5997DFD1D}"/>
    <cellStyle name="Normal 4 2 2 3 2 2 7" xfId="2501" xr:uid="{00000000-0005-0000-0000-00001A120000}"/>
    <cellStyle name="Normal 4 2 2 3 2 2 7 2" xfId="6784" xr:uid="{00000000-0005-0000-0000-00001B120000}"/>
    <cellStyle name="Normal 4 2 2 3 2 2 7 2 2" xfId="16110" xr:uid="{EE477A7B-5D5A-4FD7-BCF3-AF206E0035B4}"/>
    <cellStyle name="Normal 4 2 2 3 2 2 7 2 3" xfId="24557" xr:uid="{59A9905C-EE26-4438-BA53-BE2E153455B3}"/>
    <cellStyle name="Normal 4 2 2 3 2 2 7 2 4" xfId="33004" xr:uid="{EF4BF3C4-69CB-4180-9FCE-98058F6A32DB}"/>
    <cellStyle name="Normal 4 2 2 3 2 2 7 3" xfId="11893" xr:uid="{5DB9C5C0-7169-4E67-BF71-91FB92D66CE8}"/>
    <cellStyle name="Normal 4 2 2 3 2 2 7 4" xfId="20340" xr:uid="{5F50A7A4-88CF-4914-B89C-ABE484E4F1A1}"/>
    <cellStyle name="Normal 4 2 2 3 2 2 7 5" xfId="28787" xr:uid="{091CA5BF-EF03-4359-B900-DDA3835D238B}"/>
    <cellStyle name="Normal 4 2 2 3 2 2 8" xfId="4719" xr:uid="{00000000-0005-0000-0000-00001C120000}"/>
    <cellStyle name="Normal 4 2 2 3 2 2 8 2" xfId="14045" xr:uid="{95E96128-FBC2-42C2-B773-1A99B2D40B00}"/>
    <cellStyle name="Normal 4 2 2 3 2 2 8 3" xfId="22492" xr:uid="{3AA113CD-85C9-498E-96A3-A7B6495F3C41}"/>
    <cellStyle name="Normal 4 2 2 3 2 2 8 4" xfId="30939" xr:uid="{1682DBED-B4C0-4244-9C14-FF6C92B13FC4}"/>
    <cellStyle name="Normal 4 2 2 3 2 2 9" xfId="8922" xr:uid="{32C9E21B-8C85-4874-B28C-82BF39BA84E2}"/>
    <cellStyle name="Normal 4 2 2 3 2 3" xfId="343" xr:uid="{00000000-0005-0000-0000-00001D120000}"/>
    <cellStyle name="Normal 4 2 2 3 2 3 10" xfId="18277" xr:uid="{20956C7B-4AB5-44EE-A3E2-45FBA332120C}"/>
    <cellStyle name="Normal 4 2 2 3 2 3 11" xfId="26724" xr:uid="{3E287E38-A26C-4866-ADCE-A06E1E748E1C}"/>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16605" xr:uid="{1F48D9AF-8CF3-4542-B8A6-36285F230B90}"/>
    <cellStyle name="Normal 4 2 2 3 2 3 2 2 2 3" xfId="25052" xr:uid="{95063704-8BAF-4A8F-9589-6515937AD6AA}"/>
    <cellStyle name="Normal 4 2 2 3 2 3 2 2 2 4" xfId="33499" xr:uid="{B1D44F19-D777-42BB-A814-3DFAC66B1DA0}"/>
    <cellStyle name="Normal 4 2 2 3 2 3 2 2 3" xfId="12388" xr:uid="{ADA5D08D-6720-4F96-A34D-2B59CB4B162C}"/>
    <cellStyle name="Normal 4 2 2 3 2 3 2 2 4" xfId="20835" xr:uid="{8502106A-0D64-4932-98F6-8D464464DADB}"/>
    <cellStyle name="Normal 4 2 2 3 2 3 2 2 5" xfId="29282" xr:uid="{6030CF8B-5B1D-4FB6-B625-E2EB2510F427}"/>
    <cellStyle name="Normal 4 2 2 3 2 3 2 3" xfId="5134" xr:uid="{00000000-0005-0000-0000-000021120000}"/>
    <cellStyle name="Normal 4 2 2 3 2 3 2 3 2" xfId="14460" xr:uid="{D9B34F12-8D5C-4FA2-94C3-ED308A436CAF}"/>
    <cellStyle name="Normal 4 2 2 3 2 3 2 3 3" xfId="22907" xr:uid="{7D715C83-3D22-4096-9E07-5262BA819FCE}"/>
    <cellStyle name="Normal 4 2 2 3 2 3 2 3 4" xfId="31354" xr:uid="{41427581-D9F3-4061-BE20-5C066D56E851}"/>
    <cellStyle name="Normal 4 2 2 3 2 3 2 4" xfId="9451" xr:uid="{85AA9164-95F1-48F2-907A-54AD445D074F}"/>
    <cellStyle name="Normal 4 2 2 3 2 3 2 5" xfId="10243" xr:uid="{1740CE22-FD67-4AE7-B99C-F9334FB68D71}"/>
    <cellStyle name="Normal 4 2 2 3 2 3 2 6" xfId="18690" xr:uid="{274322AA-72C6-47FC-9141-04F1A4BCED85}"/>
    <cellStyle name="Normal 4 2 2 3 2 3 2 7" xfId="27137" xr:uid="{DAC68933-E4D3-4EF1-8488-64622FAC8C77}"/>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17018" xr:uid="{5BD147DB-8F69-4EC0-96A9-9F9B0FB19DD1}"/>
    <cellStyle name="Normal 4 2 2 3 2 3 3 2 2 3" xfId="25465" xr:uid="{CD8B1BE2-3A49-476B-9879-C50676ABA627}"/>
    <cellStyle name="Normal 4 2 2 3 2 3 3 2 2 4" xfId="33912" xr:uid="{DC34570B-2D2F-4E34-BF40-2546F04025E0}"/>
    <cellStyle name="Normal 4 2 2 3 2 3 3 2 3" xfId="12801" xr:uid="{9C584C31-7C76-40ED-8D79-C695D558A604}"/>
    <cellStyle name="Normal 4 2 2 3 2 3 3 2 4" xfId="21248" xr:uid="{C7421878-64F8-4985-AF15-72D7F4584EA3}"/>
    <cellStyle name="Normal 4 2 2 3 2 3 3 2 5" xfId="29695" xr:uid="{6226CAF9-EE10-4987-A1DC-841F5396D386}"/>
    <cellStyle name="Normal 4 2 2 3 2 3 3 3" xfId="5547" xr:uid="{00000000-0005-0000-0000-000025120000}"/>
    <cellStyle name="Normal 4 2 2 3 2 3 3 3 2" xfId="14873" xr:uid="{96528C6F-D596-4148-9E22-447900D569DF}"/>
    <cellStyle name="Normal 4 2 2 3 2 3 3 3 3" xfId="23320" xr:uid="{CE2F9D36-B037-42C4-A1A5-A250EFAEA6E8}"/>
    <cellStyle name="Normal 4 2 2 3 2 3 3 3 4" xfId="31767" xr:uid="{7F2EFBF6-AFD3-489C-B164-76E8D4A02ECE}"/>
    <cellStyle name="Normal 4 2 2 3 2 3 3 4" xfId="10656" xr:uid="{99A0C3D4-EDEA-412C-B903-72A62BC71B4A}"/>
    <cellStyle name="Normal 4 2 2 3 2 3 3 5" xfId="19103" xr:uid="{29FF2FA3-1979-4A65-98A3-13FC2237E4BC}"/>
    <cellStyle name="Normal 4 2 2 3 2 3 3 6" xfId="27550" xr:uid="{27D40791-4F09-486E-BCD7-FF5D544F8548}"/>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17431" xr:uid="{C389A545-CAB3-4437-A0D8-D885BE221576}"/>
    <cellStyle name="Normal 4 2 2 3 2 3 4 2 2 3" xfId="25878" xr:uid="{F80DD0DA-E37F-4EBB-A60B-35013547C8FC}"/>
    <cellStyle name="Normal 4 2 2 3 2 3 4 2 2 4" xfId="34325" xr:uid="{1CC53783-EE52-4625-B989-49B880255CFA}"/>
    <cellStyle name="Normal 4 2 2 3 2 3 4 2 3" xfId="13214" xr:uid="{34F2E7ED-097A-4D30-A772-2AF2B23953C7}"/>
    <cellStyle name="Normal 4 2 2 3 2 3 4 2 4" xfId="21661" xr:uid="{B2EF9A73-FDA8-44A4-83CF-644184C8F0E5}"/>
    <cellStyle name="Normal 4 2 2 3 2 3 4 2 5" xfId="30108" xr:uid="{95DD68BA-84AD-4326-8F25-4E68FE9290B4}"/>
    <cellStyle name="Normal 4 2 2 3 2 3 4 3" xfId="5960" xr:uid="{00000000-0005-0000-0000-000029120000}"/>
    <cellStyle name="Normal 4 2 2 3 2 3 4 3 2" xfId="15286" xr:uid="{964820DD-1CE6-4476-8B75-FDA3BC8B3815}"/>
    <cellStyle name="Normal 4 2 2 3 2 3 4 3 3" xfId="23733" xr:uid="{1125083F-824A-4AFD-A828-5AF9ECDAC17C}"/>
    <cellStyle name="Normal 4 2 2 3 2 3 4 3 4" xfId="32180" xr:uid="{ADD2E5FB-C629-4848-ABD0-597839C3F600}"/>
    <cellStyle name="Normal 4 2 2 3 2 3 4 4" xfId="11069" xr:uid="{6817D0F9-37CF-4792-8373-CE52613C0348}"/>
    <cellStyle name="Normal 4 2 2 3 2 3 4 5" xfId="19516" xr:uid="{4BDC1D82-4BED-4678-BDE1-B06751F97514}"/>
    <cellStyle name="Normal 4 2 2 3 2 3 4 6" xfId="27963" xr:uid="{3EBBABCA-750C-4700-A9C0-57947250A63F}"/>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17844" xr:uid="{A3E9C18B-61CA-498A-A7D3-6B4B439A7A2C}"/>
    <cellStyle name="Normal 4 2 2 3 2 3 5 2 2 3" xfId="26291" xr:uid="{7F235305-76D5-42E6-9FEF-50442429DDBA}"/>
    <cellStyle name="Normal 4 2 2 3 2 3 5 2 2 4" xfId="34738" xr:uid="{02ECDC84-35A4-4A0C-8FDC-4BD1B9157319}"/>
    <cellStyle name="Normal 4 2 2 3 2 3 5 2 3" xfId="13627" xr:uid="{3E144D13-E939-412D-8C71-159D5594BF5E}"/>
    <cellStyle name="Normal 4 2 2 3 2 3 5 2 4" xfId="22074" xr:uid="{68E31F7A-7E54-4B7A-AB1E-BE9C526C715A}"/>
    <cellStyle name="Normal 4 2 2 3 2 3 5 2 5" xfId="30521" xr:uid="{8E8C2EFC-F7B3-46DA-A49E-0F44A17317CF}"/>
    <cellStyle name="Normal 4 2 2 3 2 3 5 3" xfId="6373" xr:uid="{00000000-0005-0000-0000-00002D120000}"/>
    <cellStyle name="Normal 4 2 2 3 2 3 5 3 2" xfId="15699" xr:uid="{4E470CB2-E539-4997-86F3-F56C93493724}"/>
    <cellStyle name="Normal 4 2 2 3 2 3 5 3 3" xfId="24146" xr:uid="{4C9B2198-D4E7-4823-B7E5-CFC8506EC685}"/>
    <cellStyle name="Normal 4 2 2 3 2 3 5 3 4" xfId="32593" xr:uid="{AAD9F705-C579-4467-91C6-5ED60942EA16}"/>
    <cellStyle name="Normal 4 2 2 3 2 3 5 4" xfId="11482" xr:uid="{EFE9A6FF-5EB7-436C-926F-37CBCE02B94F}"/>
    <cellStyle name="Normal 4 2 2 3 2 3 5 5" xfId="19929" xr:uid="{F24E98D3-9A01-475F-8AEF-8DC8617D1B70}"/>
    <cellStyle name="Normal 4 2 2 3 2 3 5 6" xfId="28376" xr:uid="{053D2F57-3D08-40A7-A55F-D1F04EDDEB16}"/>
    <cellStyle name="Normal 4 2 2 3 2 3 6" xfId="2503" xr:uid="{00000000-0005-0000-0000-00002E120000}"/>
    <cellStyle name="Normal 4 2 2 3 2 3 6 2" xfId="6786" xr:uid="{00000000-0005-0000-0000-00002F120000}"/>
    <cellStyle name="Normal 4 2 2 3 2 3 6 2 2" xfId="16112" xr:uid="{AD6655A4-9BF5-4901-9BD4-1B7A8F8B257A}"/>
    <cellStyle name="Normal 4 2 2 3 2 3 6 2 3" xfId="24559" xr:uid="{4362E9A0-6765-4AF4-933F-27A32957F94C}"/>
    <cellStyle name="Normal 4 2 2 3 2 3 6 2 4" xfId="33006" xr:uid="{36A66949-66E7-4B5A-8DDE-4516896060ED}"/>
    <cellStyle name="Normal 4 2 2 3 2 3 6 3" xfId="11895" xr:uid="{0CB780C7-0252-4C9B-8F44-CB205E369E14}"/>
    <cellStyle name="Normal 4 2 2 3 2 3 6 4" xfId="20342" xr:uid="{5AB1E29A-C083-40E5-880D-1E12E40F6D4D}"/>
    <cellStyle name="Normal 4 2 2 3 2 3 6 5" xfId="28789" xr:uid="{BBC3E499-5596-4CE6-BD5B-54AB9E16ED4A}"/>
    <cellStyle name="Normal 4 2 2 3 2 3 7" xfId="4721" xr:uid="{00000000-0005-0000-0000-000030120000}"/>
    <cellStyle name="Normal 4 2 2 3 2 3 7 2" xfId="14047" xr:uid="{B1613E18-0A33-4676-B88F-D6D6EE4B7F0A}"/>
    <cellStyle name="Normal 4 2 2 3 2 3 7 3" xfId="22494" xr:uid="{3FAC52F0-6B46-4CAE-A86A-383983F7EEF0}"/>
    <cellStyle name="Normal 4 2 2 3 2 3 7 4" xfId="30941" xr:uid="{6E558DF4-B409-4226-9F06-5327647691CC}"/>
    <cellStyle name="Normal 4 2 2 3 2 3 8" xfId="9026" xr:uid="{319D63D3-F71C-4F99-9FD1-E3D0665567E8}"/>
    <cellStyle name="Normal 4 2 2 3 2 3 9" xfId="9830" xr:uid="{DEEEADCE-30B1-4E88-9E12-94BAFA9DEDFA}"/>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16602" xr:uid="{79D4E873-EA4B-4C7F-9054-C49E0374F4BD}"/>
    <cellStyle name="Normal 4 2 2 3 2 4 2 2 3" xfId="25049" xr:uid="{ADBD98F8-56C2-4267-845A-B59F522C48C3}"/>
    <cellStyle name="Normal 4 2 2 3 2 4 2 2 4" xfId="33496" xr:uid="{901A2293-63AC-44E4-AD8C-69C11751746A}"/>
    <cellStyle name="Normal 4 2 2 3 2 4 2 3" xfId="12385" xr:uid="{34000958-B826-48DE-ABC1-6E2049F464AB}"/>
    <cellStyle name="Normal 4 2 2 3 2 4 2 4" xfId="20832" xr:uid="{882506D8-6018-4D20-B895-200B93EBBEC9}"/>
    <cellStyle name="Normal 4 2 2 3 2 4 2 5" xfId="29279" xr:uid="{FFD09FD9-9DCD-474F-9041-2CD8A52CA0EC}"/>
    <cellStyle name="Normal 4 2 2 3 2 4 3" xfId="5131" xr:uid="{00000000-0005-0000-0000-000034120000}"/>
    <cellStyle name="Normal 4 2 2 3 2 4 3 2" xfId="14457" xr:uid="{D4818602-4C00-42EB-A10D-1DA9EB30D987}"/>
    <cellStyle name="Normal 4 2 2 3 2 4 3 3" xfId="22904" xr:uid="{2DF66145-9B7C-4DA9-8638-BFDF9AD7C80E}"/>
    <cellStyle name="Normal 4 2 2 3 2 4 3 4" xfId="31351" xr:uid="{8DE8D4C8-06A2-4D15-A6AC-5DE196A77B35}"/>
    <cellStyle name="Normal 4 2 2 3 2 4 4" xfId="9244" xr:uid="{98623F27-324A-40DE-AA2B-56E1FCE087EE}"/>
    <cellStyle name="Normal 4 2 2 3 2 4 5" xfId="10240" xr:uid="{BB0D73A1-4E41-4FA6-B2D8-2BD6268D114E}"/>
    <cellStyle name="Normal 4 2 2 3 2 4 6" xfId="18687" xr:uid="{C1608A4B-0C04-4033-9582-01898B363B4D}"/>
    <cellStyle name="Normal 4 2 2 3 2 4 7" xfId="27134" xr:uid="{3C25DB74-78B8-4339-A3D2-3D232BFF6072}"/>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17015" xr:uid="{73AC8C90-F754-4933-999B-8BD04AFC9C10}"/>
    <cellStyle name="Normal 4 2 2 3 2 5 2 2 3" xfId="25462" xr:uid="{71C9957D-B7FF-42B4-BD5B-7293752ED607}"/>
    <cellStyle name="Normal 4 2 2 3 2 5 2 2 4" xfId="33909" xr:uid="{F52F5144-BB4E-4ADB-B919-666FB81D4A10}"/>
    <cellStyle name="Normal 4 2 2 3 2 5 2 3" xfId="12798" xr:uid="{2981E2FA-3CD1-475B-B7F1-3700ECE3A592}"/>
    <cellStyle name="Normal 4 2 2 3 2 5 2 4" xfId="21245" xr:uid="{191A9083-B50D-46BC-8ECA-0585C4B2CC41}"/>
    <cellStyle name="Normal 4 2 2 3 2 5 2 5" xfId="29692" xr:uid="{ACBB0243-7C3A-4357-8D94-CE13DE06AB5A}"/>
    <cellStyle name="Normal 4 2 2 3 2 5 3" xfId="5544" xr:uid="{00000000-0005-0000-0000-000038120000}"/>
    <cellStyle name="Normal 4 2 2 3 2 5 3 2" xfId="14870" xr:uid="{8AE9B543-FD60-4989-B73D-3460EA446B03}"/>
    <cellStyle name="Normal 4 2 2 3 2 5 3 3" xfId="23317" xr:uid="{29BEA775-BC71-457D-B3C7-26316CFED737}"/>
    <cellStyle name="Normal 4 2 2 3 2 5 3 4" xfId="31764" xr:uid="{60FF2178-4FE5-443E-8C66-E155CB0854BB}"/>
    <cellStyle name="Normal 4 2 2 3 2 5 4" xfId="10653" xr:uid="{D337C327-6B55-4095-ABBC-7F1CE92A3035}"/>
    <cellStyle name="Normal 4 2 2 3 2 5 5" xfId="19100" xr:uid="{87901F25-6241-423C-A30A-FE6134E5F19B}"/>
    <cellStyle name="Normal 4 2 2 3 2 5 6" xfId="27547" xr:uid="{C286FEAE-BCE6-4D6F-8DBB-BB55E6AC48DF}"/>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17428" xr:uid="{C695B515-1851-41F2-A1FC-5F7EEF63D633}"/>
    <cellStyle name="Normal 4 2 2 3 2 6 2 2 3" xfId="25875" xr:uid="{1D4106EE-602F-4B94-90E0-2C6753A16FA3}"/>
    <cellStyle name="Normal 4 2 2 3 2 6 2 2 4" xfId="34322" xr:uid="{8FB6C5F2-609E-4EEA-973E-7D6C13165E5C}"/>
    <cellStyle name="Normal 4 2 2 3 2 6 2 3" xfId="13211" xr:uid="{3302F1CD-1A78-4A7E-B237-5474C05B7D74}"/>
    <cellStyle name="Normal 4 2 2 3 2 6 2 4" xfId="21658" xr:uid="{5C8CF96D-C4BD-4818-B67B-C2E8A843352A}"/>
    <cellStyle name="Normal 4 2 2 3 2 6 2 5" xfId="30105" xr:uid="{1EC3D6D7-F957-4B9B-93FD-61F69736367B}"/>
    <cellStyle name="Normal 4 2 2 3 2 6 3" xfId="5957" xr:uid="{00000000-0005-0000-0000-00003C120000}"/>
    <cellStyle name="Normal 4 2 2 3 2 6 3 2" xfId="15283" xr:uid="{C7184BC8-521B-4142-A20C-E3F23A81A580}"/>
    <cellStyle name="Normal 4 2 2 3 2 6 3 3" xfId="23730" xr:uid="{771B1280-9F98-4B00-A3CC-D28BDEAFCE5C}"/>
    <cellStyle name="Normal 4 2 2 3 2 6 3 4" xfId="32177" xr:uid="{409FC2B0-5DA2-40AC-A305-5AD93F5592B5}"/>
    <cellStyle name="Normal 4 2 2 3 2 6 4" xfId="11066" xr:uid="{0A9F6F1E-722A-4E65-A5BD-A8C182857397}"/>
    <cellStyle name="Normal 4 2 2 3 2 6 5" xfId="19513" xr:uid="{4704AFA1-BA05-40E3-A97C-DA7545B7B905}"/>
    <cellStyle name="Normal 4 2 2 3 2 6 6" xfId="27960" xr:uid="{974F3282-943B-4155-8639-FEA9C821691F}"/>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17841" xr:uid="{2874B316-3B83-467C-9E4E-9830ACFC6A80}"/>
    <cellStyle name="Normal 4 2 2 3 2 7 2 2 3" xfId="26288" xr:uid="{A89B7956-B357-466E-A8B0-288C82D71DBB}"/>
    <cellStyle name="Normal 4 2 2 3 2 7 2 2 4" xfId="34735" xr:uid="{EC84CF87-D6F5-4C0C-8077-F622871BEA16}"/>
    <cellStyle name="Normal 4 2 2 3 2 7 2 3" xfId="13624" xr:uid="{66BB8A1C-9B9F-45BF-9BAA-54F01037E8C2}"/>
    <cellStyle name="Normal 4 2 2 3 2 7 2 4" xfId="22071" xr:uid="{CFE73BD5-CFD0-4659-B43C-9066B2E6B587}"/>
    <cellStyle name="Normal 4 2 2 3 2 7 2 5" xfId="30518" xr:uid="{DBA70607-DEC8-40D6-AB24-96366ABCC5D1}"/>
    <cellStyle name="Normal 4 2 2 3 2 7 3" xfId="6370" xr:uid="{00000000-0005-0000-0000-000040120000}"/>
    <cellStyle name="Normal 4 2 2 3 2 7 3 2" xfId="15696" xr:uid="{11C02D9C-D8DB-425C-93D4-095FF3A723ED}"/>
    <cellStyle name="Normal 4 2 2 3 2 7 3 3" xfId="24143" xr:uid="{6E1518BB-2355-4FEB-BA8C-FAE5D315E516}"/>
    <cellStyle name="Normal 4 2 2 3 2 7 3 4" xfId="32590" xr:uid="{EAB2F534-2850-4A74-AB5D-BF9389A3C74B}"/>
    <cellStyle name="Normal 4 2 2 3 2 7 4" xfId="11479" xr:uid="{8BD457D9-E2E3-44BF-8B31-D2BF0FB6A1E2}"/>
    <cellStyle name="Normal 4 2 2 3 2 7 5" xfId="19926" xr:uid="{EB28C454-517A-411A-93FC-59D285817A25}"/>
    <cellStyle name="Normal 4 2 2 3 2 7 6" xfId="28373" xr:uid="{C8AFF49E-3BF2-4B9F-84C1-4F6D27E4BF25}"/>
    <cellStyle name="Normal 4 2 2 3 2 8" xfId="2500" xr:uid="{00000000-0005-0000-0000-000041120000}"/>
    <cellStyle name="Normal 4 2 2 3 2 8 2" xfId="6783" xr:uid="{00000000-0005-0000-0000-000042120000}"/>
    <cellStyle name="Normal 4 2 2 3 2 8 2 2" xfId="16109" xr:uid="{32478182-6C85-49E9-BD5D-1B1AEE2B4352}"/>
    <cellStyle name="Normal 4 2 2 3 2 8 2 3" xfId="24556" xr:uid="{17504EBA-D96D-445F-821B-9C5531771FFC}"/>
    <cellStyle name="Normal 4 2 2 3 2 8 2 4" xfId="33003" xr:uid="{90207A34-9300-4FA2-BEAC-5BF7689C06D9}"/>
    <cellStyle name="Normal 4 2 2 3 2 8 3" xfId="11892" xr:uid="{B9449D24-08E7-43D7-9E75-CED21F03DF05}"/>
    <cellStyle name="Normal 4 2 2 3 2 8 4" xfId="20339" xr:uid="{DBA6E03B-D34E-4202-92A8-99BCB8D62E19}"/>
    <cellStyle name="Normal 4 2 2 3 2 8 5" xfId="28786" xr:uid="{D4493E78-AAA7-467C-8B00-F9057E010F8B}"/>
    <cellStyle name="Normal 4 2 2 3 2 9" xfId="4718" xr:uid="{00000000-0005-0000-0000-000043120000}"/>
    <cellStyle name="Normal 4 2 2 3 2 9 2" xfId="14044" xr:uid="{CEC7D4A8-E900-4978-9E77-FE2D40F18F46}"/>
    <cellStyle name="Normal 4 2 2 3 2 9 3" xfId="22491" xr:uid="{EB098B5E-1633-40EE-99E0-229F936EF996}"/>
    <cellStyle name="Normal 4 2 2 3 2 9 4" xfId="30938" xr:uid="{1C9AB7A4-28D3-491F-9DE8-D2E01437F506}"/>
    <cellStyle name="Normal 4 2 2 3 3" xfId="344" xr:uid="{00000000-0005-0000-0000-000044120000}"/>
    <cellStyle name="Normal 4 2 2 3 3 10" xfId="9831" xr:uid="{B6C21B27-659F-4B33-B17C-6952221E72AE}"/>
    <cellStyle name="Normal 4 2 2 3 3 11" xfId="18278" xr:uid="{1079DC2E-D8EB-4987-BA1E-0D12123626A4}"/>
    <cellStyle name="Normal 4 2 2 3 3 12" xfId="26725" xr:uid="{276CA111-5DD0-4FB7-B6DB-41CD4351CDA3}"/>
    <cellStyle name="Normal 4 2 2 3 3 2" xfId="345" xr:uid="{00000000-0005-0000-0000-000045120000}"/>
    <cellStyle name="Normal 4 2 2 3 3 2 10" xfId="18279" xr:uid="{A529CF30-2FA9-47D8-AA83-26A050A7BA81}"/>
    <cellStyle name="Normal 4 2 2 3 3 2 11" xfId="26726" xr:uid="{7367FBED-1A06-4A7D-A932-B38E54DA8D9B}"/>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16607" xr:uid="{19698A69-EC64-494A-B8A5-4B500CF055A6}"/>
    <cellStyle name="Normal 4 2 2 3 3 2 2 2 2 3" xfId="25054" xr:uid="{7D313677-71A0-4D2B-80BA-A4DCC8EE507A}"/>
    <cellStyle name="Normal 4 2 2 3 3 2 2 2 2 4" xfId="33501" xr:uid="{F7FFEC25-5068-4DAE-8E0A-D4CA3EE4EE63}"/>
    <cellStyle name="Normal 4 2 2 3 3 2 2 2 3" xfId="12390" xr:uid="{1E91D3C9-0D89-4CF9-A5FF-05A1C6EED815}"/>
    <cellStyle name="Normal 4 2 2 3 3 2 2 2 4" xfId="20837" xr:uid="{44950064-CD56-4AB8-A0BA-4ADD1D03D874}"/>
    <cellStyle name="Normal 4 2 2 3 3 2 2 2 5" xfId="29284" xr:uid="{CD454400-9445-402B-825A-D401AD219D41}"/>
    <cellStyle name="Normal 4 2 2 3 3 2 2 3" xfId="5136" xr:uid="{00000000-0005-0000-0000-000049120000}"/>
    <cellStyle name="Normal 4 2 2 3 3 2 2 3 2" xfId="14462" xr:uid="{BCE48267-E1EC-4DFA-97E8-3894A9412025}"/>
    <cellStyle name="Normal 4 2 2 3 3 2 2 3 3" xfId="22909" xr:uid="{F46DFF77-7249-485E-87B3-31B4F8799112}"/>
    <cellStyle name="Normal 4 2 2 3 3 2 2 3 4" xfId="31356" xr:uid="{5CDD266E-D46B-4647-A87D-B79BAA6E7298}"/>
    <cellStyle name="Normal 4 2 2 3 3 2 2 4" xfId="9519" xr:uid="{FB4BBD6E-D73B-4ABD-8656-6C15D7932E02}"/>
    <cellStyle name="Normal 4 2 2 3 3 2 2 5" xfId="10245" xr:uid="{961F4F1C-54D7-4814-8345-7DAEC535DEE5}"/>
    <cellStyle name="Normal 4 2 2 3 3 2 2 6" xfId="18692" xr:uid="{784B1998-716D-4CC4-8AF8-F1DAC2CE959D}"/>
    <cellStyle name="Normal 4 2 2 3 3 2 2 7" xfId="27139" xr:uid="{A4846AAC-9AD4-43E0-9263-823506023165}"/>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17020" xr:uid="{45996FE0-BB96-4C88-90D3-DDC507F60442}"/>
    <cellStyle name="Normal 4 2 2 3 3 2 3 2 2 3" xfId="25467" xr:uid="{7100D919-A42B-49CB-ADAA-15FCA57A0F76}"/>
    <cellStyle name="Normal 4 2 2 3 3 2 3 2 2 4" xfId="33914" xr:uid="{57C7740F-F065-4147-B477-62196790F348}"/>
    <cellStyle name="Normal 4 2 2 3 3 2 3 2 3" xfId="12803" xr:uid="{A6641322-0AEE-48BA-866A-BE622FD7C505}"/>
    <cellStyle name="Normal 4 2 2 3 3 2 3 2 4" xfId="21250" xr:uid="{9F4D0A9A-691B-4D76-963D-93EFBA7B05E8}"/>
    <cellStyle name="Normal 4 2 2 3 3 2 3 2 5" xfId="29697" xr:uid="{AE936738-ACA5-4F3C-971C-83FF07868DA1}"/>
    <cellStyle name="Normal 4 2 2 3 3 2 3 3" xfId="5549" xr:uid="{00000000-0005-0000-0000-00004D120000}"/>
    <cellStyle name="Normal 4 2 2 3 3 2 3 3 2" xfId="14875" xr:uid="{6368C864-8522-49AC-92B9-67E4E8918035}"/>
    <cellStyle name="Normal 4 2 2 3 3 2 3 3 3" xfId="23322" xr:uid="{6C21E6A5-2C9A-468D-AB52-26FC78DC42A8}"/>
    <cellStyle name="Normal 4 2 2 3 3 2 3 3 4" xfId="31769" xr:uid="{BB16CFC2-0DC2-4C19-A41C-4B5204BF1BF4}"/>
    <cellStyle name="Normal 4 2 2 3 3 2 3 4" xfId="10658" xr:uid="{B20D2BDE-E09E-4B3C-8625-3870A9BDCFF9}"/>
    <cellStyle name="Normal 4 2 2 3 3 2 3 5" xfId="19105" xr:uid="{4B071201-A6D1-4D06-93DB-04E13B5F2A7B}"/>
    <cellStyle name="Normal 4 2 2 3 3 2 3 6" xfId="27552" xr:uid="{50E051C8-96F7-47EA-8988-62399B98888C}"/>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17433" xr:uid="{8F9541E1-94CC-4D9F-A928-BF83544C6040}"/>
    <cellStyle name="Normal 4 2 2 3 3 2 4 2 2 3" xfId="25880" xr:uid="{D774CB4D-65F9-43CE-8E71-F64ED03CB763}"/>
    <cellStyle name="Normal 4 2 2 3 3 2 4 2 2 4" xfId="34327" xr:uid="{EFF4627E-80B9-4289-824D-461CBCA13BF6}"/>
    <cellStyle name="Normal 4 2 2 3 3 2 4 2 3" xfId="13216" xr:uid="{B9D7FE5C-0ACB-4C01-9148-F78FB4DADF50}"/>
    <cellStyle name="Normal 4 2 2 3 3 2 4 2 4" xfId="21663" xr:uid="{B81B5C74-E613-4D7A-A1F8-7F1D495DCBC1}"/>
    <cellStyle name="Normal 4 2 2 3 3 2 4 2 5" xfId="30110" xr:uid="{789985E1-26FF-407D-8C19-97F3B7EC16E3}"/>
    <cellStyle name="Normal 4 2 2 3 3 2 4 3" xfId="5962" xr:uid="{00000000-0005-0000-0000-000051120000}"/>
    <cellStyle name="Normal 4 2 2 3 3 2 4 3 2" xfId="15288" xr:uid="{9E7B3079-CCF0-463D-BB6A-A75FA8699847}"/>
    <cellStyle name="Normal 4 2 2 3 3 2 4 3 3" xfId="23735" xr:uid="{D3B4ECB1-6FCC-436F-B89B-79A458E9C904}"/>
    <cellStyle name="Normal 4 2 2 3 3 2 4 3 4" xfId="32182" xr:uid="{A24357B7-0C4F-4E0F-9675-4E4795711C18}"/>
    <cellStyle name="Normal 4 2 2 3 3 2 4 4" xfId="11071" xr:uid="{8958ED5B-E28A-4510-A0BF-7DE5930FBE30}"/>
    <cellStyle name="Normal 4 2 2 3 3 2 4 5" xfId="19518" xr:uid="{D297547A-BE89-496A-834C-150B572B94FF}"/>
    <cellStyle name="Normal 4 2 2 3 3 2 4 6" xfId="27965" xr:uid="{CAB511F3-CE9F-4177-B2DD-F92C72EF7BE9}"/>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17846" xr:uid="{FF89D46C-7778-4B70-BA3D-34B69C0BF6A8}"/>
    <cellStyle name="Normal 4 2 2 3 3 2 5 2 2 3" xfId="26293" xr:uid="{F1B27693-B755-48EA-8906-83899C5DC5B8}"/>
    <cellStyle name="Normal 4 2 2 3 3 2 5 2 2 4" xfId="34740" xr:uid="{18F4EBFC-F8FF-4BA9-8033-8C0F4F51E871}"/>
    <cellStyle name="Normal 4 2 2 3 3 2 5 2 3" xfId="13629" xr:uid="{99964183-E343-46A4-B970-42F46BE6ED4E}"/>
    <cellStyle name="Normal 4 2 2 3 3 2 5 2 4" xfId="22076" xr:uid="{54663BB5-66E3-4950-AF66-65112173AEDD}"/>
    <cellStyle name="Normal 4 2 2 3 3 2 5 2 5" xfId="30523" xr:uid="{E32C7918-8DBA-4135-A571-4DD02181A705}"/>
    <cellStyle name="Normal 4 2 2 3 3 2 5 3" xfId="6375" xr:uid="{00000000-0005-0000-0000-000055120000}"/>
    <cellStyle name="Normal 4 2 2 3 3 2 5 3 2" xfId="15701" xr:uid="{56B5302D-4207-4073-B370-0957DE949349}"/>
    <cellStyle name="Normal 4 2 2 3 3 2 5 3 3" xfId="24148" xr:uid="{119AA3D0-5C25-42DD-9661-834777DC125A}"/>
    <cellStyle name="Normal 4 2 2 3 3 2 5 3 4" xfId="32595" xr:uid="{039B63E1-61A8-4134-864A-3785412E81D3}"/>
    <cellStyle name="Normal 4 2 2 3 3 2 5 4" xfId="11484" xr:uid="{AFF51265-542C-470A-B04A-4892AF4ED44D}"/>
    <cellStyle name="Normal 4 2 2 3 3 2 5 5" xfId="19931" xr:uid="{068DCABE-8332-477D-B38D-EF02F9551B29}"/>
    <cellStyle name="Normal 4 2 2 3 3 2 5 6" xfId="28378" xr:uid="{C04894A3-3E42-41BF-B4CE-92D377570CE4}"/>
    <cellStyle name="Normal 4 2 2 3 3 2 6" xfId="2505" xr:uid="{00000000-0005-0000-0000-000056120000}"/>
    <cellStyle name="Normal 4 2 2 3 3 2 6 2" xfId="6788" xr:uid="{00000000-0005-0000-0000-000057120000}"/>
    <cellStyle name="Normal 4 2 2 3 3 2 6 2 2" xfId="16114" xr:uid="{CDA0853C-3167-41D0-BCC3-5649691359AC}"/>
    <cellStyle name="Normal 4 2 2 3 3 2 6 2 3" xfId="24561" xr:uid="{9CF96156-9A35-46B4-B2B7-FF33578E3F82}"/>
    <cellStyle name="Normal 4 2 2 3 3 2 6 2 4" xfId="33008" xr:uid="{1F804B56-6DC7-44B2-B60A-510AE504ABB5}"/>
    <cellStyle name="Normal 4 2 2 3 3 2 6 3" xfId="11897" xr:uid="{547A427B-EE4F-4594-8595-6CF04AB91DE4}"/>
    <cellStyle name="Normal 4 2 2 3 3 2 6 4" xfId="20344" xr:uid="{117EBCDD-C633-4EDA-A211-B001272EBC3F}"/>
    <cellStyle name="Normal 4 2 2 3 3 2 6 5" xfId="28791" xr:uid="{5B93A960-C2DC-4DCB-8D67-E8D56211018E}"/>
    <cellStyle name="Normal 4 2 2 3 3 2 7" xfId="4723" xr:uid="{00000000-0005-0000-0000-000058120000}"/>
    <cellStyle name="Normal 4 2 2 3 3 2 7 2" xfId="14049" xr:uid="{A41B44A2-5924-4598-9009-B3C2B9EB743C}"/>
    <cellStyle name="Normal 4 2 2 3 3 2 7 3" xfId="22496" xr:uid="{51C32A3D-05F0-4F9F-B20A-555A29467E67}"/>
    <cellStyle name="Normal 4 2 2 3 3 2 7 4" xfId="30943" xr:uid="{BFE40F0C-E3FD-42B5-AB26-75360D69905B}"/>
    <cellStyle name="Normal 4 2 2 3 3 2 8" xfId="9094" xr:uid="{1333D468-E252-4686-88C1-38A56B910A8E}"/>
    <cellStyle name="Normal 4 2 2 3 3 2 9" xfId="9832" xr:uid="{8E521B80-DF52-4773-88E9-F8EE583FFC43}"/>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16606" xr:uid="{BD82118B-2207-47C7-961E-1D218A80BBD9}"/>
    <cellStyle name="Normal 4 2 2 3 3 3 2 2 3" xfId="25053" xr:uid="{9E4F1D6B-0576-4F02-8939-DCA376E90AA8}"/>
    <cellStyle name="Normal 4 2 2 3 3 3 2 2 4" xfId="33500" xr:uid="{F7A65D08-C6B0-4C09-9877-E3513F228EAA}"/>
    <cellStyle name="Normal 4 2 2 3 3 3 2 3" xfId="12389" xr:uid="{0BB0199B-2A91-4F25-AB43-E2B3D26E93A9}"/>
    <cellStyle name="Normal 4 2 2 3 3 3 2 4" xfId="20836" xr:uid="{A2B7B33A-D74E-484B-967B-D9EF6C9CA14C}"/>
    <cellStyle name="Normal 4 2 2 3 3 3 2 5" xfId="29283" xr:uid="{6C279977-3B85-45C4-96D4-EF8DD3B55AB0}"/>
    <cellStyle name="Normal 4 2 2 3 3 3 3" xfId="5135" xr:uid="{00000000-0005-0000-0000-00005C120000}"/>
    <cellStyle name="Normal 4 2 2 3 3 3 3 2" xfId="14461" xr:uid="{CD1358FB-3FA3-4D41-9B04-FD85FCD6B579}"/>
    <cellStyle name="Normal 4 2 2 3 3 3 3 3" xfId="22908" xr:uid="{222717C0-01D4-43FD-8B4A-75CC635E5343}"/>
    <cellStyle name="Normal 4 2 2 3 3 3 3 4" xfId="31355" xr:uid="{3AFF34DD-783C-4BA9-BC91-962829F4F317}"/>
    <cellStyle name="Normal 4 2 2 3 3 3 4" xfId="9312" xr:uid="{0065946C-778C-4913-8F8B-68BBB1A30769}"/>
    <cellStyle name="Normal 4 2 2 3 3 3 5" xfId="10244" xr:uid="{FD6C39DC-E512-422F-A457-A782A31F35C3}"/>
    <cellStyle name="Normal 4 2 2 3 3 3 6" xfId="18691" xr:uid="{8C04094A-B23F-4851-9548-DF9930330163}"/>
    <cellStyle name="Normal 4 2 2 3 3 3 7" xfId="27138" xr:uid="{0F5CBBD8-423A-40AA-9996-06999496E1C6}"/>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17019" xr:uid="{692D3981-7201-4E62-8F97-5E94ECC96311}"/>
    <cellStyle name="Normal 4 2 2 3 3 4 2 2 3" xfId="25466" xr:uid="{D3532379-B6C4-4D63-A8DD-9BE18372373E}"/>
    <cellStyle name="Normal 4 2 2 3 3 4 2 2 4" xfId="33913" xr:uid="{88F05713-4344-489B-9453-BC75A5136370}"/>
    <cellStyle name="Normal 4 2 2 3 3 4 2 3" xfId="12802" xr:uid="{88E59103-A2A3-480D-AB2F-4352A27E907C}"/>
    <cellStyle name="Normal 4 2 2 3 3 4 2 4" xfId="21249" xr:uid="{0AA6B97C-8E86-4B0E-8166-C819849E9909}"/>
    <cellStyle name="Normal 4 2 2 3 3 4 2 5" xfId="29696" xr:uid="{335DF1D4-386A-4FD8-B07C-17EADF749B17}"/>
    <cellStyle name="Normal 4 2 2 3 3 4 3" xfId="5548" xr:uid="{00000000-0005-0000-0000-000060120000}"/>
    <cellStyle name="Normal 4 2 2 3 3 4 3 2" xfId="14874" xr:uid="{BD1683E9-DED8-4701-8349-B4DBA3676E03}"/>
    <cellStyle name="Normal 4 2 2 3 3 4 3 3" xfId="23321" xr:uid="{83C497B2-A57C-4090-B4E4-9CE573FD731C}"/>
    <cellStyle name="Normal 4 2 2 3 3 4 3 4" xfId="31768" xr:uid="{6833E8B0-60A3-4EBF-8960-AF4A3B7D64EC}"/>
    <cellStyle name="Normal 4 2 2 3 3 4 4" xfId="10657" xr:uid="{C69C6F3F-1ADA-494A-AB39-9E41747060E3}"/>
    <cellStyle name="Normal 4 2 2 3 3 4 5" xfId="19104" xr:uid="{15210A44-AFA1-4EAC-BC7A-73A580076D38}"/>
    <cellStyle name="Normal 4 2 2 3 3 4 6" xfId="27551" xr:uid="{EE6E07EF-D61B-42B9-B5CB-F9963864CA28}"/>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17432" xr:uid="{37B38370-DBAF-4A7C-8E66-4C14ABE9CF3E}"/>
    <cellStyle name="Normal 4 2 2 3 3 5 2 2 3" xfId="25879" xr:uid="{18C65CBF-EAF8-4316-9C4F-6B1F314B461C}"/>
    <cellStyle name="Normal 4 2 2 3 3 5 2 2 4" xfId="34326" xr:uid="{193621DE-84BE-4626-90DC-D10B62220FC2}"/>
    <cellStyle name="Normal 4 2 2 3 3 5 2 3" xfId="13215" xr:uid="{C92662E4-737B-40EC-9623-373FFD9E5B65}"/>
    <cellStyle name="Normal 4 2 2 3 3 5 2 4" xfId="21662" xr:uid="{98CB193E-4C5B-49D2-A11C-D808339A9626}"/>
    <cellStyle name="Normal 4 2 2 3 3 5 2 5" xfId="30109" xr:uid="{2670595E-CFE2-40F1-B401-DF8BE0911CDB}"/>
    <cellStyle name="Normal 4 2 2 3 3 5 3" xfId="5961" xr:uid="{00000000-0005-0000-0000-000064120000}"/>
    <cellStyle name="Normal 4 2 2 3 3 5 3 2" xfId="15287" xr:uid="{9E8421F5-A278-412F-AB37-5FEC3CAC5CF4}"/>
    <cellStyle name="Normal 4 2 2 3 3 5 3 3" xfId="23734" xr:uid="{CC47E518-11AA-4E7E-BCED-D36867626736}"/>
    <cellStyle name="Normal 4 2 2 3 3 5 3 4" xfId="32181" xr:uid="{9D7578A7-6A2E-4E99-91BD-E75E10C2993F}"/>
    <cellStyle name="Normal 4 2 2 3 3 5 4" xfId="11070" xr:uid="{EE68454F-5C8C-4560-B76A-1CF03F160C83}"/>
    <cellStyle name="Normal 4 2 2 3 3 5 5" xfId="19517" xr:uid="{B440CF52-2F34-486C-B354-68660609DF70}"/>
    <cellStyle name="Normal 4 2 2 3 3 5 6" xfId="27964" xr:uid="{89F0DD21-3710-46DF-951F-2358B0AFEE02}"/>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17845" xr:uid="{8EB67CB2-9ED4-4D0C-9856-8683D7484C5B}"/>
    <cellStyle name="Normal 4 2 2 3 3 6 2 2 3" xfId="26292" xr:uid="{72E6657D-26A8-487D-B345-06FEC73B8D0F}"/>
    <cellStyle name="Normal 4 2 2 3 3 6 2 2 4" xfId="34739" xr:uid="{38D25D69-2CEA-4E88-8F68-5FAD33F65D4E}"/>
    <cellStyle name="Normal 4 2 2 3 3 6 2 3" xfId="13628" xr:uid="{9D6580B8-3740-4A26-8FA0-A058BD255813}"/>
    <cellStyle name="Normal 4 2 2 3 3 6 2 4" xfId="22075" xr:uid="{A6F51968-C581-4185-B7CA-AAF01B644A04}"/>
    <cellStyle name="Normal 4 2 2 3 3 6 2 5" xfId="30522" xr:uid="{95FD61AD-D7C1-40A3-B629-16AEBCA43411}"/>
    <cellStyle name="Normal 4 2 2 3 3 6 3" xfId="6374" xr:uid="{00000000-0005-0000-0000-000068120000}"/>
    <cellStyle name="Normal 4 2 2 3 3 6 3 2" xfId="15700" xr:uid="{0FB2B123-F82A-4254-AA2C-2AFCD1E19541}"/>
    <cellStyle name="Normal 4 2 2 3 3 6 3 3" xfId="24147" xr:uid="{301A54D6-BB60-4EBA-9755-04C581ED338E}"/>
    <cellStyle name="Normal 4 2 2 3 3 6 3 4" xfId="32594" xr:uid="{B1834F8E-5960-4D68-BED9-D1AD1B4C27B2}"/>
    <cellStyle name="Normal 4 2 2 3 3 6 4" xfId="11483" xr:uid="{32087119-0A67-41B8-94D8-C8EE9D5700A9}"/>
    <cellStyle name="Normal 4 2 2 3 3 6 5" xfId="19930" xr:uid="{D2A2B5A5-12FA-49C7-999B-F386B13C7A81}"/>
    <cellStyle name="Normal 4 2 2 3 3 6 6" xfId="28377" xr:uid="{219BAA19-BBC6-4E86-BEBC-039852914B9D}"/>
    <cellStyle name="Normal 4 2 2 3 3 7" xfId="2504" xr:uid="{00000000-0005-0000-0000-000069120000}"/>
    <cellStyle name="Normal 4 2 2 3 3 7 2" xfId="6787" xr:uid="{00000000-0005-0000-0000-00006A120000}"/>
    <cellStyle name="Normal 4 2 2 3 3 7 2 2" xfId="16113" xr:uid="{451BEA3C-C758-464A-A1A5-48CE3DF810BC}"/>
    <cellStyle name="Normal 4 2 2 3 3 7 2 3" xfId="24560" xr:uid="{683FC882-CE16-49C9-9BD6-220E9A4A38E0}"/>
    <cellStyle name="Normal 4 2 2 3 3 7 2 4" xfId="33007" xr:uid="{4FEB8462-5121-4769-800E-B6BB082C2B3C}"/>
    <cellStyle name="Normal 4 2 2 3 3 7 3" xfId="11896" xr:uid="{3598D6FB-9868-49F3-9D02-F4B3F4D2781F}"/>
    <cellStyle name="Normal 4 2 2 3 3 7 4" xfId="20343" xr:uid="{711FCDD7-5F88-4C98-BE81-5F7848777485}"/>
    <cellStyle name="Normal 4 2 2 3 3 7 5" xfId="28790" xr:uid="{C62393E0-962F-49AF-AFE7-9EF280C50A57}"/>
    <cellStyle name="Normal 4 2 2 3 3 8" xfId="4722" xr:uid="{00000000-0005-0000-0000-00006B120000}"/>
    <cellStyle name="Normal 4 2 2 3 3 8 2" xfId="14048" xr:uid="{3B629B3E-8D72-4024-BE1F-9059087ED8B9}"/>
    <cellStyle name="Normal 4 2 2 3 3 8 3" xfId="22495" xr:uid="{976D110D-A52B-4836-A8C1-39C3B2AC9EA0}"/>
    <cellStyle name="Normal 4 2 2 3 3 8 4" xfId="30942" xr:uid="{31A8A99B-4D2D-4D7B-9201-FFE0ED51D1E1}"/>
    <cellStyle name="Normal 4 2 2 3 3 9" xfId="8887" xr:uid="{FD79599D-FD4F-44F4-A7A6-B948A2C15DD2}"/>
    <cellStyle name="Normal 4 2 2 3 4" xfId="346" xr:uid="{00000000-0005-0000-0000-00006C120000}"/>
    <cellStyle name="Normal 4 2 2 3 4 10" xfId="18280" xr:uid="{E1D10332-8A80-4AD3-BE8A-F3421640FFC0}"/>
    <cellStyle name="Normal 4 2 2 3 4 11" xfId="26727" xr:uid="{9EFF4870-C45C-4AE9-A1AA-B043E7C1AECE}"/>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16608" xr:uid="{3C860037-4942-4F0D-9BA9-77A161417474}"/>
    <cellStyle name="Normal 4 2 2 3 4 2 2 2 3" xfId="25055" xr:uid="{EEB24C57-3E11-4497-8417-C7FFA195A95F}"/>
    <cellStyle name="Normal 4 2 2 3 4 2 2 2 4" xfId="33502" xr:uid="{483E6ED9-9526-4A06-9EB8-5EB6A209AE12}"/>
    <cellStyle name="Normal 4 2 2 3 4 2 2 3" xfId="12391" xr:uid="{F4C01FDC-9220-4900-8C46-E5F6BF5F76A2}"/>
    <cellStyle name="Normal 4 2 2 3 4 2 2 4" xfId="20838" xr:uid="{133DE495-D420-4CAB-AF62-7B2DDDA9C1CC}"/>
    <cellStyle name="Normal 4 2 2 3 4 2 2 5" xfId="29285" xr:uid="{45AA851D-7E9C-40EB-97D5-9076A6E905EB}"/>
    <cellStyle name="Normal 4 2 2 3 4 2 3" xfId="5137" xr:uid="{00000000-0005-0000-0000-000070120000}"/>
    <cellStyle name="Normal 4 2 2 3 4 2 3 2" xfId="14463" xr:uid="{5B12A32B-AB47-4E53-A5FD-9C7A9A18AC34}"/>
    <cellStyle name="Normal 4 2 2 3 4 2 3 3" xfId="22910" xr:uid="{94AFF235-479C-4949-87BA-58D150A3A8DC}"/>
    <cellStyle name="Normal 4 2 2 3 4 2 3 4" xfId="31357" xr:uid="{EED9A939-B60D-4C1F-A9AF-0C871B3DF903}"/>
    <cellStyle name="Normal 4 2 2 3 4 2 4" xfId="9416" xr:uid="{B0F1A5CD-0EDE-48A7-9669-6902681F696C}"/>
    <cellStyle name="Normal 4 2 2 3 4 2 5" xfId="10246" xr:uid="{10014E59-B8F8-4FB2-A402-5F293786E8F3}"/>
    <cellStyle name="Normal 4 2 2 3 4 2 6" xfId="18693" xr:uid="{9A641644-5716-4531-B98D-946643D8EDBE}"/>
    <cellStyle name="Normal 4 2 2 3 4 2 7" xfId="27140" xr:uid="{035C411C-A0E9-402A-BD54-39F5B65F6C26}"/>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17021" xr:uid="{D1AC021E-D0D8-4A1B-A4A0-21630BE5391C}"/>
    <cellStyle name="Normal 4 2 2 3 4 3 2 2 3" xfId="25468" xr:uid="{EA84416B-F3D0-4C59-93B5-3BEE53E40999}"/>
    <cellStyle name="Normal 4 2 2 3 4 3 2 2 4" xfId="33915" xr:uid="{B705A506-6740-4FEB-8664-2BFC597CA1E0}"/>
    <cellStyle name="Normal 4 2 2 3 4 3 2 3" xfId="12804" xr:uid="{3E3EDD1F-C306-41FE-8042-3744AE65322A}"/>
    <cellStyle name="Normal 4 2 2 3 4 3 2 4" xfId="21251" xr:uid="{D9E9F3EF-93A6-4767-870D-5758466B316A}"/>
    <cellStyle name="Normal 4 2 2 3 4 3 2 5" xfId="29698" xr:uid="{50E335F8-A1C6-4B16-A2A1-EBA52F4965B7}"/>
    <cellStyle name="Normal 4 2 2 3 4 3 3" xfId="5550" xr:uid="{00000000-0005-0000-0000-000074120000}"/>
    <cellStyle name="Normal 4 2 2 3 4 3 3 2" xfId="14876" xr:uid="{A1B41368-DD54-41C0-85BA-81F29F35F49E}"/>
    <cellStyle name="Normal 4 2 2 3 4 3 3 3" xfId="23323" xr:uid="{2D63E11B-5B43-47EF-BECB-141B621308B1}"/>
    <cellStyle name="Normal 4 2 2 3 4 3 3 4" xfId="31770" xr:uid="{62D17483-8034-465E-B718-627CADFD9C8C}"/>
    <cellStyle name="Normal 4 2 2 3 4 3 4" xfId="10659" xr:uid="{18E54B11-86DE-4DFA-8C34-853E6D6C09AD}"/>
    <cellStyle name="Normal 4 2 2 3 4 3 5" xfId="19106" xr:uid="{E604A199-BBF3-4B33-A150-74C3C256C799}"/>
    <cellStyle name="Normal 4 2 2 3 4 3 6" xfId="27553" xr:uid="{50EEDF0A-F2C7-4A99-A857-80D83CCA2438}"/>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17434" xr:uid="{B9D21A96-38D5-4BEA-AA88-C16786C590DD}"/>
    <cellStyle name="Normal 4 2 2 3 4 4 2 2 3" xfId="25881" xr:uid="{50EC1A56-43C1-4568-B1D7-0383403F5E03}"/>
    <cellStyle name="Normal 4 2 2 3 4 4 2 2 4" xfId="34328" xr:uid="{6482B21F-5744-4CAF-911F-215BC2BFDAE4}"/>
    <cellStyle name="Normal 4 2 2 3 4 4 2 3" xfId="13217" xr:uid="{BA1EB1D6-5679-4D51-AAE2-25408F521F7C}"/>
    <cellStyle name="Normal 4 2 2 3 4 4 2 4" xfId="21664" xr:uid="{C53F1490-916B-4CF2-AE1F-F21A4777B476}"/>
    <cellStyle name="Normal 4 2 2 3 4 4 2 5" xfId="30111" xr:uid="{950B0B71-BCE2-4527-8313-FA63E4F1B7AF}"/>
    <cellStyle name="Normal 4 2 2 3 4 4 3" xfId="5963" xr:uid="{00000000-0005-0000-0000-000078120000}"/>
    <cellStyle name="Normal 4 2 2 3 4 4 3 2" xfId="15289" xr:uid="{5FF56AA7-ECB7-4AA0-B9B4-79298F1AD198}"/>
    <cellStyle name="Normal 4 2 2 3 4 4 3 3" xfId="23736" xr:uid="{742979EC-E685-4C88-A166-7FE9ACC28BA1}"/>
    <cellStyle name="Normal 4 2 2 3 4 4 3 4" xfId="32183" xr:uid="{239307A8-54FA-42C2-AEAE-6C79A8309D08}"/>
    <cellStyle name="Normal 4 2 2 3 4 4 4" xfId="11072" xr:uid="{980F3507-5137-40D0-85B4-35D9E7B4C551}"/>
    <cellStyle name="Normal 4 2 2 3 4 4 5" xfId="19519" xr:uid="{2A592D45-5ACA-4D23-9552-029F22518373}"/>
    <cellStyle name="Normal 4 2 2 3 4 4 6" xfId="27966" xr:uid="{BE1DE461-CC09-4AD4-BD57-482D0681E748}"/>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17847" xr:uid="{E9AFC3FB-6DE2-4AEF-BC97-EDC5480E4083}"/>
    <cellStyle name="Normal 4 2 2 3 4 5 2 2 3" xfId="26294" xr:uid="{01288D92-4087-4C4A-A78F-F7C451D8B184}"/>
    <cellStyle name="Normal 4 2 2 3 4 5 2 2 4" xfId="34741" xr:uid="{3EAC95C6-B815-4928-BA7C-02FE6F75C454}"/>
    <cellStyle name="Normal 4 2 2 3 4 5 2 3" xfId="13630" xr:uid="{671EF151-96FA-416E-9939-D0A3B634D5AE}"/>
    <cellStyle name="Normal 4 2 2 3 4 5 2 4" xfId="22077" xr:uid="{66901676-A375-429D-9AE1-32EFF7212D10}"/>
    <cellStyle name="Normal 4 2 2 3 4 5 2 5" xfId="30524" xr:uid="{579FE1FB-33F3-4488-AA5B-65D7A0D0E042}"/>
    <cellStyle name="Normal 4 2 2 3 4 5 3" xfId="6376" xr:uid="{00000000-0005-0000-0000-00007C120000}"/>
    <cellStyle name="Normal 4 2 2 3 4 5 3 2" xfId="15702" xr:uid="{6411131C-083B-46C0-BD70-63753D13AFEA}"/>
    <cellStyle name="Normal 4 2 2 3 4 5 3 3" xfId="24149" xr:uid="{012EB93A-FE51-470D-818D-1923923774D0}"/>
    <cellStyle name="Normal 4 2 2 3 4 5 3 4" xfId="32596" xr:uid="{0ABBE526-1A67-44E5-967A-A40D20219CCC}"/>
    <cellStyle name="Normal 4 2 2 3 4 5 4" xfId="11485" xr:uid="{3AAEBCD2-F3F8-43F0-88A5-396DAA768041}"/>
    <cellStyle name="Normal 4 2 2 3 4 5 5" xfId="19932" xr:uid="{4BFB9B8A-81D6-4F28-9F4F-7CAAE1B36821}"/>
    <cellStyle name="Normal 4 2 2 3 4 5 6" xfId="28379" xr:uid="{D1641897-856E-4F28-81A7-D1372A389D22}"/>
    <cellStyle name="Normal 4 2 2 3 4 6" xfId="2506" xr:uid="{00000000-0005-0000-0000-00007D120000}"/>
    <cellStyle name="Normal 4 2 2 3 4 6 2" xfId="6789" xr:uid="{00000000-0005-0000-0000-00007E120000}"/>
    <cellStyle name="Normal 4 2 2 3 4 6 2 2" xfId="16115" xr:uid="{A114A12F-8B0D-4126-9903-60DFF1D5B81E}"/>
    <cellStyle name="Normal 4 2 2 3 4 6 2 3" xfId="24562" xr:uid="{A94490AA-C616-473C-AD82-9AB45A928881}"/>
    <cellStyle name="Normal 4 2 2 3 4 6 2 4" xfId="33009" xr:uid="{8868C248-4FBF-4B6E-AC4A-073EDB6CC6E5}"/>
    <cellStyle name="Normal 4 2 2 3 4 6 3" xfId="11898" xr:uid="{A3204EC8-A5A4-4223-80D8-FA933AD70006}"/>
    <cellStyle name="Normal 4 2 2 3 4 6 4" xfId="20345" xr:uid="{01EACBDC-3BAA-408C-959A-E5E895624DDA}"/>
    <cellStyle name="Normal 4 2 2 3 4 6 5" xfId="28792" xr:uid="{012B345B-CB06-4AC2-B00D-194DCE79FBF9}"/>
    <cellStyle name="Normal 4 2 2 3 4 7" xfId="4724" xr:uid="{00000000-0005-0000-0000-00007F120000}"/>
    <cellStyle name="Normal 4 2 2 3 4 7 2" xfId="14050" xr:uid="{F0A7ED0D-6A4D-4DC6-BA51-2C021B1DA0E6}"/>
    <cellStyle name="Normal 4 2 2 3 4 7 3" xfId="22497" xr:uid="{6FC032A1-EF22-4CC2-931D-BA8AC06B5D30}"/>
    <cellStyle name="Normal 4 2 2 3 4 7 4" xfId="30944" xr:uid="{0E16CF77-2BC7-4959-9BCA-DBF758AE76AE}"/>
    <cellStyle name="Normal 4 2 2 3 4 8" xfId="8991" xr:uid="{84464EC3-90C2-4B18-8399-135C935528F7}"/>
    <cellStyle name="Normal 4 2 2 3 4 9" xfId="9833" xr:uid="{40BCD572-BE17-4F3F-AFA5-545C203F52CF}"/>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16601" xr:uid="{B1EFF73E-8AF9-4509-A384-838ABAAF25B0}"/>
    <cellStyle name="Normal 4 2 2 3 5 2 2 3" xfId="25048" xr:uid="{B35C5AF9-10AF-4203-A4A8-41A4756E99AB}"/>
    <cellStyle name="Normal 4 2 2 3 5 2 2 4" xfId="33495" xr:uid="{E3DB8846-5536-4CC8-969D-34678714A3B8}"/>
    <cellStyle name="Normal 4 2 2 3 5 2 3" xfId="12384" xr:uid="{9EB0E3A4-004C-4D9C-9F95-226F003DB348}"/>
    <cellStyle name="Normal 4 2 2 3 5 2 4" xfId="20831" xr:uid="{26582A94-3D12-496D-9758-9A8E46BEBD30}"/>
    <cellStyle name="Normal 4 2 2 3 5 2 5" xfId="29278" xr:uid="{E6AC7123-C773-41A6-B663-216537DCEDD4}"/>
    <cellStyle name="Normal 4 2 2 3 5 3" xfId="5130" xr:uid="{00000000-0005-0000-0000-000083120000}"/>
    <cellStyle name="Normal 4 2 2 3 5 3 2" xfId="14456" xr:uid="{40BF8FF8-97D4-4031-948C-8EF1F7E6DA30}"/>
    <cellStyle name="Normal 4 2 2 3 5 3 3" xfId="22903" xr:uid="{71EEC8EF-861F-404D-8EA8-86C6E3FE15B7}"/>
    <cellStyle name="Normal 4 2 2 3 5 3 4" xfId="31350" xr:uid="{6BC12E13-D11D-4D22-BD0D-458FBC9873ED}"/>
    <cellStyle name="Normal 4 2 2 3 5 4" xfId="9208" xr:uid="{7BF9CD11-B90D-42F2-928D-A8BE344C6F46}"/>
    <cellStyle name="Normal 4 2 2 3 5 5" xfId="10239" xr:uid="{D02CAC67-CA91-4638-B8AD-F349306AB0CD}"/>
    <cellStyle name="Normal 4 2 2 3 5 6" xfId="18686" xr:uid="{33324F5E-76EF-4DAA-AEF9-E7CE27B4EA8A}"/>
    <cellStyle name="Normal 4 2 2 3 5 7" xfId="27133" xr:uid="{7D6BA0F0-B030-4F96-8C50-412FAE626313}"/>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17014" xr:uid="{C82862B4-C717-4BBF-AE03-83EB6F2C44A1}"/>
    <cellStyle name="Normal 4 2 2 3 6 2 2 3" xfId="25461" xr:uid="{0D5F8AB3-15C6-4BE0-A528-76A57253995B}"/>
    <cellStyle name="Normal 4 2 2 3 6 2 2 4" xfId="33908" xr:uid="{D921861A-79B7-4150-B432-1BE3C5A276D2}"/>
    <cellStyle name="Normal 4 2 2 3 6 2 3" xfId="12797" xr:uid="{460E4433-79FF-4B39-8570-B97FDC3845C3}"/>
    <cellStyle name="Normal 4 2 2 3 6 2 4" xfId="21244" xr:uid="{A8C3E34D-5082-4C04-846E-53C32EA94918}"/>
    <cellStyle name="Normal 4 2 2 3 6 2 5" xfId="29691" xr:uid="{48416810-EAC0-4357-9C4C-0B76FDBB3159}"/>
    <cellStyle name="Normal 4 2 2 3 6 3" xfId="5543" xr:uid="{00000000-0005-0000-0000-000087120000}"/>
    <cellStyle name="Normal 4 2 2 3 6 3 2" xfId="14869" xr:uid="{6AEFDB61-C521-4C81-B7FC-4BF5432F7EC2}"/>
    <cellStyle name="Normal 4 2 2 3 6 3 3" xfId="23316" xr:uid="{F682EF54-CEA3-4AB4-8268-9419ADA4343A}"/>
    <cellStyle name="Normal 4 2 2 3 6 3 4" xfId="31763" xr:uid="{FC25F4FA-C5E8-4BFF-A506-37524C1C4FD2}"/>
    <cellStyle name="Normal 4 2 2 3 6 4" xfId="10652" xr:uid="{F2909C82-AE8A-4F3F-BA45-CA36026F21BC}"/>
    <cellStyle name="Normal 4 2 2 3 6 5" xfId="19099" xr:uid="{04B3D769-B72A-4179-A6AB-B3A200091935}"/>
    <cellStyle name="Normal 4 2 2 3 6 6" xfId="27546" xr:uid="{CB45EA83-D9C8-44C7-A578-0FC098A4FEB3}"/>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17427" xr:uid="{D291D718-C1CB-4F02-A03B-15F2CC97CA23}"/>
    <cellStyle name="Normal 4 2 2 3 7 2 2 3" xfId="25874" xr:uid="{89FC6127-F9A6-442A-9259-DEF0713B019E}"/>
    <cellStyle name="Normal 4 2 2 3 7 2 2 4" xfId="34321" xr:uid="{BBCC0CE7-1736-4589-9DF7-EAF325BF0770}"/>
    <cellStyle name="Normal 4 2 2 3 7 2 3" xfId="13210" xr:uid="{A783342F-4CC8-41CF-9AD0-F5C953654854}"/>
    <cellStyle name="Normal 4 2 2 3 7 2 4" xfId="21657" xr:uid="{34506E92-492B-421C-BC33-21518A3FFA76}"/>
    <cellStyle name="Normal 4 2 2 3 7 2 5" xfId="30104" xr:uid="{8DF26FC2-583A-4DDE-8497-C4862660A521}"/>
    <cellStyle name="Normal 4 2 2 3 7 3" xfId="5956" xr:uid="{00000000-0005-0000-0000-00008B120000}"/>
    <cellStyle name="Normal 4 2 2 3 7 3 2" xfId="15282" xr:uid="{23020A42-3EC0-4EF5-9903-8D7D8E0990EE}"/>
    <cellStyle name="Normal 4 2 2 3 7 3 3" xfId="23729" xr:uid="{CB9FEBEB-DC74-48CF-9B8D-9260CCCEAD8A}"/>
    <cellStyle name="Normal 4 2 2 3 7 3 4" xfId="32176" xr:uid="{4929E7EA-DFAC-47C5-91DE-5CFCF8BB5364}"/>
    <cellStyle name="Normal 4 2 2 3 7 4" xfId="11065" xr:uid="{84217BF0-0704-4404-A8A7-F53B820A1488}"/>
    <cellStyle name="Normal 4 2 2 3 7 5" xfId="19512" xr:uid="{D295B705-58A4-401E-94B4-442409B0D80D}"/>
    <cellStyle name="Normal 4 2 2 3 7 6" xfId="27959" xr:uid="{772DADFF-77BB-4245-964A-5517F79AD520}"/>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17840" xr:uid="{EE00D785-8F0D-485B-9B9B-C6CE3F120B3D}"/>
    <cellStyle name="Normal 4 2 2 3 8 2 2 3" xfId="26287" xr:uid="{97BE074E-2FE0-4402-BDBF-D3A4D5E32FA2}"/>
    <cellStyle name="Normal 4 2 2 3 8 2 2 4" xfId="34734" xr:uid="{BA1889F0-3753-40BE-A131-BD6876701E4E}"/>
    <cellStyle name="Normal 4 2 2 3 8 2 3" xfId="13623" xr:uid="{F1C3A034-135C-4B38-8EAD-DC3223938339}"/>
    <cellStyle name="Normal 4 2 2 3 8 2 4" xfId="22070" xr:uid="{13C33328-DF67-4E80-9795-ABD676E09EF4}"/>
    <cellStyle name="Normal 4 2 2 3 8 2 5" xfId="30517" xr:uid="{3E5F0933-F913-4EA1-A767-9A77B29BD8CD}"/>
    <cellStyle name="Normal 4 2 2 3 8 3" xfId="6369" xr:uid="{00000000-0005-0000-0000-00008F120000}"/>
    <cellStyle name="Normal 4 2 2 3 8 3 2" xfId="15695" xr:uid="{51AE5C4A-F41C-4AE1-BD8E-6AFD293D951A}"/>
    <cellStyle name="Normal 4 2 2 3 8 3 3" xfId="24142" xr:uid="{0C7E4DAF-E52B-4B0F-8DF7-09376E39408C}"/>
    <cellStyle name="Normal 4 2 2 3 8 3 4" xfId="32589" xr:uid="{8133D665-96CD-4C91-B0C5-3E2B7FEA6AD7}"/>
    <cellStyle name="Normal 4 2 2 3 8 4" xfId="11478" xr:uid="{24BB4997-3F10-4889-80D6-296F51CC7DB8}"/>
    <cellStyle name="Normal 4 2 2 3 8 5" xfId="19925" xr:uid="{05501D3F-B0F3-46AC-A20D-CC166325BC51}"/>
    <cellStyle name="Normal 4 2 2 3 8 6" xfId="28372" xr:uid="{2441677F-B6AD-4C90-AD35-590660C55D34}"/>
    <cellStyle name="Normal 4 2 2 3 9" xfId="2499" xr:uid="{00000000-0005-0000-0000-000090120000}"/>
    <cellStyle name="Normal 4 2 2 3 9 2" xfId="6782" xr:uid="{00000000-0005-0000-0000-000091120000}"/>
    <cellStyle name="Normal 4 2 2 3 9 2 2" xfId="16108" xr:uid="{964B8B73-4FC0-4804-8813-A744B2F14FB1}"/>
    <cellStyle name="Normal 4 2 2 3 9 2 3" xfId="24555" xr:uid="{A55D881B-B170-4D34-8DFF-C99263CE8771}"/>
    <cellStyle name="Normal 4 2 2 3 9 2 4" xfId="33002" xr:uid="{841E56F7-90B6-44C0-9523-9BF83119C280}"/>
    <cellStyle name="Normal 4 2 2 3 9 3" xfId="11891" xr:uid="{722AA2D9-EC27-4BAE-9C44-C2E8EFCCAC71}"/>
    <cellStyle name="Normal 4 2 2 3 9 4" xfId="20338" xr:uid="{B06CC8C0-C849-48E3-8C6E-E5749608F760}"/>
    <cellStyle name="Normal 4 2 2 3 9 5" xfId="28785" xr:uid="{21E6310D-3D41-4372-8861-7A36480002E1}"/>
    <cellStyle name="Normal 4 2 2 4" xfId="347" xr:uid="{00000000-0005-0000-0000-000092120000}"/>
    <cellStyle name="Normal 4 2 2 4 10" xfId="8818" xr:uid="{A73977A7-52C6-4368-9F59-166E1B99BBDE}"/>
    <cellStyle name="Normal 4 2 2 4 11" xfId="9834" xr:uid="{07E898C7-351D-4827-B067-ED126867A8C2}"/>
    <cellStyle name="Normal 4 2 2 4 12" xfId="18281" xr:uid="{17098283-19BF-4E96-A472-717C3B8DE71F}"/>
    <cellStyle name="Normal 4 2 2 4 13" xfId="26728" xr:uid="{8D594500-9698-4365-A7C2-0D576E817A18}"/>
    <cellStyle name="Normal 4 2 2 4 2" xfId="348" xr:uid="{00000000-0005-0000-0000-000093120000}"/>
    <cellStyle name="Normal 4 2 2 4 2 10" xfId="9835" xr:uid="{69702DF4-DF37-45D8-BDD0-02695A126256}"/>
    <cellStyle name="Normal 4 2 2 4 2 11" xfId="18282" xr:uid="{E203D625-5F71-4A99-B8D4-7DBC7A577562}"/>
    <cellStyle name="Normal 4 2 2 4 2 12" xfId="26729" xr:uid="{13C4BD79-9D75-40BD-ADE0-2AEB3A0DEB94}"/>
    <cellStyle name="Normal 4 2 2 4 2 2" xfId="349" xr:uid="{00000000-0005-0000-0000-000094120000}"/>
    <cellStyle name="Normal 4 2 2 4 2 2 10" xfId="18283" xr:uid="{8EC0ED87-6206-420E-A454-34EE85446284}"/>
    <cellStyle name="Normal 4 2 2 4 2 2 11" xfId="26730" xr:uid="{8DE0750F-6CBD-4973-AABA-ED19BECFC49B}"/>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16611" xr:uid="{E3D2E7C7-B54F-411E-8B81-6E33F2FF7B87}"/>
    <cellStyle name="Normal 4 2 2 4 2 2 2 2 2 3" xfId="25058" xr:uid="{28B43DDC-70C8-42B8-8FC6-562EED00B9FD}"/>
    <cellStyle name="Normal 4 2 2 4 2 2 2 2 2 4" xfId="33505" xr:uid="{53CCA685-E958-4540-B470-24ACE396AAAD}"/>
    <cellStyle name="Normal 4 2 2 4 2 2 2 2 3" xfId="12394" xr:uid="{15FD900E-A741-4FDA-9D1F-00631BFBE2E0}"/>
    <cellStyle name="Normal 4 2 2 4 2 2 2 2 4" xfId="20841" xr:uid="{A999B507-A7C0-4E3D-BEF4-14EBB1646F39}"/>
    <cellStyle name="Normal 4 2 2 4 2 2 2 2 5" xfId="29288" xr:uid="{60DE24D3-EE00-41F3-AF63-73981E77F94A}"/>
    <cellStyle name="Normal 4 2 2 4 2 2 2 3" xfId="5140" xr:uid="{00000000-0005-0000-0000-000098120000}"/>
    <cellStyle name="Normal 4 2 2 4 2 2 2 3 2" xfId="14466" xr:uid="{68921BAA-3C66-4AC1-9152-02049F06FA5F}"/>
    <cellStyle name="Normal 4 2 2 4 2 2 2 3 3" xfId="22913" xr:uid="{FAC257C7-79ED-4D2F-A777-6B5E78A87EA1}"/>
    <cellStyle name="Normal 4 2 2 4 2 2 2 3 4" xfId="31360" xr:uid="{D99CF3FB-8972-485B-8A43-2E36EC9C28C9}"/>
    <cellStyle name="Normal 4 2 2 4 2 2 2 4" xfId="9553" xr:uid="{7FCAF883-2374-4470-BA95-AD8EB054639C}"/>
    <cellStyle name="Normal 4 2 2 4 2 2 2 5" xfId="10249" xr:uid="{C6837473-ED86-4A39-8FD9-5C546C6BE185}"/>
    <cellStyle name="Normal 4 2 2 4 2 2 2 6" xfId="18696" xr:uid="{B8E45ABD-B636-4FDF-8F1D-A644C991269B}"/>
    <cellStyle name="Normal 4 2 2 4 2 2 2 7" xfId="27143" xr:uid="{E39148FD-B0EA-40FD-93E3-1BB616766BAA}"/>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17024" xr:uid="{7817836C-9147-45C3-99E4-69427D15A385}"/>
    <cellStyle name="Normal 4 2 2 4 2 2 3 2 2 3" xfId="25471" xr:uid="{007B4AD5-BA21-477C-805A-87636D17024D}"/>
    <cellStyle name="Normal 4 2 2 4 2 2 3 2 2 4" xfId="33918" xr:uid="{DF907DF4-ED50-4B51-97B1-69CC130ECC42}"/>
    <cellStyle name="Normal 4 2 2 4 2 2 3 2 3" xfId="12807" xr:uid="{A3B57938-AB65-4D9D-B159-8D321ABB303A}"/>
    <cellStyle name="Normal 4 2 2 4 2 2 3 2 4" xfId="21254" xr:uid="{145D577A-3F02-461F-8EC6-6324E1B2F69D}"/>
    <cellStyle name="Normal 4 2 2 4 2 2 3 2 5" xfId="29701" xr:uid="{AE5EB8B8-75EC-44F3-8416-048C61C2FB18}"/>
    <cellStyle name="Normal 4 2 2 4 2 2 3 3" xfId="5553" xr:uid="{00000000-0005-0000-0000-00009C120000}"/>
    <cellStyle name="Normal 4 2 2 4 2 2 3 3 2" xfId="14879" xr:uid="{1EB7B5A5-6F25-4458-90E2-C56B2D191203}"/>
    <cellStyle name="Normal 4 2 2 4 2 2 3 3 3" xfId="23326" xr:uid="{7A421B33-65EA-487B-A52B-26F6A4E3061E}"/>
    <cellStyle name="Normal 4 2 2 4 2 2 3 3 4" xfId="31773" xr:uid="{5B68F5FE-709A-4557-A1A2-0D8CEC34071C}"/>
    <cellStyle name="Normal 4 2 2 4 2 2 3 4" xfId="10662" xr:uid="{67F175B4-5D5F-492F-8F73-74254293D793}"/>
    <cellStyle name="Normal 4 2 2 4 2 2 3 5" xfId="19109" xr:uid="{4DE9D469-1435-42C2-A6BF-CF14D70EEDA7}"/>
    <cellStyle name="Normal 4 2 2 4 2 2 3 6" xfId="27556" xr:uid="{2FD35F17-2DBF-466A-B64D-13F44226D57C}"/>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17437" xr:uid="{DF8DB4A0-2798-4DAE-9ED7-697AE40C7DF8}"/>
    <cellStyle name="Normal 4 2 2 4 2 2 4 2 2 3" xfId="25884" xr:uid="{596A3175-425C-42AC-BF26-2E85A3CE3047}"/>
    <cellStyle name="Normal 4 2 2 4 2 2 4 2 2 4" xfId="34331" xr:uid="{3BDD6463-E3F7-4BD1-9662-4E978C75A0FB}"/>
    <cellStyle name="Normal 4 2 2 4 2 2 4 2 3" xfId="13220" xr:uid="{568B6B56-2E26-4988-87DC-06732FBBB9E3}"/>
    <cellStyle name="Normal 4 2 2 4 2 2 4 2 4" xfId="21667" xr:uid="{D08D042B-0F21-4DF9-B32B-254B700341DC}"/>
    <cellStyle name="Normal 4 2 2 4 2 2 4 2 5" xfId="30114" xr:uid="{5B2DFFF1-1867-41E3-BEA4-9907EEC058EE}"/>
    <cellStyle name="Normal 4 2 2 4 2 2 4 3" xfId="5966" xr:uid="{00000000-0005-0000-0000-0000A0120000}"/>
    <cellStyle name="Normal 4 2 2 4 2 2 4 3 2" xfId="15292" xr:uid="{BFBA1B70-967D-4DA6-846B-7730EB63E506}"/>
    <cellStyle name="Normal 4 2 2 4 2 2 4 3 3" xfId="23739" xr:uid="{D47CAFAE-3C81-42C7-9ED6-DD8031E45B01}"/>
    <cellStyle name="Normal 4 2 2 4 2 2 4 3 4" xfId="32186" xr:uid="{E48B0556-9679-4807-B7DE-515470ECFFA4}"/>
    <cellStyle name="Normal 4 2 2 4 2 2 4 4" xfId="11075" xr:uid="{0DBA8C4B-4C6F-4F38-A11E-D046CD13359D}"/>
    <cellStyle name="Normal 4 2 2 4 2 2 4 5" xfId="19522" xr:uid="{24717A85-B77F-4690-8BD3-EBE05A2A506D}"/>
    <cellStyle name="Normal 4 2 2 4 2 2 4 6" xfId="27969" xr:uid="{A0E12765-6CB7-4922-AEEC-7EBF42D03D6D}"/>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17850" xr:uid="{E02E0B93-8DDE-4E55-8DD0-4A7302C4FAC7}"/>
    <cellStyle name="Normal 4 2 2 4 2 2 5 2 2 3" xfId="26297" xr:uid="{8DB8065C-4B94-46DF-B2E9-94E6E7D7C248}"/>
    <cellStyle name="Normal 4 2 2 4 2 2 5 2 2 4" xfId="34744" xr:uid="{BC4E5A72-3895-4F2A-875E-1DE2C0B1FE08}"/>
    <cellStyle name="Normal 4 2 2 4 2 2 5 2 3" xfId="13633" xr:uid="{03276FB9-6409-40AC-B696-4547F21B3658}"/>
    <cellStyle name="Normal 4 2 2 4 2 2 5 2 4" xfId="22080" xr:uid="{BACC8B25-D747-429E-9E35-7C6B79393753}"/>
    <cellStyle name="Normal 4 2 2 4 2 2 5 2 5" xfId="30527" xr:uid="{E50B9705-E786-41CB-A224-1AD142A614C2}"/>
    <cellStyle name="Normal 4 2 2 4 2 2 5 3" xfId="6379" xr:uid="{00000000-0005-0000-0000-0000A4120000}"/>
    <cellStyle name="Normal 4 2 2 4 2 2 5 3 2" xfId="15705" xr:uid="{EFAF8C68-F99D-4491-8312-F1055D7069AB}"/>
    <cellStyle name="Normal 4 2 2 4 2 2 5 3 3" xfId="24152" xr:uid="{D8345098-676E-4961-97FC-242F19305DAE}"/>
    <cellStyle name="Normal 4 2 2 4 2 2 5 3 4" xfId="32599" xr:uid="{78B1C4E5-86BC-4702-9E96-5A05B0F85D2B}"/>
    <cellStyle name="Normal 4 2 2 4 2 2 5 4" xfId="11488" xr:uid="{CABF6FBB-5FE5-4CE4-B0FA-41FCD88B30D3}"/>
    <cellStyle name="Normal 4 2 2 4 2 2 5 5" xfId="19935" xr:uid="{E4B149DA-154B-44A2-B2AA-234B7C136D4B}"/>
    <cellStyle name="Normal 4 2 2 4 2 2 5 6" xfId="28382" xr:uid="{2DEB438A-2CD4-497C-A17D-5A7697EF4422}"/>
    <cellStyle name="Normal 4 2 2 4 2 2 6" xfId="2509" xr:uid="{00000000-0005-0000-0000-0000A5120000}"/>
    <cellStyle name="Normal 4 2 2 4 2 2 6 2" xfId="6792" xr:uid="{00000000-0005-0000-0000-0000A6120000}"/>
    <cellStyle name="Normal 4 2 2 4 2 2 6 2 2" xfId="16118" xr:uid="{B8D04EC7-0F84-49EA-82EB-6A02CBAAEE7A}"/>
    <cellStyle name="Normal 4 2 2 4 2 2 6 2 3" xfId="24565" xr:uid="{A837FAAE-E8DE-4216-96A3-A04495E7AF0B}"/>
    <cellStyle name="Normal 4 2 2 4 2 2 6 2 4" xfId="33012" xr:uid="{262CDD26-A3E9-4BC1-90DA-6D5A463B6268}"/>
    <cellStyle name="Normal 4 2 2 4 2 2 6 3" xfId="11901" xr:uid="{320B1545-CEC8-497E-8293-BC7A009BE33D}"/>
    <cellStyle name="Normal 4 2 2 4 2 2 6 4" xfId="20348" xr:uid="{FA666CA5-E553-462D-A1DC-32F7EEBE961C}"/>
    <cellStyle name="Normal 4 2 2 4 2 2 6 5" xfId="28795" xr:uid="{6E540D59-491B-45B1-B420-71B6F37536C2}"/>
    <cellStyle name="Normal 4 2 2 4 2 2 7" xfId="4727" xr:uid="{00000000-0005-0000-0000-0000A7120000}"/>
    <cellStyle name="Normal 4 2 2 4 2 2 7 2" xfId="14053" xr:uid="{1C211072-3C19-4205-A5A9-C0219A425F01}"/>
    <cellStyle name="Normal 4 2 2 4 2 2 7 3" xfId="22500" xr:uid="{FD314A99-1E53-47AD-807C-44156BE00BE3}"/>
    <cellStyle name="Normal 4 2 2 4 2 2 7 4" xfId="30947" xr:uid="{0F35AE80-9350-4FFA-AFE2-0A878D7A7649}"/>
    <cellStyle name="Normal 4 2 2 4 2 2 8" xfId="9128" xr:uid="{3D9AD2A4-E3D1-4BAF-8F43-BFB1FE8E222D}"/>
    <cellStyle name="Normal 4 2 2 4 2 2 9" xfId="9836" xr:uid="{8AC4BF4E-3988-4DAF-AF52-18AFF66EB1B5}"/>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16610" xr:uid="{5813CE6C-81DB-4BB6-AA32-07452CBFBA91}"/>
    <cellStyle name="Normal 4 2 2 4 2 3 2 2 3" xfId="25057" xr:uid="{AC7E08EB-17CC-4B5F-BEE4-00FADEFA85D2}"/>
    <cellStyle name="Normal 4 2 2 4 2 3 2 2 4" xfId="33504" xr:uid="{6D2B1C01-9307-446D-B5F4-8ED507E3B5D1}"/>
    <cellStyle name="Normal 4 2 2 4 2 3 2 3" xfId="12393" xr:uid="{A7A274CC-59A6-48FB-8DF6-E39E73951DC7}"/>
    <cellStyle name="Normal 4 2 2 4 2 3 2 4" xfId="20840" xr:uid="{4771A247-0D56-4ABC-9107-5BE70A7FAE7C}"/>
    <cellStyle name="Normal 4 2 2 4 2 3 2 5" xfId="29287" xr:uid="{E8C0A9E9-CBC7-4FB2-B722-16FDCA5ABCB1}"/>
    <cellStyle name="Normal 4 2 2 4 2 3 3" xfId="5139" xr:uid="{00000000-0005-0000-0000-0000AB120000}"/>
    <cellStyle name="Normal 4 2 2 4 2 3 3 2" xfId="14465" xr:uid="{AD3EA5E4-4D86-4580-8BF1-80BFECA03DF7}"/>
    <cellStyle name="Normal 4 2 2 4 2 3 3 3" xfId="22912" xr:uid="{B0895B54-9895-4F93-9893-CC549A965E0E}"/>
    <cellStyle name="Normal 4 2 2 4 2 3 3 4" xfId="31359" xr:uid="{A0BCAC73-38D2-4ADB-8161-2AB548B748CE}"/>
    <cellStyle name="Normal 4 2 2 4 2 3 4" xfId="9346" xr:uid="{11110DEC-01F5-467C-B0F9-3286FF7E57CB}"/>
    <cellStyle name="Normal 4 2 2 4 2 3 5" xfId="10248" xr:uid="{837D878D-BF5B-44D8-8E10-EFC9C6294552}"/>
    <cellStyle name="Normal 4 2 2 4 2 3 6" xfId="18695" xr:uid="{3BE8DE3B-0B26-4D1E-B00C-6F174CBD7FE0}"/>
    <cellStyle name="Normal 4 2 2 4 2 3 7" xfId="27142" xr:uid="{3047C13B-E553-4494-9B3A-975265554BB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17023" xr:uid="{FB02F9D5-A3D1-4063-80FB-649947CE3615}"/>
    <cellStyle name="Normal 4 2 2 4 2 4 2 2 3" xfId="25470" xr:uid="{E1CB52D1-53A6-4E21-A223-E0A3EFADFF6C}"/>
    <cellStyle name="Normal 4 2 2 4 2 4 2 2 4" xfId="33917" xr:uid="{F3875E46-E8DD-4CA1-A063-BCF2DDAFB04B}"/>
    <cellStyle name="Normal 4 2 2 4 2 4 2 3" xfId="12806" xr:uid="{16974A1D-4F9D-45CA-89E8-C115E621CF77}"/>
    <cellStyle name="Normal 4 2 2 4 2 4 2 4" xfId="21253" xr:uid="{7FCCF8FF-4D77-4EC4-B29F-924884B76C9D}"/>
    <cellStyle name="Normal 4 2 2 4 2 4 2 5" xfId="29700" xr:uid="{AA2D2E5C-CD11-4689-8BB3-7E87E9E65C45}"/>
    <cellStyle name="Normal 4 2 2 4 2 4 3" xfId="5552" xr:uid="{00000000-0005-0000-0000-0000AF120000}"/>
    <cellStyle name="Normal 4 2 2 4 2 4 3 2" xfId="14878" xr:uid="{4B749AAF-04B5-4608-ABE8-1508340FFC27}"/>
    <cellStyle name="Normal 4 2 2 4 2 4 3 3" xfId="23325" xr:uid="{BCFAE324-9861-44C0-AECD-E14B8DA9258D}"/>
    <cellStyle name="Normal 4 2 2 4 2 4 3 4" xfId="31772" xr:uid="{11A2C58F-B4F7-47B8-8973-C146D7393D0E}"/>
    <cellStyle name="Normal 4 2 2 4 2 4 4" xfId="10661" xr:uid="{47B10E7A-3CEF-4EE4-9A3D-99757DC43936}"/>
    <cellStyle name="Normal 4 2 2 4 2 4 5" xfId="19108" xr:uid="{6CC3DBD4-30F3-4583-8925-A95A74497D43}"/>
    <cellStyle name="Normal 4 2 2 4 2 4 6" xfId="27555" xr:uid="{BD923DC3-74FB-4137-8539-61052191332A}"/>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17436" xr:uid="{15EAA7F9-54A8-40C9-B46F-1AAAD7707B14}"/>
    <cellStyle name="Normal 4 2 2 4 2 5 2 2 3" xfId="25883" xr:uid="{08101AF8-78BD-4FFE-AEFF-E4C2535862A5}"/>
    <cellStyle name="Normal 4 2 2 4 2 5 2 2 4" xfId="34330" xr:uid="{D34AA0F9-716D-4A7D-A45B-ED7E4E01F97F}"/>
    <cellStyle name="Normal 4 2 2 4 2 5 2 3" xfId="13219" xr:uid="{889C77DF-2349-4448-965A-306B8C72674A}"/>
    <cellStyle name="Normal 4 2 2 4 2 5 2 4" xfId="21666" xr:uid="{32D325F2-5A14-4D9D-9611-11C523C26507}"/>
    <cellStyle name="Normal 4 2 2 4 2 5 2 5" xfId="30113" xr:uid="{06EA0FC0-7E6B-4885-B319-07D6CC238645}"/>
    <cellStyle name="Normal 4 2 2 4 2 5 3" xfId="5965" xr:uid="{00000000-0005-0000-0000-0000B3120000}"/>
    <cellStyle name="Normal 4 2 2 4 2 5 3 2" xfId="15291" xr:uid="{D74CED5A-3A40-4D77-977B-7DA772BABBAD}"/>
    <cellStyle name="Normal 4 2 2 4 2 5 3 3" xfId="23738" xr:uid="{C29A7DBF-CB48-4EE0-8838-BDC9B2A3AD4F}"/>
    <cellStyle name="Normal 4 2 2 4 2 5 3 4" xfId="32185" xr:uid="{B5F9B984-72DC-4EF1-BD75-CD5EBC946D41}"/>
    <cellStyle name="Normal 4 2 2 4 2 5 4" xfId="11074" xr:uid="{AADA4C94-EBE7-4936-875B-7195DE2BBD94}"/>
    <cellStyle name="Normal 4 2 2 4 2 5 5" xfId="19521" xr:uid="{FD6C3FF0-CDA0-4A96-89BC-D203E7BDC143}"/>
    <cellStyle name="Normal 4 2 2 4 2 5 6" xfId="27968" xr:uid="{FDDCC406-1A8A-44A2-968D-F7050C0F935B}"/>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17849" xr:uid="{B78947F8-7FE1-462F-ADAE-8BD9C119D88A}"/>
    <cellStyle name="Normal 4 2 2 4 2 6 2 2 3" xfId="26296" xr:uid="{82C71755-17D7-4D1F-861A-502ADB8917AB}"/>
    <cellStyle name="Normal 4 2 2 4 2 6 2 2 4" xfId="34743" xr:uid="{7D207F89-D31A-4F1D-BD9A-1CA1B2E570E9}"/>
    <cellStyle name="Normal 4 2 2 4 2 6 2 3" xfId="13632" xr:uid="{5767565C-269B-4FE2-AC58-E39FF65F2BA1}"/>
    <cellStyle name="Normal 4 2 2 4 2 6 2 4" xfId="22079" xr:uid="{7F0ECC75-F6FE-4C24-80FF-9D41127ABD1F}"/>
    <cellStyle name="Normal 4 2 2 4 2 6 2 5" xfId="30526" xr:uid="{0CB4D465-591E-4B31-A435-00B8DF93B0ED}"/>
    <cellStyle name="Normal 4 2 2 4 2 6 3" xfId="6378" xr:uid="{00000000-0005-0000-0000-0000B7120000}"/>
    <cellStyle name="Normal 4 2 2 4 2 6 3 2" xfId="15704" xr:uid="{D62A715F-DB99-4C52-B97D-55352002F5CD}"/>
    <cellStyle name="Normal 4 2 2 4 2 6 3 3" xfId="24151" xr:uid="{9A5DECFB-24D4-4E28-8C8E-51D28D9134C6}"/>
    <cellStyle name="Normal 4 2 2 4 2 6 3 4" xfId="32598" xr:uid="{FFDA5D48-CBD5-4EB7-B094-9AB97769E06B}"/>
    <cellStyle name="Normal 4 2 2 4 2 6 4" xfId="11487" xr:uid="{3312E22F-F4F4-4EB4-8590-E5A6C0CA3459}"/>
    <cellStyle name="Normal 4 2 2 4 2 6 5" xfId="19934" xr:uid="{06F0A305-2B84-4906-A8EB-65773262ADC1}"/>
    <cellStyle name="Normal 4 2 2 4 2 6 6" xfId="28381" xr:uid="{F58EF902-D9C1-47E0-9BF3-0D96E0826D69}"/>
    <cellStyle name="Normal 4 2 2 4 2 7" xfId="2508" xr:uid="{00000000-0005-0000-0000-0000B8120000}"/>
    <cellStyle name="Normal 4 2 2 4 2 7 2" xfId="6791" xr:uid="{00000000-0005-0000-0000-0000B9120000}"/>
    <cellStyle name="Normal 4 2 2 4 2 7 2 2" xfId="16117" xr:uid="{65F0420B-F10C-4302-8BCB-AAF5BABE29AA}"/>
    <cellStyle name="Normal 4 2 2 4 2 7 2 3" xfId="24564" xr:uid="{68A0A10E-7B85-4A27-9BFB-A847CF520D51}"/>
    <cellStyle name="Normal 4 2 2 4 2 7 2 4" xfId="33011" xr:uid="{ED89F76C-6FB4-4D24-B491-8E44B1DF639A}"/>
    <cellStyle name="Normal 4 2 2 4 2 7 3" xfId="11900" xr:uid="{683C6D68-D19E-420F-85FD-98CC714DFDB1}"/>
    <cellStyle name="Normal 4 2 2 4 2 7 4" xfId="20347" xr:uid="{EA9FEC82-F7BB-42AF-AAB3-C1428D4C6DD5}"/>
    <cellStyle name="Normal 4 2 2 4 2 7 5" xfId="28794" xr:uid="{E52936A8-A0A4-4CEB-9681-16E3AC1EFC12}"/>
    <cellStyle name="Normal 4 2 2 4 2 8" xfId="4726" xr:uid="{00000000-0005-0000-0000-0000BA120000}"/>
    <cellStyle name="Normal 4 2 2 4 2 8 2" xfId="14052" xr:uid="{9FBAC403-765B-4DC1-A0B4-C1204BCF827E}"/>
    <cellStyle name="Normal 4 2 2 4 2 8 3" xfId="22499" xr:uid="{5207A9A1-C769-4077-A9C6-C6889149496E}"/>
    <cellStyle name="Normal 4 2 2 4 2 8 4" xfId="30946" xr:uid="{ACD12E40-E788-4D59-8674-07A45D20F433}"/>
    <cellStyle name="Normal 4 2 2 4 2 9" xfId="8921" xr:uid="{43AA3CA1-A6D2-47CC-8276-CBFAB7238AA6}"/>
    <cellStyle name="Normal 4 2 2 4 3" xfId="350" xr:uid="{00000000-0005-0000-0000-0000BB120000}"/>
    <cellStyle name="Normal 4 2 2 4 3 10" xfId="18284" xr:uid="{8C6C5F0C-FF38-4F3A-ABCF-EB33135DCF65}"/>
    <cellStyle name="Normal 4 2 2 4 3 11" xfId="26731" xr:uid="{D4691B96-E715-462B-A892-BF301222153C}"/>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16612" xr:uid="{DB5A6CD5-A4B5-493F-A928-0B240E97B509}"/>
    <cellStyle name="Normal 4 2 2 4 3 2 2 2 3" xfId="25059" xr:uid="{398D7258-DEAC-40DF-B1DB-4A96AC453F8D}"/>
    <cellStyle name="Normal 4 2 2 4 3 2 2 2 4" xfId="33506" xr:uid="{6AF8B4BD-E8D1-4A6C-B3C0-4A3C9467D4FD}"/>
    <cellStyle name="Normal 4 2 2 4 3 2 2 3" xfId="12395" xr:uid="{66D9A9F5-FA58-4E80-816D-CB7B32E3E96F}"/>
    <cellStyle name="Normal 4 2 2 4 3 2 2 4" xfId="20842" xr:uid="{DF36DE8C-9166-4454-9B02-4A3B1A04888B}"/>
    <cellStyle name="Normal 4 2 2 4 3 2 2 5" xfId="29289" xr:uid="{27441F91-ADBC-4EED-8DDD-83AD8FDD9CB1}"/>
    <cellStyle name="Normal 4 2 2 4 3 2 3" xfId="5141" xr:uid="{00000000-0005-0000-0000-0000BF120000}"/>
    <cellStyle name="Normal 4 2 2 4 3 2 3 2" xfId="14467" xr:uid="{EE2C7C8D-D2F6-4DBE-B9BF-7656123C062E}"/>
    <cellStyle name="Normal 4 2 2 4 3 2 3 3" xfId="22914" xr:uid="{9CF76036-D31D-4311-AFB6-28F47FC79074}"/>
    <cellStyle name="Normal 4 2 2 4 3 2 3 4" xfId="31361" xr:uid="{C49500EA-E0BF-4F36-8B84-C5F95224F940}"/>
    <cellStyle name="Normal 4 2 2 4 3 2 4" xfId="9450" xr:uid="{0F54578A-5DA3-4B6E-9E36-71CC7CD6BFE8}"/>
    <cellStyle name="Normal 4 2 2 4 3 2 5" xfId="10250" xr:uid="{CDBD8CF4-DCA8-4F98-87BB-182F3977923E}"/>
    <cellStyle name="Normal 4 2 2 4 3 2 6" xfId="18697" xr:uid="{3355818F-6482-4EAC-8C92-16ABECE5CD1C}"/>
    <cellStyle name="Normal 4 2 2 4 3 2 7" xfId="27144" xr:uid="{BF177EC7-17BD-4DB5-BCFB-235D1E808F19}"/>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17025" xr:uid="{2B6125BF-6B3D-450B-935D-0A71255F1253}"/>
    <cellStyle name="Normal 4 2 2 4 3 3 2 2 3" xfId="25472" xr:uid="{F71C4E80-4881-4BA8-8B84-2FCDA96E0AB2}"/>
    <cellStyle name="Normal 4 2 2 4 3 3 2 2 4" xfId="33919" xr:uid="{F0539F0C-6AE3-4622-BBCD-A771C34A3BE0}"/>
    <cellStyle name="Normal 4 2 2 4 3 3 2 3" xfId="12808" xr:uid="{FF896890-B3F5-48C7-B110-A24A721E5469}"/>
    <cellStyle name="Normal 4 2 2 4 3 3 2 4" xfId="21255" xr:uid="{D5E12EBB-82EF-40D3-B7E7-75F4A602104C}"/>
    <cellStyle name="Normal 4 2 2 4 3 3 2 5" xfId="29702" xr:uid="{A53757D6-E135-452F-80F3-5ED6E65F9BAE}"/>
    <cellStyle name="Normal 4 2 2 4 3 3 3" xfId="5554" xr:uid="{00000000-0005-0000-0000-0000C3120000}"/>
    <cellStyle name="Normal 4 2 2 4 3 3 3 2" xfId="14880" xr:uid="{0FA8EF7A-24AA-41DA-B204-28C73EDB3723}"/>
    <cellStyle name="Normal 4 2 2 4 3 3 3 3" xfId="23327" xr:uid="{E05B35A5-9950-4B98-A017-590D461EA288}"/>
    <cellStyle name="Normal 4 2 2 4 3 3 3 4" xfId="31774" xr:uid="{5F0A537E-A383-4F0C-9D4F-C48CB70BF686}"/>
    <cellStyle name="Normal 4 2 2 4 3 3 4" xfId="10663" xr:uid="{5CCADFEA-38EA-4684-9068-2C15A193C7C9}"/>
    <cellStyle name="Normal 4 2 2 4 3 3 5" xfId="19110" xr:uid="{ECAB3F73-1C5A-4EDF-9BA6-1E78A26D47BC}"/>
    <cellStyle name="Normal 4 2 2 4 3 3 6" xfId="27557" xr:uid="{12149C57-21C6-44C0-A165-74D9EA24B35B}"/>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17438" xr:uid="{90737343-FD77-4BEB-B4BA-8EC1F9E88884}"/>
    <cellStyle name="Normal 4 2 2 4 3 4 2 2 3" xfId="25885" xr:uid="{40FD5E0E-99D5-47BE-AFE0-C7761E0548D1}"/>
    <cellStyle name="Normal 4 2 2 4 3 4 2 2 4" xfId="34332" xr:uid="{3DEB2698-7082-408D-AB95-ECB178877D38}"/>
    <cellStyle name="Normal 4 2 2 4 3 4 2 3" xfId="13221" xr:uid="{52A2BB4D-58A3-4BF9-8917-C1117DCCE3C1}"/>
    <cellStyle name="Normal 4 2 2 4 3 4 2 4" xfId="21668" xr:uid="{6F003D04-C518-4881-BEAC-96C4BA14FA8B}"/>
    <cellStyle name="Normal 4 2 2 4 3 4 2 5" xfId="30115" xr:uid="{44CF5FFA-2B22-41AB-9F8A-926B6B950443}"/>
    <cellStyle name="Normal 4 2 2 4 3 4 3" xfId="5967" xr:uid="{00000000-0005-0000-0000-0000C7120000}"/>
    <cellStyle name="Normal 4 2 2 4 3 4 3 2" xfId="15293" xr:uid="{2657ADD1-4CA7-412A-8064-FCB5F58DEC58}"/>
    <cellStyle name="Normal 4 2 2 4 3 4 3 3" xfId="23740" xr:uid="{1BDEA230-054A-48ED-882C-E02274626969}"/>
    <cellStyle name="Normal 4 2 2 4 3 4 3 4" xfId="32187" xr:uid="{B4FA7A0D-B284-4AE4-9C5F-602F90F1DDEE}"/>
    <cellStyle name="Normal 4 2 2 4 3 4 4" xfId="11076" xr:uid="{2EF372D2-B314-44D8-B57E-3E78F85B85FD}"/>
    <cellStyle name="Normal 4 2 2 4 3 4 5" xfId="19523" xr:uid="{733FFB02-BD52-4146-99A0-BD2EE4D2B942}"/>
    <cellStyle name="Normal 4 2 2 4 3 4 6" xfId="27970" xr:uid="{DA38EA85-C67A-45B3-B548-F1B5734D67E1}"/>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17851" xr:uid="{4B3D7AA9-47C8-4B38-9157-05BFC2EF81C1}"/>
    <cellStyle name="Normal 4 2 2 4 3 5 2 2 3" xfId="26298" xr:uid="{A814874D-00E2-41BC-94EC-9EA84B50A36A}"/>
    <cellStyle name="Normal 4 2 2 4 3 5 2 2 4" xfId="34745" xr:uid="{F13EC3D4-A831-4D41-91D0-784C90198AD0}"/>
    <cellStyle name="Normal 4 2 2 4 3 5 2 3" xfId="13634" xr:uid="{29DB9EA6-0F83-42D9-9736-CDC5EB2F89FD}"/>
    <cellStyle name="Normal 4 2 2 4 3 5 2 4" xfId="22081" xr:uid="{AD37DB06-B7C8-4602-9662-804ADB173D4D}"/>
    <cellStyle name="Normal 4 2 2 4 3 5 2 5" xfId="30528" xr:uid="{8AB43AEB-35DE-41DC-9465-A370FF9A422A}"/>
    <cellStyle name="Normal 4 2 2 4 3 5 3" xfId="6380" xr:uid="{00000000-0005-0000-0000-0000CB120000}"/>
    <cellStyle name="Normal 4 2 2 4 3 5 3 2" xfId="15706" xr:uid="{BBD21BCE-80CA-4A98-800D-ED08AB4E9E62}"/>
    <cellStyle name="Normal 4 2 2 4 3 5 3 3" xfId="24153" xr:uid="{25F4C1FB-0B67-4E6F-8EA3-A2B08168B77D}"/>
    <cellStyle name="Normal 4 2 2 4 3 5 3 4" xfId="32600" xr:uid="{79620CA8-01B2-4A4C-A3CC-6E6F769C34FC}"/>
    <cellStyle name="Normal 4 2 2 4 3 5 4" xfId="11489" xr:uid="{14A02870-5B24-4FCB-8EE1-4CBD79FE8CF3}"/>
    <cellStyle name="Normal 4 2 2 4 3 5 5" xfId="19936" xr:uid="{DD9FBA78-1072-4521-ACA6-BE8FCECE7372}"/>
    <cellStyle name="Normal 4 2 2 4 3 5 6" xfId="28383" xr:uid="{F6950E0C-B866-47C7-B1BD-1661EEB2CF25}"/>
    <cellStyle name="Normal 4 2 2 4 3 6" xfId="2510" xr:uid="{00000000-0005-0000-0000-0000CC120000}"/>
    <cellStyle name="Normal 4 2 2 4 3 6 2" xfId="6793" xr:uid="{00000000-0005-0000-0000-0000CD120000}"/>
    <cellStyle name="Normal 4 2 2 4 3 6 2 2" xfId="16119" xr:uid="{DB475858-AE0D-4E8B-8502-52EBA6433E34}"/>
    <cellStyle name="Normal 4 2 2 4 3 6 2 3" xfId="24566" xr:uid="{A4DAD5D6-2054-4D30-8155-F69739D58324}"/>
    <cellStyle name="Normal 4 2 2 4 3 6 2 4" xfId="33013" xr:uid="{D2133E48-9555-4971-AB8B-15F0149DCE41}"/>
    <cellStyle name="Normal 4 2 2 4 3 6 3" xfId="11902" xr:uid="{D8025F5B-927D-456C-A559-83770AE042E8}"/>
    <cellStyle name="Normal 4 2 2 4 3 6 4" xfId="20349" xr:uid="{8E1183AD-7A48-4A5A-B663-45F2E0007FD0}"/>
    <cellStyle name="Normal 4 2 2 4 3 6 5" xfId="28796" xr:uid="{89FC44EF-DF84-4774-977E-68BE32BDFC95}"/>
    <cellStyle name="Normal 4 2 2 4 3 7" xfId="4728" xr:uid="{00000000-0005-0000-0000-0000CE120000}"/>
    <cellStyle name="Normal 4 2 2 4 3 7 2" xfId="14054" xr:uid="{3A7017B3-CDC9-4DA8-B2CE-010864A920B7}"/>
    <cellStyle name="Normal 4 2 2 4 3 7 3" xfId="22501" xr:uid="{6E2A956D-7DFD-4DCF-BF49-47B34F6B66D2}"/>
    <cellStyle name="Normal 4 2 2 4 3 7 4" xfId="30948" xr:uid="{8D2D48FF-2445-41B3-82E2-DB2469634D4B}"/>
    <cellStyle name="Normal 4 2 2 4 3 8" xfId="9025" xr:uid="{436CB353-A916-4AB2-B5E2-8C1BDAEA1182}"/>
    <cellStyle name="Normal 4 2 2 4 3 9" xfId="9837" xr:uid="{350173C5-FDFB-4023-9D74-08BF6CBE62C7}"/>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16609" xr:uid="{2B60150B-FA81-451D-8FE1-168A2236D93C}"/>
    <cellStyle name="Normal 4 2 2 4 4 2 2 3" xfId="25056" xr:uid="{C6963788-7D62-4A0E-A33D-EEF1BFD612B3}"/>
    <cellStyle name="Normal 4 2 2 4 4 2 2 4" xfId="33503" xr:uid="{D774FE5F-1841-4CA4-83D0-B5AAD70D56CB}"/>
    <cellStyle name="Normal 4 2 2 4 4 2 3" xfId="12392" xr:uid="{645AED5F-BD19-469B-A8ED-A6382E7B733C}"/>
    <cellStyle name="Normal 4 2 2 4 4 2 4" xfId="20839" xr:uid="{7C6ABE0B-8AE7-4916-909D-82A92DBB6D7C}"/>
    <cellStyle name="Normal 4 2 2 4 4 2 5" xfId="29286" xr:uid="{E3E68D58-2A17-44EB-B7A9-4584FC404B34}"/>
    <cellStyle name="Normal 4 2 2 4 4 3" xfId="5138" xr:uid="{00000000-0005-0000-0000-0000D2120000}"/>
    <cellStyle name="Normal 4 2 2 4 4 3 2" xfId="14464" xr:uid="{45E40740-FDD8-4F51-A05F-1FE29D35A6D9}"/>
    <cellStyle name="Normal 4 2 2 4 4 3 3" xfId="22911" xr:uid="{81963853-A1EE-4F8E-A679-D20B552BBC27}"/>
    <cellStyle name="Normal 4 2 2 4 4 3 4" xfId="31358" xr:uid="{18380017-FAC9-4971-90D6-D8E2DCFC2C4F}"/>
    <cellStyle name="Normal 4 2 2 4 4 4" xfId="9243" xr:uid="{FD46A281-F5BE-478B-950E-209D1D56FC0E}"/>
    <cellStyle name="Normal 4 2 2 4 4 5" xfId="10247" xr:uid="{8F5BFFD0-76E5-47A8-8525-1A6344BFF3D3}"/>
    <cellStyle name="Normal 4 2 2 4 4 6" xfId="18694" xr:uid="{D70331C4-E5E4-4907-85CE-EB72BB5DCFDD}"/>
    <cellStyle name="Normal 4 2 2 4 4 7" xfId="27141" xr:uid="{C6CC235B-98BD-4522-B94F-26C8BFC7FE50}"/>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17022" xr:uid="{6464A1EF-F760-41D2-B6F8-A09CA6AF7E65}"/>
    <cellStyle name="Normal 4 2 2 4 5 2 2 3" xfId="25469" xr:uid="{18A54885-E980-4783-8B8E-C97CE0CCF3E7}"/>
    <cellStyle name="Normal 4 2 2 4 5 2 2 4" xfId="33916" xr:uid="{E45DDCBB-1623-4E7C-A849-26DB639F4AB8}"/>
    <cellStyle name="Normal 4 2 2 4 5 2 3" xfId="12805" xr:uid="{D71E572C-B417-4961-9CC0-07036D3F3364}"/>
    <cellStyle name="Normal 4 2 2 4 5 2 4" xfId="21252" xr:uid="{ECF30BB5-0341-4981-B8CB-3533C759247F}"/>
    <cellStyle name="Normal 4 2 2 4 5 2 5" xfId="29699" xr:uid="{48409316-9FB7-47BD-B364-42DB317E1B09}"/>
    <cellStyle name="Normal 4 2 2 4 5 3" xfId="5551" xr:uid="{00000000-0005-0000-0000-0000D6120000}"/>
    <cellStyle name="Normal 4 2 2 4 5 3 2" xfId="14877" xr:uid="{AA4B8357-A992-490F-B27E-E13A2108EFCD}"/>
    <cellStyle name="Normal 4 2 2 4 5 3 3" xfId="23324" xr:uid="{43435610-77AE-4323-BCF2-AF403B68417F}"/>
    <cellStyle name="Normal 4 2 2 4 5 3 4" xfId="31771" xr:uid="{22B4EAC5-ADAB-41E9-A451-5B3051404200}"/>
    <cellStyle name="Normal 4 2 2 4 5 4" xfId="10660" xr:uid="{EF1806C2-7570-4404-BD20-13430CC1551A}"/>
    <cellStyle name="Normal 4 2 2 4 5 5" xfId="19107" xr:uid="{36A8B093-CE45-4D1A-9CE2-8370B5E7AB00}"/>
    <cellStyle name="Normal 4 2 2 4 5 6" xfId="27554" xr:uid="{9E44446C-05E3-4AB6-BFBF-14787704275E}"/>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17435" xr:uid="{8332F884-5B9B-4D24-B76C-D2F6FD5FA25A}"/>
    <cellStyle name="Normal 4 2 2 4 6 2 2 3" xfId="25882" xr:uid="{B2ACE279-3CA7-4052-9827-88EA07984919}"/>
    <cellStyle name="Normal 4 2 2 4 6 2 2 4" xfId="34329" xr:uid="{5ABB8AA8-C3A5-4995-BAF5-BEA9E01663A0}"/>
    <cellStyle name="Normal 4 2 2 4 6 2 3" xfId="13218" xr:uid="{15CEAE86-113A-43DE-AEF1-61361B106715}"/>
    <cellStyle name="Normal 4 2 2 4 6 2 4" xfId="21665" xr:uid="{DF77FE7B-7CD5-476D-9AC0-0BD552D446D4}"/>
    <cellStyle name="Normal 4 2 2 4 6 2 5" xfId="30112" xr:uid="{B6BE1FDE-F64A-4FCC-968C-5EBEDBC364BD}"/>
    <cellStyle name="Normal 4 2 2 4 6 3" xfId="5964" xr:uid="{00000000-0005-0000-0000-0000DA120000}"/>
    <cellStyle name="Normal 4 2 2 4 6 3 2" xfId="15290" xr:uid="{50C09E6A-B998-4222-9C32-1FF9505D7072}"/>
    <cellStyle name="Normal 4 2 2 4 6 3 3" xfId="23737" xr:uid="{BA689F48-EE3C-4F47-9774-94DACF5CB548}"/>
    <cellStyle name="Normal 4 2 2 4 6 3 4" xfId="32184" xr:uid="{2EEDCD5B-61AC-4D6E-86F5-5C904047AC7A}"/>
    <cellStyle name="Normal 4 2 2 4 6 4" xfId="11073" xr:uid="{AED986CD-6F6E-459B-BF9D-7A05DC458E86}"/>
    <cellStyle name="Normal 4 2 2 4 6 5" xfId="19520" xr:uid="{AF9D9A61-2EF9-43AD-91DF-578F39B34878}"/>
    <cellStyle name="Normal 4 2 2 4 6 6" xfId="27967" xr:uid="{D2F24922-F619-4407-AC55-D5A8DADA2DD9}"/>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17848" xr:uid="{892C0508-7664-493E-82A9-3EBF0DD2071A}"/>
    <cellStyle name="Normal 4 2 2 4 7 2 2 3" xfId="26295" xr:uid="{209C4E07-A2A3-4DE1-A29A-46A30D58F452}"/>
    <cellStyle name="Normal 4 2 2 4 7 2 2 4" xfId="34742" xr:uid="{F627AB66-7272-4594-888B-1E109C41A938}"/>
    <cellStyle name="Normal 4 2 2 4 7 2 3" xfId="13631" xr:uid="{1A88AB36-6DBC-4224-BB74-C8406BB1DE94}"/>
    <cellStyle name="Normal 4 2 2 4 7 2 4" xfId="22078" xr:uid="{9EF52B53-455E-4B13-BA65-A7FBDB477DAF}"/>
    <cellStyle name="Normal 4 2 2 4 7 2 5" xfId="30525" xr:uid="{2530E285-E690-46F4-970C-0AF1A8C829D6}"/>
    <cellStyle name="Normal 4 2 2 4 7 3" xfId="6377" xr:uid="{00000000-0005-0000-0000-0000DE120000}"/>
    <cellStyle name="Normal 4 2 2 4 7 3 2" xfId="15703" xr:uid="{11743921-B042-4862-BFC2-8E4EEFC06576}"/>
    <cellStyle name="Normal 4 2 2 4 7 3 3" xfId="24150" xr:uid="{533239CC-CC10-4BA8-AABD-0C08F46D74FD}"/>
    <cellStyle name="Normal 4 2 2 4 7 3 4" xfId="32597" xr:uid="{459C2C04-6C70-4599-BB38-20447CEA36E5}"/>
    <cellStyle name="Normal 4 2 2 4 7 4" xfId="11486" xr:uid="{73B9D37F-97BB-42E5-9C6F-C9A15D34C658}"/>
    <cellStyle name="Normal 4 2 2 4 7 5" xfId="19933" xr:uid="{8CD42083-DAB8-48FD-9D35-5D3011CA6235}"/>
    <cellStyle name="Normal 4 2 2 4 7 6" xfId="28380" xr:uid="{552469EB-35C7-42DA-A649-6659E17B4FDC}"/>
    <cellStyle name="Normal 4 2 2 4 8" xfId="2507" xr:uid="{00000000-0005-0000-0000-0000DF120000}"/>
    <cellStyle name="Normal 4 2 2 4 8 2" xfId="6790" xr:uid="{00000000-0005-0000-0000-0000E0120000}"/>
    <cellStyle name="Normal 4 2 2 4 8 2 2" xfId="16116" xr:uid="{5FDE037D-2C67-45AA-AB9D-3E3E3C001EE6}"/>
    <cellStyle name="Normal 4 2 2 4 8 2 3" xfId="24563" xr:uid="{D85C50D3-11AF-4D52-8833-BE4B6C5B655B}"/>
    <cellStyle name="Normal 4 2 2 4 8 2 4" xfId="33010" xr:uid="{A7E5A461-1173-4BA9-8BB7-251C86482CDA}"/>
    <cellStyle name="Normal 4 2 2 4 8 3" xfId="11899" xr:uid="{D144F92A-9350-4AA4-B22D-52B85B9FD3AD}"/>
    <cellStyle name="Normal 4 2 2 4 8 4" xfId="20346" xr:uid="{5B80D23A-A84C-47C9-BEEA-7315DDD94065}"/>
    <cellStyle name="Normal 4 2 2 4 8 5" xfId="28793" xr:uid="{0DB5DB33-DFA1-4709-8FE3-AC8EF98B81BE}"/>
    <cellStyle name="Normal 4 2 2 4 9" xfId="4725" xr:uid="{00000000-0005-0000-0000-0000E1120000}"/>
    <cellStyle name="Normal 4 2 2 4 9 2" xfId="14051" xr:uid="{82E7E9F5-6487-4FBB-BC5E-F4BC54E3DCE3}"/>
    <cellStyle name="Normal 4 2 2 4 9 3" xfId="22498" xr:uid="{A58F2CF1-F42A-4134-BD6A-5E5E5DBFC94C}"/>
    <cellStyle name="Normal 4 2 2 4 9 4" xfId="30945" xr:uid="{2499FC1B-62F9-49D0-AA9B-65F4816FE17A}"/>
    <cellStyle name="Normal 4 2 2 5" xfId="351" xr:uid="{00000000-0005-0000-0000-0000E2120000}"/>
    <cellStyle name="Normal 4 2 2 5 10" xfId="9838" xr:uid="{8BDB3642-F708-4902-A80D-55A67480C4FA}"/>
    <cellStyle name="Normal 4 2 2 5 11" xfId="18285" xr:uid="{3117545D-B9FF-4E1D-9985-F5F8F5706077}"/>
    <cellStyle name="Normal 4 2 2 5 12" xfId="26732" xr:uid="{652429F2-F76C-45B6-94FB-5BCC35D37873}"/>
    <cellStyle name="Normal 4 2 2 5 2" xfId="352" xr:uid="{00000000-0005-0000-0000-0000E3120000}"/>
    <cellStyle name="Normal 4 2 2 5 2 10" xfId="18286" xr:uid="{063B9402-76DB-4B67-9303-D5DCA3EFFD42}"/>
    <cellStyle name="Normal 4 2 2 5 2 11" xfId="26733" xr:uid="{E77369DA-9D66-42A1-941E-9BFD779F2FB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16614" xr:uid="{510E24CA-716F-4D37-BD18-D1F035B388C6}"/>
    <cellStyle name="Normal 4 2 2 5 2 2 2 2 3" xfId="25061" xr:uid="{BE0EA267-841A-486A-AEFB-14ECF1DE7037}"/>
    <cellStyle name="Normal 4 2 2 5 2 2 2 2 4" xfId="33508" xr:uid="{C94E946E-D092-4D82-8B64-1AF230E338E9}"/>
    <cellStyle name="Normal 4 2 2 5 2 2 2 3" xfId="12397" xr:uid="{BAAC6250-2874-4A73-A589-17A965BCA49F}"/>
    <cellStyle name="Normal 4 2 2 5 2 2 2 4" xfId="20844" xr:uid="{3EA72FD1-BC5C-4C41-B28C-7411778908BC}"/>
    <cellStyle name="Normal 4 2 2 5 2 2 2 5" xfId="29291" xr:uid="{79057F7A-25BD-4092-AEC5-8C0208BCDBF6}"/>
    <cellStyle name="Normal 4 2 2 5 2 2 3" xfId="5143" xr:uid="{00000000-0005-0000-0000-0000E7120000}"/>
    <cellStyle name="Normal 4 2 2 5 2 2 3 2" xfId="14469" xr:uid="{C686B746-B525-46B8-A4F6-DE9DAA9E467C}"/>
    <cellStyle name="Normal 4 2 2 5 2 2 3 3" xfId="22916" xr:uid="{87E19C4C-0DC1-4CE3-9D8D-DCFE53A97C4D}"/>
    <cellStyle name="Normal 4 2 2 5 2 2 3 4" xfId="31363" xr:uid="{332DBD3D-0EE9-4ACA-A259-7AA0B83403F0}"/>
    <cellStyle name="Normal 4 2 2 5 2 2 4" xfId="9487" xr:uid="{83D2756E-B983-4EA9-AB48-FF4D3E821CE4}"/>
    <cellStyle name="Normal 4 2 2 5 2 2 5" xfId="10252" xr:uid="{55C70D83-641A-4334-8DF0-FAF33E064142}"/>
    <cellStyle name="Normal 4 2 2 5 2 2 6" xfId="18699" xr:uid="{72DD0558-8A18-4950-9FB8-70590AD32C33}"/>
    <cellStyle name="Normal 4 2 2 5 2 2 7" xfId="27146" xr:uid="{2804D682-66F1-4A7C-8A52-B8D6762F37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17027" xr:uid="{0FBB28B9-50A5-4322-AD34-1D2349B3AD6B}"/>
    <cellStyle name="Normal 4 2 2 5 2 3 2 2 3" xfId="25474" xr:uid="{1CC1E3D3-F525-4A79-90A9-0FFBAC8BDF5B}"/>
    <cellStyle name="Normal 4 2 2 5 2 3 2 2 4" xfId="33921" xr:uid="{2FA29CE2-9C90-40E5-9C07-13BB49AE17DD}"/>
    <cellStyle name="Normal 4 2 2 5 2 3 2 3" xfId="12810" xr:uid="{33AA2952-42BF-4690-88FF-F85E5DBB3518}"/>
    <cellStyle name="Normal 4 2 2 5 2 3 2 4" xfId="21257" xr:uid="{12B6E0A3-7768-4624-963F-8DD745219FE8}"/>
    <cellStyle name="Normal 4 2 2 5 2 3 2 5" xfId="29704" xr:uid="{B6C44A20-3D6E-4C54-8483-007935593A14}"/>
    <cellStyle name="Normal 4 2 2 5 2 3 3" xfId="5556" xr:uid="{00000000-0005-0000-0000-0000EB120000}"/>
    <cellStyle name="Normal 4 2 2 5 2 3 3 2" xfId="14882" xr:uid="{CFD82695-3A7E-412D-9E0A-132839A7F0DB}"/>
    <cellStyle name="Normal 4 2 2 5 2 3 3 3" xfId="23329" xr:uid="{F8354660-58E6-4818-A5B5-3601E9049C09}"/>
    <cellStyle name="Normal 4 2 2 5 2 3 3 4" xfId="31776" xr:uid="{BB795D52-1B76-44A6-AF53-B0830966BA8B}"/>
    <cellStyle name="Normal 4 2 2 5 2 3 4" xfId="10665" xr:uid="{2CE4417C-719E-4878-93FA-6CD5E6B9B9BB}"/>
    <cellStyle name="Normal 4 2 2 5 2 3 5" xfId="19112" xr:uid="{F71667E2-1E49-4468-BBF9-AFEAF677C7A1}"/>
    <cellStyle name="Normal 4 2 2 5 2 3 6" xfId="27559" xr:uid="{40C1F87F-8E9E-449D-B173-F31549B9FD32}"/>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17440" xr:uid="{08A0B7F5-C9C3-41AE-90C8-24243DD9F733}"/>
    <cellStyle name="Normal 4 2 2 5 2 4 2 2 3" xfId="25887" xr:uid="{0D621CFA-1B05-4754-96BA-D0D9EA534D54}"/>
    <cellStyle name="Normal 4 2 2 5 2 4 2 2 4" xfId="34334" xr:uid="{103361C4-8D83-48B8-92B8-DF63805D1D10}"/>
    <cellStyle name="Normal 4 2 2 5 2 4 2 3" xfId="13223" xr:uid="{5B338462-E2CC-426F-B997-A1B09AD4B4BC}"/>
    <cellStyle name="Normal 4 2 2 5 2 4 2 4" xfId="21670" xr:uid="{77EB5018-B566-4FB9-A81B-4A8CD81AEE24}"/>
    <cellStyle name="Normal 4 2 2 5 2 4 2 5" xfId="30117" xr:uid="{8C224CD6-0CC6-452C-8AFD-274B795EB75F}"/>
    <cellStyle name="Normal 4 2 2 5 2 4 3" xfId="5969" xr:uid="{00000000-0005-0000-0000-0000EF120000}"/>
    <cellStyle name="Normal 4 2 2 5 2 4 3 2" xfId="15295" xr:uid="{30300330-23DB-448C-9320-0762459800A5}"/>
    <cellStyle name="Normal 4 2 2 5 2 4 3 3" xfId="23742" xr:uid="{28826B38-BC32-4D93-A1DE-44308A2CDFDC}"/>
    <cellStyle name="Normal 4 2 2 5 2 4 3 4" xfId="32189" xr:uid="{86C13A9A-2C26-44F0-8353-66B53DF94775}"/>
    <cellStyle name="Normal 4 2 2 5 2 4 4" xfId="11078" xr:uid="{50370B0E-A956-41E9-A1A0-27E00A66DF5B}"/>
    <cellStyle name="Normal 4 2 2 5 2 4 5" xfId="19525" xr:uid="{E2929A3B-F931-4484-A7E4-8F2138EA0375}"/>
    <cellStyle name="Normal 4 2 2 5 2 4 6" xfId="27972" xr:uid="{3C3CBA52-DCD6-411B-90EF-96D1F1EC3507}"/>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17853" xr:uid="{2932F652-AE3F-4C95-BEF6-1960B55240F8}"/>
    <cellStyle name="Normal 4 2 2 5 2 5 2 2 3" xfId="26300" xr:uid="{EB45FCF6-22AD-43E3-917D-140033B22490}"/>
    <cellStyle name="Normal 4 2 2 5 2 5 2 2 4" xfId="34747" xr:uid="{4DBA7266-A17E-46CB-B0DA-C46CEFD059AB}"/>
    <cellStyle name="Normal 4 2 2 5 2 5 2 3" xfId="13636" xr:uid="{B2E36BA3-C0D7-4A34-A57B-355CE52ADF18}"/>
    <cellStyle name="Normal 4 2 2 5 2 5 2 4" xfId="22083" xr:uid="{730372B2-1C68-46A7-BE9F-C3D1AE735A86}"/>
    <cellStyle name="Normal 4 2 2 5 2 5 2 5" xfId="30530" xr:uid="{89010F21-8DBF-4F11-BC34-6EADAE45BA86}"/>
    <cellStyle name="Normal 4 2 2 5 2 5 3" xfId="6382" xr:uid="{00000000-0005-0000-0000-0000F3120000}"/>
    <cellStyle name="Normal 4 2 2 5 2 5 3 2" xfId="15708" xr:uid="{EA6C9AF6-86E4-4FC7-BB57-3E4758E35111}"/>
    <cellStyle name="Normal 4 2 2 5 2 5 3 3" xfId="24155" xr:uid="{CC9C1825-9495-40E2-800C-1B039E6187BD}"/>
    <cellStyle name="Normal 4 2 2 5 2 5 3 4" xfId="32602" xr:uid="{2DB73914-2330-4A73-8917-5E6929C088FE}"/>
    <cellStyle name="Normal 4 2 2 5 2 5 4" xfId="11491" xr:uid="{7F7B1E72-F6B3-42E2-93D0-DEECF728DAB4}"/>
    <cellStyle name="Normal 4 2 2 5 2 5 5" xfId="19938" xr:uid="{0C7B9CFA-F2AC-4C34-95D8-C8C34C79E96B}"/>
    <cellStyle name="Normal 4 2 2 5 2 5 6" xfId="28385" xr:uid="{A0B42180-D987-4508-B9BB-8F161396E31B}"/>
    <cellStyle name="Normal 4 2 2 5 2 6" xfId="2512" xr:uid="{00000000-0005-0000-0000-0000F4120000}"/>
    <cellStyle name="Normal 4 2 2 5 2 6 2" xfId="6795" xr:uid="{00000000-0005-0000-0000-0000F5120000}"/>
    <cellStyle name="Normal 4 2 2 5 2 6 2 2" xfId="16121" xr:uid="{6DAC9760-25B7-471E-A150-21D77626384D}"/>
    <cellStyle name="Normal 4 2 2 5 2 6 2 3" xfId="24568" xr:uid="{F719036C-A987-4865-B1D7-5F0C705406D3}"/>
    <cellStyle name="Normal 4 2 2 5 2 6 2 4" xfId="33015" xr:uid="{7364EF5B-2E1A-4485-960C-1C6C489179DF}"/>
    <cellStyle name="Normal 4 2 2 5 2 6 3" xfId="11904" xr:uid="{2D4DF510-EF74-4009-B564-C362C49A48EF}"/>
    <cellStyle name="Normal 4 2 2 5 2 6 4" xfId="20351" xr:uid="{62223CCF-26FE-4590-ADBA-06631C32697B}"/>
    <cellStyle name="Normal 4 2 2 5 2 6 5" xfId="28798" xr:uid="{8289D53B-88C1-4B7A-B286-BFC5300A2B30}"/>
    <cellStyle name="Normal 4 2 2 5 2 7" xfId="4730" xr:uid="{00000000-0005-0000-0000-0000F6120000}"/>
    <cellStyle name="Normal 4 2 2 5 2 7 2" xfId="14056" xr:uid="{DE67CCCF-1504-48BF-B19D-FCAA2D0E302E}"/>
    <cellStyle name="Normal 4 2 2 5 2 7 3" xfId="22503" xr:uid="{66FE0AC8-41CF-4847-9075-05680FB500EC}"/>
    <cellStyle name="Normal 4 2 2 5 2 7 4" xfId="30950" xr:uid="{679DB103-3E85-4B26-B14D-486388566BAA}"/>
    <cellStyle name="Normal 4 2 2 5 2 8" xfId="9062" xr:uid="{FED54422-C2E5-44B3-AA7C-C6088F47A385}"/>
    <cellStyle name="Normal 4 2 2 5 2 9" xfId="9839" xr:uid="{5EC61633-431B-445F-9D2E-C4569FD66E03}"/>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16613" xr:uid="{03AD0D58-2692-4398-A741-D2F36119511C}"/>
    <cellStyle name="Normal 4 2 2 5 3 2 2 3" xfId="25060" xr:uid="{DCC8547D-B451-463B-A4F2-2C036922095C}"/>
    <cellStyle name="Normal 4 2 2 5 3 2 2 4" xfId="33507" xr:uid="{BF65D7CD-02C5-4157-8963-58FE7A60966E}"/>
    <cellStyle name="Normal 4 2 2 5 3 2 3" xfId="12396" xr:uid="{98C96CC6-4496-47BD-8085-09FFA6A69A2C}"/>
    <cellStyle name="Normal 4 2 2 5 3 2 4" xfId="20843" xr:uid="{48F8E60A-A0D3-4DCF-A516-545D77CDBB18}"/>
    <cellStyle name="Normal 4 2 2 5 3 2 5" xfId="29290" xr:uid="{4C1D72B5-203C-4317-BC08-E5D19D401210}"/>
    <cellStyle name="Normal 4 2 2 5 3 3" xfId="5142" xr:uid="{00000000-0005-0000-0000-0000FA120000}"/>
    <cellStyle name="Normal 4 2 2 5 3 3 2" xfId="14468" xr:uid="{80D68BB8-2F44-4814-B83D-EF999A8E0C94}"/>
    <cellStyle name="Normal 4 2 2 5 3 3 3" xfId="22915" xr:uid="{FC240CAC-3CCA-4B5B-B266-A3765BE87568}"/>
    <cellStyle name="Normal 4 2 2 5 3 3 4" xfId="31362" xr:uid="{DCBFD1A9-2C05-4FBD-8DD6-82BA08B41DDF}"/>
    <cellStyle name="Normal 4 2 2 5 3 4" xfId="9280" xr:uid="{C70B18D8-E279-4D37-82EF-3177E9FA554F}"/>
    <cellStyle name="Normal 4 2 2 5 3 5" xfId="10251" xr:uid="{E4D58EDD-45C7-4C3B-B5F0-83B142555B0E}"/>
    <cellStyle name="Normal 4 2 2 5 3 6" xfId="18698" xr:uid="{6DB3BFD3-663F-405F-A384-2CA8AAF3341B}"/>
    <cellStyle name="Normal 4 2 2 5 3 7" xfId="27145" xr:uid="{14A7D9C1-0EBC-4E1B-950A-C42BF51029FB}"/>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17026" xr:uid="{8FADE33F-3C9D-489E-97C5-96509C1D547F}"/>
    <cellStyle name="Normal 4 2 2 5 4 2 2 3" xfId="25473" xr:uid="{C8E2E61C-F1F5-414F-8D54-EB723B8B0A0F}"/>
    <cellStyle name="Normal 4 2 2 5 4 2 2 4" xfId="33920" xr:uid="{57DC2D58-3902-4859-ABFE-EB2F1E759AF1}"/>
    <cellStyle name="Normal 4 2 2 5 4 2 3" xfId="12809" xr:uid="{E84275AB-4493-4B72-A026-C19A1E891F74}"/>
    <cellStyle name="Normal 4 2 2 5 4 2 4" xfId="21256" xr:uid="{5A789374-BEF6-491C-B4E9-B91A82A10F0C}"/>
    <cellStyle name="Normal 4 2 2 5 4 2 5" xfId="29703" xr:uid="{D552CBA9-E35A-480E-B217-2787EE7E9505}"/>
    <cellStyle name="Normal 4 2 2 5 4 3" xfId="5555" xr:uid="{00000000-0005-0000-0000-0000FE120000}"/>
    <cellStyle name="Normal 4 2 2 5 4 3 2" xfId="14881" xr:uid="{B41A25A4-FF7A-4EF2-B9FE-086373C6B678}"/>
    <cellStyle name="Normal 4 2 2 5 4 3 3" xfId="23328" xr:uid="{859A8A7F-CAA1-4C59-A2D8-68AA61A3015D}"/>
    <cellStyle name="Normal 4 2 2 5 4 3 4" xfId="31775" xr:uid="{77F5A55E-E9F5-40B2-828D-9E82B712F16F}"/>
    <cellStyle name="Normal 4 2 2 5 4 4" xfId="10664" xr:uid="{45125C5E-54A6-43AE-85EB-8977B5337B10}"/>
    <cellStyle name="Normal 4 2 2 5 4 5" xfId="19111" xr:uid="{06B2B2C8-3EA4-4450-9D27-69289496FBF9}"/>
    <cellStyle name="Normal 4 2 2 5 4 6" xfId="27558" xr:uid="{290F3EAE-F9E4-476C-BD65-44118F1A9DAB}"/>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17439" xr:uid="{E2645865-5E7B-4CDA-9C7A-74F99919B704}"/>
    <cellStyle name="Normal 4 2 2 5 5 2 2 3" xfId="25886" xr:uid="{2D0929C6-39BF-49D3-BED9-DEAE5D5B34C7}"/>
    <cellStyle name="Normal 4 2 2 5 5 2 2 4" xfId="34333" xr:uid="{C1DC3BD8-FE04-40B4-9EF4-80EAAF4FD2A8}"/>
    <cellStyle name="Normal 4 2 2 5 5 2 3" xfId="13222" xr:uid="{3AD7FB7F-16D7-41D6-9692-F44EEEEE8DA5}"/>
    <cellStyle name="Normal 4 2 2 5 5 2 4" xfId="21669" xr:uid="{55D21A87-280D-4533-83EB-4002D1C845FA}"/>
    <cellStyle name="Normal 4 2 2 5 5 2 5" xfId="30116" xr:uid="{CA38FAF8-CC55-4370-B103-15CDE2CA43A8}"/>
    <cellStyle name="Normal 4 2 2 5 5 3" xfId="5968" xr:uid="{00000000-0005-0000-0000-000002130000}"/>
    <cellStyle name="Normal 4 2 2 5 5 3 2" xfId="15294" xr:uid="{66FCFBFE-776B-45BA-99A9-C806BED5FA15}"/>
    <cellStyle name="Normal 4 2 2 5 5 3 3" xfId="23741" xr:uid="{85AF7C97-8B33-414C-8303-EB6D7E7B56D3}"/>
    <cellStyle name="Normal 4 2 2 5 5 3 4" xfId="32188" xr:uid="{2E5F9007-258F-46F3-AA99-322322F0C5DA}"/>
    <cellStyle name="Normal 4 2 2 5 5 4" xfId="11077" xr:uid="{245EC82C-5AB0-448B-A850-9A62BEA7C34A}"/>
    <cellStyle name="Normal 4 2 2 5 5 5" xfId="19524" xr:uid="{BF41B708-F2C9-42AB-AC28-76E5BCAAEF89}"/>
    <cellStyle name="Normal 4 2 2 5 5 6" xfId="27971" xr:uid="{39E3BAC8-839A-4013-A943-DDC3B24D0E05}"/>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17852" xr:uid="{6330E84E-02DE-4C22-9110-0A4D9E072488}"/>
    <cellStyle name="Normal 4 2 2 5 6 2 2 3" xfId="26299" xr:uid="{C0348108-5CA8-4770-A418-6B3010E448BE}"/>
    <cellStyle name="Normal 4 2 2 5 6 2 2 4" xfId="34746" xr:uid="{E721C213-997B-4E78-B0E6-5E42AFF58C68}"/>
    <cellStyle name="Normal 4 2 2 5 6 2 3" xfId="13635" xr:uid="{92A4208B-D2D4-4B61-9798-62BF7A71308F}"/>
    <cellStyle name="Normal 4 2 2 5 6 2 4" xfId="22082" xr:uid="{751B6296-1460-4EF9-B17D-73F3B16413FB}"/>
    <cellStyle name="Normal 4 2 2 5 6 2 5" xfId="30529" xr:uid="{9E422B24-8C44-49BE-8A0C-90086AD5C8F5}"/>
    <cellStyle name="Normal 4 2 2 5 6 3" xfId="6381" xr:uid="{00000000-0005-0000-0000-000006130000}"/>
    <cellStyle name="Normal 4 2 2 5 6 3 2" xfId="15707" xr:uid="{14F7A093-4BC8-4AA0-8AD9-CD54B47BE88F}"/>
    <cellStyle name="Normal 4 2 2 5 6 3 3" xfId="24154" xr:uid="{3B6D11C5-E42D-4DF4-B809-98AF8CA7F5EE}"/>
    <cellStyle name="Normal 4 2 2 5 6 3 4" xfId="32601" xr:uid="{E1B5DC9E-EEC2-4A2A-B387-B7820A328F7A}"/>
    <cellStyle name="Normal 4 2 2 5 6 4" xfId="11490" xr:uid="{E4A02BF0-EF44-46EC-9ADA-D067388B1A46}"/>
    <cellStyle name="Normal 4 2 2 5 6 5" xfId="19937" xr:uid="{629B922E-036E-47EF-8855-875D9E8A958D}"/>
    <cellStyle name="Normal 4 2 2 5 6 6" xfId="28384" xr:uid="{A01EA515-7A99-4B22-94A5-741748CAA118}"/>
    <cellStyle name="Normal 4 2 2 5 7" xfId="2511" xr:uid="{00000000-0005-0000-0000-000007130000}"/>
    <cellStyle name="Normal 4 2 2 5 7 2" xfId="6794" xr:uid="{00000000-0005-0000-0000-000008130000}"/>
    <cellStyle name="Normal 4 2 2 5 7 2 2" xfId="16120" xr:uid="{086C58D7-85CC-4F8F-8CD3-63B50421F625}"/>
    <cellStyle name="Normal 4 2 2 5 7 2 3" xfId="24567" xr:uid="{4F5F9A09-F7F2-47BD-94B0-C7859987664B}"/>
    <cellStyle name="Normal 4 2 2 5 7 2 4" xfId="33014" xr:uid="{9F5040F2-623B-45BF-8EE2-AA391D3E1F51}"/>
    <cellStyle name="Normal 4 2 2 5 7 3" xfId="11903" xr:uid="{EFAC0824-DC7A-4B6A-814B-112487145A4A}"/>
    <cellStyle name="Normal 4 2 2 5 7 4" xfId="20350" xr:uid="{B748E0EA-6CAA-4B0C-89C9-871A44988C6B}"/>
    <cellStyle name="Normal 4 2 2 5 7 5" xfId="28797" xr:uid="{A7C5A311-D60D-4D98-9497-23401C69EAA5}"/>
    <cellStyle name="Normal 4 2 2 5 8" xfId="4729" xr:uid="{00000000-0005-0000-0000-000009130000}"/>
    <cellStyle name="Normal 4 2 2 5 8 2" xfId="14055" xr:uid="{9975EB3A-B243-47FC-8CB0-CCF21BD3ED9E}"/>
    <cellStyle name="Normal 4 2 2 5 8 3" xfId="22502" xr:uid="{A4231A6E-B1DB-41A8-A985-4D42D42F4943}"/>
    <cellStyle name="Normal 4 2 2 5 8 4" xfId="30949" xr:uid="{4BB1F6DF-A7B4-4694-B4D4-BA0DF4E035E4}"/>
    <cellStyle name="Normal 4 2 2 5 9" xfId="8855" xr:uid="{894DEE8B-A5CD-4C4E-B41D-DCEB92717109}"/>
    <cellStyle name="Normal 4 2 2 6" xfId="353" xr:uid="{00000000-0005-0000-0000-00000A130000}"/>
    <cellStyle name="Normal 4 2 2 6 10" xfId="18287" xr:uid="{9D8714F8-30E8-4E9B-91B3-1288B4AE03A3}"/>
    <cellStyle name="Normal 4 2 2 6 11" xfId="26734" xr:uid="{CCDF9AFF-9806-4B46-8284-39E8DF38B1D3}"/>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16615" xr:uid="{A7A4113F-6AB4-4EA8-B71A-E660835BEF16}"/>
    <cellStyle name="Normal 4 2 2 6 2 2 2 3" xfId="25062" xr:uid="{809870F7-95B8-4064-A0B7-D6DF12D3B165}"/>
    <cellStyle name="Normal 4 2 2 6 2 2 2 4" xfId="33509" xr:uid="{43701BFD-9EB3-4576-BDD9-20D20F983D6A}"/>
    <cellStyle name="Normal 4 2 2 6 2 2 3" xfId="12398" xr:uid="{D5CCA476-65E0-4C7A-9DF9-35C3EB20604E}"/>
    <cellStyle name="Normal 4 2 2 6 2 2 4" xfId="20845" xr:uid="{F98B7703-B6CC-4EFC-95CD-9390D8B039F2}"/>
    <cellStyle name="Normal 4 2 2 6 2 2 5" xfId="29292" xr:uid="{A21F681C-5712-4E04-8355-ECF04189269B}"/>
    <cellStyle name="Normal 4 2 2 6 2 3" xfId="5144" xr:uid="{00000000-0005-0000-0000-00000E130000}"/>
    <cellStyle name="Normal 4 2 2 6 2 3 2" xfId="14470" xr:uid="{C46D9F0D-BFB8-4881-9E37-7525E34F46E6}"/>
    <cellStyle name="Normal 4 2 2 6 2 3 3" xfId="22917" xr:uid="{D1B91F48-9C6C-466D-A75E-7F0DDA27A50C}"/>
    <cellStyle name="Normal 4 2 2 6 2 3 4" xfId="31364" xr:uid="{DAE2F789-DB68-41E8-9C68-082648244865}"/>
    <cellStyle name="Normal 4 2 2 6 2 4" xfId="9396" xr:uid="{5B10E6C6-987A-4149-BB81-321A07C7666F}"/>
    <cellStyle name="Normal 4 2 2 6 2 5" xfId="10253" xr:uid="{75BA1828-6B4A-45CC-A39F-0EFE2B46F205}"/>
    <cellStyle name="Normal 4 2 2 6 2 6" xfId="18700" xr:uid="{C6308FC0-0810-46D5-9F98-4678C0315390}"/>
    <cellStyle name="Normal 4 2 2 6 2 7" xfId="27147" xr:uid="{E6D51D48-D015-4C3A-8D8C-779B9BE864DB}"/>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17028" xr:uid="{A4F1CB26-E496-4C67-BAF4-83F41745B41E}"/>
    <cellStyle name="Normal 4 2 2 6 3 2 2 3" xfId="25475" xr:uid="{0EDFAB3B-4247-44AD-BACA-4DCBF143C8F5}"/>
    <cellStyle name="Normal 4 2 2 6 3 2 2 4" xfId="33922" xr:uid="{AAED2769-9C8B-4D09-87A3-C511F324AD7D}"/>
    <cellStyle name="Normal 4 2 2 6 3 2 3" xfId="12811" xr:uid="{F9F8A0EE-0C4A-442B-B457-7F86E584A167}"/>
    <cellStyle name="Normal 4 2 2 6 3 2 4" xfId="21258" xr:uid="{584CE7D3-DD3E-4A09-A357-CFB90E6AE8D2}"/>
    <cellStyle name="Normal 4 2 2 6 3 2 5" xfId="29705" xr:uid="{CE6B2BF9-AE0F-49D5-90ED-3F8C7F7C2C0B}"/>
    <cellStyle name="Normal 4 2 2 6 3 3" xfId="5557" xr:uid="{00000000-0005-0000-0000-000012130000}"/>
    <cellStyle name="Normal 4 2 2 6 3 3 2" xfId="14883" xr:uid="{1128209B-5925-4860-A27F-4E4EECAE959B}"/>
    <cellStyle name="Normal 4 2 2 6 3 3 3" xfId="23330" xr:uid="{82122596-C8D2-43D6-BBB8-18BB2A0C1B13}"/>
    <cellStyle name="Normal 4 2 2 6 3 3 4" xfId="31777" xr:uid="{D822CFDA-A220-461B-8A6A-CAC30AA740DD}"/>
    <cellStyle name="Normal 4 2 2 6 3 4" xfId="10666" xr:uid="{0EE4E7EF-97AB-4830-BE32-DC2C682D45C1}"/>
    <cellStyle name="Normal 4 2 2 6 3 5" xfId="19113" xr:uid="{EF7B218F-DF6E-4796-8DAE-22339AAD83FE}"/>
    <cellStyle name="Normal 4 2 2 6 3 6" xfId="27560" xr:uid="{85E4B8F8-760C-43FA-BFE6-97AF6B4F7B1A}"/>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17441" xr:uid="{9FBCA600-41EF-459F-8957-2790116A6C17}"/>
    <cellStyle name="Normal 4 2 2 6 4 2 2 3" xfId="25888" xr:uid="{7590B2B7-15E2-41CB-892F-E67686FC9133}"/>
    <cellStyle name="Normal 4 2 2 6 4 2 2 4" xfId="34335" xr:uid="{4F38573C-21BD-40BB-977D-098FC4CC1F85}"/>
    <cellStyle name="Normal 4 2 2 6 4 2 3" xfId="13224" xr:uid="{BB5D6237-1B18-4DAC-A090-FB6DDD35A4AC}"/>
    <cellStyle name="Normal 4 2 2 6 4 2 4" xfId="21671" xr:uid="{055CC92C-1B03-47D6-A7A9-F47FD0568A2F}"/>
    <cellStyle name="Normal 4 2 2 6 4 2 5" xfId="30118" xr:uid="{31022471-FABA-4D34-8FCC-C5FACD021D14}"/>
    <cellStyle name="Normal 4 2 2 6 4 3" xfId="5970" xr:uid="{00000000-0005-0000-0000-000016130000}"/>
    <cellStyle name="Normal 4 2 2 6 4 3 2" xfId="15296" xr:uid="{3A40AEAB-130B-4E27-A68E-9499ECF14816}"/>
    <cellStyle name="Normal 4 2 2 6 4 3 3" xfId="23743" xr:uid="{F5C54D4A-6E20-49E6-BAB0-72B599A36E4B}"/>
    <cellStyle name="Normal 4 2 2 6 4 3 4" xfId="32190" xr:uid="{0A611795-11EC-4DFD-AB70-67F0FFC53A8B}"/>
    <cellStyle name="Normal 4 2 2 6 4 4" xfId="11079" xr:uid="{8437D1B1-C0FE-4949-A88F-2B8639DD6477}"/>
    <cellStyle name="Normal 4 2 2 6 4 5" xfId="19526" xr:uid="{821B02B6-254E-42EC-BADB-75C436AD5198}"/>
    <cellStyle name="Normal 4 2 2 6 4 6" xfId="27973" xr:uid="{6676B510-4B69-4737-95DC-E573BEDA7A1A}"/>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17854" xr:uid="{21AE758A-D72B-4BE4-9821-641001B771E8}"/>
    <cellStyle name="Normal 4 2 2 6 5 2 2 3" xfId="26301" xr:uid="{97E38AE0-D800-4BF5-95FE-CCAFD636317A}"/>
    <cellStyle name="Normal 4 2 2 6 5 2 2 4" xfId="34748" xr:uid="{A258817B-FD57-469E-8183-87199E7CA5CE}"/>
    <cellStyle name="Normal 4 2 2 6 5 2 3" xfId="13637" xr:uid="{7A8BC48B-76CE-40EF-A803-9BC84EBB2239}"/>
    <cellStyle name="Normal 4 2 2 6 5 2 4" xfId="22084" xr:uid="{D0919540-5A2A-47FF-A0B6-6163CAE03C5D}"/>
    <cellStyle name="Normal 4 2 2 6 5 2 5" xfId="30531" xr:uid="{05253A28-A041-42BF-93FD-DB89BDCE6A0A}"/>
    <cellStyle name="Normal 4 2 2 6 5 3" xfId="6383" xr:uid="{00000000-0005-0000-0000-00001A130000}"/>
    <cellStyle name="Normal 4 2 2 6 5 3 2" xfId="15709" xr:uid="{67FF0BA8-AB88-4DC4-B36E-50C0998EF18E}"/>
    <cellStyle name="Normal 4 2 2 6 5 3 3" xfId="24156" xr:uid="{6806962B-7A27-4400-9973-2D1F4AC65787}"/>
    <cellStyle name="Normal 4 2 2 6 5 3 4" xfId="32603" xr:uid="{D184DFDD-3695-4280-BB18-059B82941F78}"/>
    <cellStyle name="Normal 4 2 2 6 5 4" xfId="11492" xr:uid="{882BD49A-5D74-48C1-93D2-63F9E2707D2D}"/>
    <cellStyle name="Normal 4 2 2 6 5 5" xfId="19939" xr:uid="{FD777340-391A-4588-9787-A66918E44227}"/>
    <cellStyle name="Normal 4 2 2 6 5 6" xfId="28386" xr:uid="{F1122864-B27C-4C2B-9A0C-C05FABFCCB5D}"/>
    <cellStyle name="Normal 4 2 2 6 6" xfId="2513" xr:uid="{00000000-0005-0000-0000-00001B130000}"/>
    <cellStyle name="Normal 4 2 2 6 6 2" xfId="6796" xr:uid="{00000000-0005-0000-0000-00001C130000}"/>
    <cellStyle name="Normal 4 2 2 6 6 2 2" xfId="16122" xr:uid="{F883DEC9-4A07-42D4-A2F1-F226E0E3ED4B}"/>
    <cellStyle name="Normal 4 2 2 6 6 2 3" xfId="24569" xr:uid="{33085C66-6132-43DA-AC45-F1B85778B8F8}"/>
    <cellStyle name="Normal 4 2 2 6 6 2 4" xfId="33016" xr:uid="{480150A1-9963-4AB9-B07F-40B719182FB5}"/>
    <cellStyle name="Normal 4 2 2 6 6 3" xfId="11905" xr:uid="{AFC02DDB-991F-4595-A1C6-57A9757004D8}"/>
    <cellStyle name="Normal 4 2 2 6 6 4" xfId="20352" xr:uid="{D54E7CDD-D5FA-4CC3-BA74-F7D6FA71D318}"/>
    <cellStyle name="Normal 4 2 2 6 6 5" xfId="28799" xr:uid="{549B76F5-5DF5-42B6-9BA0-A4DFCA064FF9}"/>
    <cellStyle name="Normal 4 2 2 6 7" xfId="4731" xr:uid="{00000000-0005-0000-0000-00001D130000}"/>
    <cellStyle name="Normal 4 2 2 6 7 2" xfId="14057" xr:uid="{6188C3D3-ED98-4866-AA1D-01233EAFCD5A}"/>
    <cellStyle name="Normal 4 2 2 6 7 3" xfId="22504" xr:uid="{CBC74AD1-A92C-4022-BA10-8CAB87C088B7}"/>
    <cellStyle name="Normal 4 2 2 6 7 4" xfId="30951" xr:uid="{20D5F7F1-CA6B-4813-AAEE-D3BA971C12A8}"/>
    <cellStyle name="Normal 4 2 2 6 8" xfId="8971" xr:uid="{7BBA3CD4-2D32-439A-A2D5-9F7EB5E5A47E}"/>
    <cellStyle name="Normal 4 2 2 6 9" xfId="9840" xr:uid="{052B0D0D-0F11-4402-A289-79987081EB20}"/>
    <cellStyle name="Normal 4 2 2 7" xfId="815" xr:uid="{00000000-0005-0000-0000-00001E130000}"/>
    <cellStyle name="Normal 4 2 2 7 2" xfId="3052" xr:uid="{00000000-0005-0000-0000-00001F130000}"/>
    <cellStyle name="Normal 4 2 2 7 2 2" xfId="7274" xr:uid="{00000000-0005-0000-0000-000020130000}"/>
    <cellStyle name="Normal 4 2 2 7 2 2 2" xfId="16600" xr:uid="{828161B6-E362-4BB1-AC86-176C13231464}"/>
    <cellStyle name="Normal 4 2 2 7 2 2 3" xfId="25047" xr:uid="{95CCE6F9-1B56-47D4-8565-324A9069DE7B}"/>
    <cellStyle name="Normal 4 2 2 7 2 2 4" xfId="33494" xr:uid="{AFD70D6B-EA08-4167-B44F-9EE362A066A6}"/>
    <cellStyle name="Normal 4 2 2 7 2 3" xfId="12383" xr:uid="{A3486987-2DB8-447A-B452-9716CE006566}"/>
    <cellStyle name="Normal 4 2 2 7 2 4" xfId="20830" xr:uid="{9EB1C3AF-C206-434E-B7EA-2586F458F25B}"/>
    <cellStyle name="Normal 4 2 2 7 2 5" xfId="29277" xr:uid="{2836AC9D-70B8-4FE4-93C2-F49D2A0C36EB}"/>
    <cellStyle name="Normal 4 2 2 7 3" xfId="5129" xr:uid="{00000000-0005-0000-0000-000021130000}"/>
    <cellStyle name="Normal 4 2 2 7 3 2" xfId="14455" xr:uid="{02D31C49-B9E2-4429-9892-471776D2BA80}"/>
    <cellStyle name="Normal 4 2 2 7 3 3" xfId="22902" xr:uid="{3CE451A6-A9A0-4216-8A34-C4764620D39E}"/>
    <cellStyle name="Normal 4 2 2 7 3 4" xfId="31349" xr:uid="{06481654-9AC4-42FE-A1BE-A63D04602921}"/>
    <cellStyle name="Normal 4 2 2 7 4" xfId="9174" xr:uid="{5FB177AF-8B2E-4B7E-A1B7-4F6E323AF880}"/>
    <cellStyle name="Normal 4 2 2 7 5" xfId="10238" xr:uid="{DBD47AC2-E01C-4AB4-A7A0-362D8ABC0E2F}"/>
    <cellStyle name="Normal 4 2 2 7 6" xfId="18685" xr:uid="{39816067-B0F8-41D6-AFC9-5B219ADC446B}"/>
    <cellStyle name="Normal 4 2 2 7 7" xfId="27132" xr:uid="{5E8DE43B-50B3-4E44-A827-9BDD26B2462E}"/>
    <cellStyle name="Normal 4 2 2 8" xfId="1235" xr:uid="{00000000-0005-0000-0000-000022130000}"/>
    <cellStyle name="Normal 4 2 2 8 2" xfId="3465" xr:uid="{00000000-0005-0000-0000-000023130000}"/>
    <cellStyle name="Normal 4 2 2 8 2 2" xfId="7687" xr:uid="{00000000-0005-0000-0000-000024130000}"/>
    <cellStyle name="Normal 4 2 2 8 2 2 2" xfId="17013" xr:uid="{B47E1017-4A98-4B91-A648-08276D5C96E8}"/>
    <cellStyle name="Normal 4 2 2 8 2 2 3" xfId="25460" xr:uid="{9DE1BEF9-FE35-4F3F-B41D-674C47761753}"/>
    <cellStyle name="Normal 4 2 2 8 2 2 4" xfId="33907" xr:uid="{48799529-0EB8-4F9C-89D2-59B1B78327A4}"/>
    <cellStyle name="Normal 4 2 2 8 2 3" xfId="12796" xr:uid="{FECF63B2-1874-4735-B3D8-23B13708A8DC}"/>
    <cellStyle name="Normal 4 2 2 8 2 4" xfId="21243" xr:uid="{4898EFE5-454C-4563-AEB4-3C7217BFF451}"/>
    <cellStyle name="Normal 4 2 2 8 2 5" xfId="29690" xr:uid="{9B44CDD3-8294-4DA7-A9D3-C919170A6371}"/>
    <cellStyle name="Normal 4 2 2 8 3" xfId="5542" xr:uid="{00000000-0005-0000-0000-000025130000}"/>
    <cellStyle name="Normal 4 2 2 8 3 2" xfId="14868" xr:uid="{7EAFC554-3119-4DB4-8736-FE58887C2170}"/>
    <cellStyle name="Normal 4 2 2 8 3 3" xfId="23315" xr:uid="{AFD477CA-B9D8-4712-A16C-893BB9FEB834}"/>
    <cellStyle name="Normal 4 2 2 8 3 4" xfId="31762" xr:uid="{1E69C9DD-3DC5-4055-932A-9FDC690DF103}"/>
    <cellStyle name="Normal 4 2 2 8 4" xfId="10651" xr:uid="{C5ED66DF-A8A8-43CD-84D9-82590F3A90CF}"/>
    <cellStyle name="Normal 4 2 2 8 5" xfId="19098" xr:uid="{8D69164A-5714-4783-AFB0-D88BEC8CC744}"/>
    <cellStyle name="Normal 4 2 2 8 6" xfId="27545" xr:uid="{D48D1196-C46F-49AE-A104-B6A54EDD5817}"/>
    <cellStyle name="Normal 4 2 2 9" xfId="1648" xr:uid="{00000000-0005-0000-0000-000026130000}"/>
    <cellStyle name="Normal 4 2 2 9 2" xfId="3878" xr:uid="{00000000-0005-0000-0000-000027130000}"/>
    <cellStyle name="Normal 4 2 2 9 2 2" xfId="8100" xr:uid="{00000000-0005-0000-0000-000028130000}"/>
    <cellStyle name="Normal 4 2 2 9 2 2 2" xfId="17426" xr:uid="{00D19D1D-8AED-4DE9-B976-45C72548A606}"/>
    <cellStyle name="Normal 4 2 2 9 2 2 3" xfId="25873" xr:uid="{1690B1F5-99E8-40D1-9FED-2B153A0C64A5}"/>
    <cellStyle name="Normal 4 2 2 9 2 2 4" xfId="34320" xr:uid="{43B99797-1893-4E99-A82C-54885E9C6A80}"/>
    <cellStyle name="Normal 4 2 2 9 2 3" xfId="13209" xr:uid="{D4A17107-20D4-4B92-B981-969EB86D3E47}"/>
    <cellStyle name="Normal 4 2 2 9 2 4" xfId="21656" xr:uid="{1682026C-3630-466C-9A7C-FBA916418764}"/>
    <cellStyle name="Normal 4 2 2 9 2 5" xfId="30103" xr:uid="{6020776A-EBEB-4861-BEE7-32D7D2A112F7}"/>
    <cellStyle name="Normal 4 2 2 9 3" xfId="5955" xr:uid="{00000000-0005-0000-0000-000029130000}"/>
    <cellStyle name="Normal 4 2 2 9 3 2" xfId="15281" xr:uid="{2570130C-DFE2-4E20-8F08-9721BC97FA79}"/>
    <cellStyle name="Normal 4 2 2 9 3 3" xfId="23728" xr:uid="{C4FB2B2D-ADED-4CEE-8562-B5C1798E19C6}"/>
    <cellStyle name="Normal 4 2 2 9 3 4" xfId="32175" xr:uid="{ED3FD6C3-3984-4DF1-B413-04E6BED79BBC}"/>
    <cellStyle name="Normal 4 2 2 9 4" xfId="11064" xr:uid="{EF3B80C6-F550-4DD8-B2C1-191815F6DDBA}"/>
    <cellStyle name="Normal 4 2 2 9 5" xfId="19511" xr:uid="{027D94E7-9372-4B50-B3B5-681860BB89D9}"/>
    <cellStyle name="Normal 4 2 2 9 6" xfId="27958" xr:uid="{4E5606A7-C436-456A-BB8B-AF71CD5AE9D1}"/>
    <cellStyle name="Normal 4 2 3" xfId="354" xr:uid="{00000000-0005-0000-0000-00002A130000}"/>
    <cellStyle name="Normal 4 2 4" xfId="355" xr:uid="{00000000-0005-0000-0000-00002B130000}"/>
    <cellStyle name="Normal 4 2 4 10" xfId="4732" xr:uid="{00000000-0005-0000-0000-00002C130000}"/>
    <cellStyle name="Normal 4 2 4 10 2" xfId="14058" xr:uid="{7438D6D6-8F55-4940-89C3-A5DFB648043C}"/>
    <cellStyle name="Normal 4 2 4 10 3" xfId="22505" xr:uid="{E723D831-87AE-4DA2-94C0-CC3E48E42722}"/>
    <cellStyle name="Normal 4 2 4 10 4" xfId="30952" xr:uid="{7788E793-BA8B-4163-AA1A-1A7433C93149}"/>
    <cellStyle name="Normal 4 2 4 11" xfId="8775" xr:uid="{7AC259AB-9C32-4DC1-A787-2E2187A7C2D6}"/>
    <cellStyle name="Normal 4 2 4 12" xfId="9841" xr:uid="{EA985DDF-4216-4B3E-AA45-AA2355C2DEB7}"/>
    <cellStyle name="Normal 4 2 4 13" xfId="18288" xr:uid="{E6DDF6AD-CA59-484F-BB2C-6AD7C237CB0B}"/>
    <cellStyle name="Normal 4 2 4 14" xfId="26735" xr:uid="{B31C1221-2420-41AB-8803-E9ED2C9A8B41}"/>
    <cellStyle name="Normal 4 2 4 2" xfId="356" xr:uid="{00000000-0005-0000-0000-00002D130000}"/>
    <cellStyle name="Normal 4 2 4 2 10" xfId="8820" xr:uid="{8B50D4F4-4786-467C-8322-69D665B73C2B}"/>
    <cellStyle name="Normal 4 2 4 2 11" xfId="9842" xr:uid="{C82D4EB2-06FA-4F3C-B781-9EBD4FACF35C}"/>
    <cellStyle name="Normal 4 2 4 2 12" xfId="18289" xr:uid="{CC606FA1-2E21-4A23-8C1C-E18D15C30DC7}"/>
    <cellStyle name="Normal 4 2 4 2 13" xfId="26736" xr:uid="{7E6691DB-10C0-474E-BAEA-FBEFAB2051A2}"/>
    <cellStyle name="Normal 4 2 4 2 2" xfId="357" xr:uid="{00000000-0005-0000-0000-00002E130000}"/>
    <cellStyle name="Normal 4 2 4 2 2 10" xfId="9843" xr:uid="{9CE1D361-190B-4C85-A1BB-33EAFDBF062F}"/>
    <cellStyle name="Normal 4 2 4 2 2 11" xfId="18290" xr:uid="{0FDE0909-5081-46C8-BFB6-CC32A0FE5234}"/>
    <cellStyle name="Normal 4 2 4 2 2 12" xfId="26737" xr:uid="{1AF48EE4-DB24-481D-85E7-31479844B032}"/>
    <cellStyle name="Normal 4 2 4 2 2 2" xfId="358" xr:uid="{00000000-0005-0000-0000-00002F130000}"/>
    <cellStyle name="Normal 4 2 4 2 2 2 10" xfId="18291" xr:uid="{8EB22A53-EBCE-4BBE-BF81-92BDC64F4355}"/>
    <cellStyle name="Normal 4 2 4 2 2 2 11" xfId="26738" xr:uid="{5CC3B7B0-8074-4D1A-AA98-0F4D69493082}"/>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16619" xr:uid="{2286592D-FF2D-4499-949B-1D98908C168F}"/>
    <cellStyle name="Normal 4 2 4 2 2 2 2 2 2 3" xfId="25066" xr:uid="{B2B192B9-6271-49C7-96F9-F3CF9D9EBB71}"/>
    <cellStyle name="Normal 4 2 4 2 2 2 2 2 2 4" xfId="33513" xr:uid="{9AA3064E-9944-4C19-A426-0F20E03B9E0E}"/>
    <cellStyle name="Normal 4 2 4 2 2 2 2 2 3" xfId="12402" xr:uid="{DFB81F7B-7543-4DA3-A7E2-23E3FB23683E}"/>
    <cellStyle name="Normal 4 2 4 2 2 2 2 2 4" xfId="20849" xr:uid="{658B0C7D-4E04-414A-8EFC-B26C2AEBC930}"/>
    <cellStyle name="Normal 4 2 4 2 2 2 2 2 5" xfId="29296" xr:uid="{CFFC577D-1C99-40A6-AAEA-A1D84327AF3D}"/>
    <cellStyle name="Normal 4 2 4 2 2 2 2 3" xfId="5148" xr:uid="{00000000-0005-0000-0000-000033130000}"/>
    <cellStyle name="Normal 4 2 4 2 2 2 2 3 2" xfId="14474" xr:uid="{AAF04170-50C1-4217-A73E-289EDA5C70AA}"/>
    <cellStyle name="Normal 4 2 4 2 2 2 2 3 3" xfId="22921" xr:uid="{6A98FBC6-04D2-484D-B45D-5B05A23DBF0E}"/>
    <cellStyle name="Normal 4 2 4 2 2 2 2 3 4" xfId="31368" xr:uid="{048E037D-22AC-44E4-A0D8-CAF2C2F3DAC8}"/>
    <cellStyle name="Normal 4 2 4 2 2 2 2 4" xfId="9555" xr:uid="{31AE7BD4-4F26-4658-9939-15FCE733560E}"/>
    <cellStyle name="Normal 4 2 4 2 2 2 2 5" xfId="10257" xr:uid="{1FDB31E9-FDAB-4551-A34F-C802B128DF53}"/>
    <cellStyle name="Normal 4 2 4 2 2 2 2 6" xfId="18704" xr:uid="{4E71E24E-C54F-4D04-B0EE-D80D40302BF8}"/>
    <cellStyle name="Normal 4 2 4 2 2 2 2 7" xfId="27151" xr:uid="{6796EC76-FA7E-4744-A1B9-D7EB9EC876CB}"/>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17032" xr:uid="{017066DF-9645-4DEF-A720-F697BC6A40AB}"/>
    <cellStyle name="Normal 4 2 4 2 2 2 3 2 2 3" xfId="25479" xr:uid="{F8D9E3C2-55BF-4D88-9431-7A9862CE635A}"/>
    <cellStyle name="Normal 4 2 4 2 2 2 3 2 2 4" xfId="33926" xr:uid="{D9EDCEAF-0CC0-4FFE-9E48-EEC8620E16F1}"/>
    <cellStyle name="Normal 4 2 4 2 2 2 3 2 3" xfId="12815" xr:uid="{C5AFC46D-FB93-42F2-8591-590C03CA9193}"/>
    <cellStyle name="Normal 4 2 4 2 2 2 3 2 4" xfId="21262" xr:uid="{8974A2FF-FC5B-4019-905F-E22096FD4AC5}"/>
    <cellStyle name="Normal 4 2 4 2 2 2 3 2 5" xfId="29709" xr:uid="{1353085E-ADDA-416B-9666-35DE64EAF61F}"/>
    <cellStyle name="Normal 4 2 4 2 2 2 3 3" xfId="5561" xr:uid="{00000000-0005-0000-0000-000037130000}"/>
    <cellStyle name="Normal 4 2 4 2 2 2 3 3 2" xfId="14887" xr:uid="{5D95E778-8E51-4F5D-BBC7-7A1CB3995833}"/>
    <cellStyle name="Normal 4 2 4 2 2 2 3 3 3" xfId="23334" xr:uid="{74F2F628-1277-44CF-B9C6-0CE0518519FC}"/>
    <cellStyle name="Normal 4 2 4 2 2 2 3 3 4" xfId="31781" xr:uid="{2130A29C-EFB6-43E8-B4CE-27CC16515ECC}"/>
    <cellStyle name="Normal 4 2 4 2 2 2 3 4" xfId="10670" xr:uid="{4CB3B475-D419-411D-90EF-C8D8E13CF7C9}"/>
    <cellStyle name="Normal 4 2 4 2 2 2 3 5" xfId="19117" xr:uid="{E964A0D5-A5EC-4F85-AE96-E685FF8B0B76}"/>
    <cellStyle name="Normal 4 2 4 2 2 2 3 6" xfId="27564" xr:uid="{5975F4EE-32E2-442E-9E5C-DA3F0813735A}"/>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17445" xr:uid="{2BDCDBF7-FE54-4704-9A74-D17BA49D5617}"/>
    <cellStyle name="Normal 4 2 4 2 2 2 4 2 2 3" xfId="25892" xr:uid="{31D82037-AE8F-4461-BEB6-A2C4C2C1DCF5}"/>
    <cellStyle name="Normal 4 2 4 2 2 2 4 2 2 4" xfId="34339" xr:uid="{0C91D0D3-2A4E-4878-A3A9-6770E955D101}"/>
    <cellStyle name="Normal 4 2 4 2 2 2 4 2 3" xfId="13228" xr:uid="{7632D362-D642-4CDC-AE35-CC08F94DAE8F}"/>
    <cellStyle name="Normal 4 2 4 2 2 2 4 2 4" xfId="21675" xr:uid="{34E89B7B-F949-47DA-906E-ECFD2D47608E}"/>
    <cellStyle name="Normal 4 2 4 2 2 2 4 2 5" xfId="30122" xr:uid="{0A31F562-B12F-4F1F-9865-B5167A3B34C0}"/>
    <cellStyle name="Normal 4 2 4 2 2 2 4 3" xfId="5974" xr:uid="{00000000-0005-0000-0000-00003B130000}"/>
    <cellStyle name="Normal 4 2 4 2 2 2 4 3 2" xfId="15300" xr:uid="{D267AD26-E0D7-4D57-B85B-970141759622}"/>
    <cellStyle name="Normal 4 2 4 2 2 2 4 3 3" xfId="23747" xr:uid="{C29D01C2-28FE-457D-9DA4-863D1954CEF2}"/>
    <cellStyle name="Normal 4 2 4 2 2 2 4 3 4" xfId="32194" xr:uid="{AD728F6D-7C18-4D83-9543-E9298AE17D0E}"/>
    <cellStyle name="Normal 4 2 4 2 2 2 4 4" xfId="11083" xr:uid="{278633D2-36A4-472C-9ECB-F25AEBB8C008}"/>
    <cellStyle name="Normal 4 2 4 2 2 2 4 5" xfId="19530" xr:uid="{40B43550-C540-4989-8692-EAFF6AE2A3FF}"/>
    <cellStyle name="Normal 4 2 4 2 2 2 4 6" xfId="27977" xr:uid="{64F615C9-02A0-4E55-AC8E-F06E85DD0C01}"/>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17858" xr:uid="{FA89BB31-56E0-4EB1-9021-4E608A81486A}"/>
    <cellStyle name="Normal 4 2 4 2 2 2 5 2 2 3" xfId="26305" xr:uid="{2B92907F-CD8B-449C-9895-83E98149BBA8}"/>
    <cellStyle name="Normal 4 2 4 2 2 2 5 2 2 4" xfId="34752" xr:uid="{A0F5F396-9BF0-44A3-A95C-67C8C95669A4}"/>
    <cellStyle name="Normal 4 2 4 2 2 2 5 2 3" xfId="13641" xr:uid="{1D435FB5-5CF0-4DA4-BECF-82A9439D5A31}"/>
    <cellStyle name="Normal 4 2 4 2 2 2 5 2 4" xfId="22088" xr:uid="{7C963724-8927-47A9-B284-6889E1A1A633}"/>
    <cellStyle name="Normal 4 2 4 2 2 2 5 2 5" xfId="30535" xr:uid="{7878CA5B-C64F-4DF4-BA38-0542574FB1F1}"/>
    <cellStyle name="Normal 4 2 4 2 2 2 5 3" xfId="6387" xr:uid="{00000000-0005-0000-0000-00003F130000}"/>
    <cellStyle name="Normal 4 2 4 2 2 2 5 3 2" xfId="15713" xr:uid="{B5EE3673-75D6-4EF1-A028-76967ACFD89B}"/>
    <cellStyle name="Normal 4 2 4 2 2 2 5 3 3" xfId="24160" xr:uid="{002EF6BD-8231-4F2D-B9BB-71D7867BE97A}"/>
    <cellStyle name="Normal 4 2 4 2 2 2 5 3 4" xfId="32607" xr:uid="{68D6045B-171F-4F57-9EE0-E8842201D858}"/>
    <cellStyle name="Normal 4 2 4 2 2 2 5 4" xfId="11496" xr:uid="{FD3DFF91-3906-4B82-BA4C-80B116E0C8FB}"/>
    <cellStyle name="Normal 4 2 4 2 2 2 5 5" xfId="19943" xr:uid="{384D01BE-D191-4182-8064-3773B0ED24B7}"/>
    <cellStyle name="Normal 4 2 4 2 2 2 5 6" xfId="28390" xr:uid="{EECCDF92-9451-49DE-9013-490F10C3ED7C}"/>
    <cellStyle name="Normal 4 2 4 2 2 2 6" xfId="2517" xr:uid="{00000000-0005-0000-0000-000040130000}"/>
    <cellStyle name="Normal 4 2 4 2 2 2 6 2" xfId="6800" xr:uid="{00000000-0005-0000-0000-000041130000}"/>
    <cellStyle name="Normal 4 2 4 2 2 2 6 2 2" xfId="16126" xr:uid="{69F328DE-FEB6-447B-967E-2D0D99754951}"/>
    <cellStyle name="Normal 4 2 4 2 2 2 6 2 3" xfId="24573" xr:uid="{4FCF7670-AD85-4EA3-B171-77B67A1684C1}"/>
    <cellStyle name="Normal 4 2 4 2 2 2 6 2 4" xfId="33020" xr:uid="{2DC49330-974D-4C1B-BE4B-9C18CDAB42BC}"/>
    <cellStyle name="Normal 4 2 4 2 2 2 6 3" xfId="11909" xr:uid="{FB5633DA-97AD-47BC-8F3C-0D4AFE104BED}"/>
    <cellStyle name="Normal 4 2 4 2 2 2 6 4" xfId="20356" xr:uid="{ADC8C346-217A-4C34-BDD1-55B717D7D1C8}"/>
    <cellStyle name="Normal 4 2 4 2 2 2 6 5" xfId="28803" xr:uid="{0EBC010D-E504-4E37-85CF-21DD915030F4}"/>
    <cellStyle name="Normal 4 2 4 2 2 2 7" xfId="4735" xr:uid="{00000000-0005-0000-0000-000042130000}"/>
    <cellStyle name="Normal 4 2 4 2 2 2 7 2" xfId="14061" xr:uid="{000E7FFC-E57E-4354-AEF1-F126D379030E}"/>
    <cellStyle name="Normal 4 2 4 2 2 2 7 3" xfId="22508" xr:uid="{3035B8CF-AD60-49DA-A734-3F54E1B78E9F}"/>
    <cellStyle name="Normal 4 2 4 2 2 2 7 4" xfId="30955" xr:uid="{71D6A20F-9CF3-4E0F-B508-8FEA70E9F822}"/>
    <cellStyle name="Normal 4 2 4 2 2 2 8" xfId="9130" xr:uid="{E4AAEB37-D6CE-4BD9-A166-BE52F754DAC4}"/>
    <cellStyle name="Normal 4 2 4 2 2 2 9" xfId="9844" xr:uid="{D58394B4-3306-40AB-A03E-53828EA25DE1}"/>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16618" xr:uid="{56CBE33E-ADC0-4409-91D7-FEC826529020}"/>
    <cellStyle name="Normal 4 2 4 2 2 3 2 2 3" xfId="25065" xr:uid="{C1C6F15B-34E5-49ED-B66E-CED702E9EC43}"/>
    <cellStyle name="Normal 4 2 4 2 2 3 2 2 4" xfId="33512" xr:uid="{9CECCBB6-35A4-4590-8211-8A52160838EB}"/>
    <cellStyle name="Normal 4 2 4 2 2 3 2 3" xfId="12401" xr:uid="{5AA26284-06BE-46A2-AD3C-50C2AE91D1E6}"/>
    <cellStyle name="Normal 4 2 4 2 2 3 2 4" xfId="20848" xr:uid="{94FDA244-8D15-431C-B27A-981D8DA0D9CD}"/>
    <cellStyle name="Normal 4 2 4 2 2 3 2 5" xfId="29295" xr:uid="{EBAAFE41-6813-47CD-AC04-FFFEBE06954F}"/>
    <cellStyle name="Normal 4 2 4 2 2 3 3" xfId="5147" xr:uid="{00000000-0005-0000-0000-000046130000}"/>
    <cellStyle name="Normal 4 2 4 2 2 3 3 2" xfId="14473" xr:uid="{F2167627-08EE-48A5-BC4F-86AB9521701F}"/>
    <cellStyle name="Normal 4 2 4 2 2 3 3 3" xfId="22920" xr:uid="{303C7F2C-190B-4D25-9C54-4E0C27801A99}"/>
    <cellStyle name="Normal 4 2 4 2 2 3 3 4" xfId="31367" xr:uid="{8D5B483C-F4B2-43F1-BEF9-97D2893931FB}"/>
    <cellStyle name="Normal 4 2 4 2 2 3 4" xfId="9348" xr:uid="{E9E52CF6-B3CF-482F-B496-A22B0452951D}"/>
    <cellStyle name="Normal 4 2 4 2 2 3 5" xfId="10256" xr:uid="{388DA100-4D51-4F49-B7F9-205171363BCA}"/>
    <cellStyle name="Normal 4 2 4 2 2 3 6" xfId="18703" xr:uid="{3147843F-42DC-4EFC-8C49-65AEF2556357}"/>
    <cellStyle name="Normal 4 2 4 2 2 3 7" xfId="27150" xr:uid="{D216A13C-D4CB-4FF1-B997-CFA34B61662C}"/>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17031" xr:uid="{4B3F41B1-9501-4C72-8575-6EFAC170A63F}"/>
    <cellStyle name="Normal 4 2 4 2 2 4 2 2 3" xfId="25478" xr:uid="{BCF03EF5-1514-4613-8AA4-ABFFC1937195}"/>
    <cellStyle name="Normal 4 2 4 2 2 4 2 2 4" xfId="33925" xr:uid="{6C3F8FBD-D650-41BD-BCDD-8D5BBCA72189}"/>
    <cellStyle name="Normal 4 2 4 2 2 4 2 3" xfId="12814" xr:uid="{F8387B29-FDF6-4C20-85AA-E14EBD09DF78}"/>
    <cellStyle name="Normal 4 2 4 2 2 4 2 4" xfId="21261" xr:uid="{686EA924-6BBC-4EEB-A954-3674937831B0}"/>
    <cellStyle name="Normal 4 2 4 2 2 4 2 5" xfId="29708" xr:uid="{A635E2CB-B0DA-4C50-8E25-E13C4AD74538}"/>
    <cellStyle name="Normal 4 2 4 2 2 4 3" xfId="5560" xr:uid="{00000000-0005-0000-0000-00004A130000}"/>
    <cellStyle name="Normal 4 2 4 2 2 4 3 2" xfId="14886" xr:uid="{5DCBDFCC-FF81-41D9-91D9-19BE1BD1A9E1}"/>
    <cellStyle name="Normal 4 2 4 2 2 4 3 3" xfId="23333" xr:uid="{65A0A571-F9A8-4D81-A0A5-1030879F8817}"/>
    <cellStyle name="Normal 4 2 4 2 2 4 3 4" xfId="31780" xr:uid="{93B141FE-6529-43F5-B27E-B728F6B53CC1}"/>
    <cellStyle name="Normal 4 2 4 2 2 4 4" xfId="10669" xr:uid="{6D433CC7-A285-4438-92B8-B5ECC88A805E}"/>
    <cellStyle name="Normal 4 2 4 2 2 4 5" xfId="19116" xr:uid="{B590D9DA-0017-4296-80D6-4C111F4264A5}"/>
    <cellStyle name="Normal 4 2 4 2 2 4 6" xfId="27563" xr:uid="{A16B8CB9-512A-45E9-85AF-06E341A75198}"/>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17444" xr:uid="{99B317C3-B2F6-4C1F-9D56-BDC0A77CF0E1}"/>
    <cellStyle name="Normal 4 2 4 2 2 5 2 2 3" xfId="25891" xr:uid="{805BD61F-A0D6-4F64-B272-8D7E3A0A8F3B}"/>
    <cellStyle name="Normal 4 2 4 2 2 5 2 2 4" xfId="34338" xr:uid="{0C0C4647-78A2-4366-8F3F-A25CBB62E8A4}"/>
    <cellStyle name="Normal 4 2 4 2 2 5 2 3" xfId="13227" xr:uid="{7B36396D-B525-4051-9704-7F736B8D7865}"/>
    <cellStyle name="Normal 4 2 4 2 2 5 2 4" xfId="21674" xr:uid="{205C6060-A353-4BA9-B488-7DC661535688}"/>
    <cellStyle name="Normal 4 2 4 2 2 5 2 5" xfId="30121" xr:uid="{F8157AEA-17B2-407F-B575-6BC964A6BD78}"/>
    <cellStyle name="Normal 4 2 4 2 2 5 3" xfId="5973" xr:uid="{00000000-0005-0000-0000-00004E130000}"/>
    <cellStyle name="Normal 4 2 4 2 2 5 3 2" xfId="15299" xr:uid="{D0506232-D2FD-44C0-BFF6-82CC1C243DC3}"/>
    <cellStyle name="Normal 4 2 4 2 2 5 3 3" xfId="23746" xr:uid="{8CB913E9-7814-4A41-8329-9F749E7EF019}"/>
    <cellStyle name="Normal 4 2 4 2 2 5 3 4" xfId="32193" xr:uid="{3E716264-96A3-446A-BE04-3B0E861A57AE}"/>
    <cellStyle name="Normal 4 2 4 2 2 5 4" xfId="11082" xr:uid="{D2E03002-2933-490A-BE7A-FCB388F87779}"/>
    <cellStyle name="Normal 4 2 4 2 2 5 5" xfId="19529" xr:uid="{E3A0DDF3-F6B4-4D6F-8D1A-8E4E13B0469D}"/>
    <cellStyle name="Normal 4 2 4 2 2 5 6" xfId="27976" xr:uid="{F8B88D06-A0F3-4A3A-9B70-FADF8407E6B9}"/>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17857" xr:uid="{FDC19A9B-2FA5-4644-B81E-C3D6A8190E35}"/>
    <cellStyle name="Normal 4 2 4 2 2 6 2 2 3" xfId="26304" xr:uid="{39538194-94F7-4C79-B87B-7223CF5A0341}"/>
    <cellStyle name="Normal 4 2 4 2 2 6 2 2 4" xfId="34751" xr:uid="{9DFE9AD9-EE9D-4234-A31E-42A3B16B3367}"/>
    <cellStyle name="Normal 4 2 4 2 2 6 2 3" xfId="13640" xr:uid="{85441F93-0843-4C66-B143-D525D6DCADA1}"/>
    <cellStyle name="Normal 4 2 4 2 2 6 2 4" xfId="22087" xr:uid="{15BDEC8C-9648-480C-BFCB-B3DB5486E19B}"/>
    <cellStyle name="Normal 4 2 4 2 2 6 2 5" xfId="30534" xr:uid="{C4F3D3C6-8B6C-42F5-9486-A74C36203581}"/>
    <cellStyle name="Normal 4 2 4 2 2 6 3" xfId="6386" xr:uid="{00000000-0005-0000-0000-000052130000}"/>
    <cellStyle name="Normal 4 2 4 2 2 6 3 2" xfId="15712" xr:uid="{F258243B-8A10-4952-A7B3-E90DB58AF544}"/>
    <cellStyle name="Normal 4 2 4 2 2 6 3 3" xfId="24159" xr:uid="{62CDFF57-67AB-40E5-8DC2-EEFB4489A460}"/>
    <cellStyle name="Normal 4 2 4 2 2 6 3 4" xfId="32606" xr:uid="{806CE883-568D-4077-8A21-81584B307D78}"/>
    <cellStyle name="Normal 4 2 4 2 2 6 4" xfId="11495" xr:uid="{621C0EF6-F8A3-4D90-890D-FE123F94C45A}"/>
    <cellStyle name="Normal 4 2 4 2 2 6 5" xfId="19942" xr:uid="{5FF14997-D361-4975-AC33-71330EF03112}"/>
    <cellStyle name="Normal 4 2 4 2 2 6 6" xfId="28389" xr:uid="{52E49D3E-2D9F-4395-B1EB-3EE6BCA06DA5}"/>
    <cellStyle name="Normal 4 2 4 2 2 7" xfId="2516" xr:uid="{00000000-0005-0000-0000-000053130000}"/>
    <cellStyle name="Normal 4 2 4 2 2 7 2" xfId="6799" xr:uid="{00000000-0005-0000-0000-000054130000}"/>
    <cellStyle name="Normal 4 2 4 2 2 7 2 2" xfId="16125" xr:uid="{9718902B-756B-4575-8DC8-29AFD2C8FB82}"/>
    <cellStyle name="Normal 4 2 4 2 2 7 2 3" xfId="24572" xr:uid="{82CB6579-B42A-4F6D-8FDA-87B1E4453AF8}"/>
    <cellStyle name="Normal 4 2 4 2 2 7 2 4" xfId="33019" xr:uid="{ACED0699-6ABF-4171-9C20-6AC664D6DC34}"/>
    <cellStyle name="Normal 4 2 4 2 2 7 3" xfId="11908" xr:uid="{EE54A1E8-9398-41F7-B729-077E95DE3755}"/>
    <cellStyle name="Normal 4 2 4 2 2 7 4" xfId="20355" xr:uid="{6E7FD606-B044-4A37-8832-B34B3882FC2B}"/>
    <cellStyle name="Normal 4 2 4 2 2 7 5" xfId="28802" xr:uid="{876CD3A2-B860-43F8-BF4F-C0CAACFE303A}"/>
    <cellStyle name="Normal 4 2 4 2 2 8" xfId="4734" xr:uid="{00000000-0005-0000-0000-000055130000}"/>
    <cellStyle name="Normal 4 2 4 2 2 8 2" xfId="14060" xr:uid="{F4080459-A71B-4F48-B9A2-6686E168DF07}"/>
    <cellStyle name="Normal 4 2 4 2 2 8 3" xfId="22507" xr:uid="{60B3ED5C-20D1-4431-B2F9-A0C3F2599FCC}"/>
    <cellStyle name="Normal 4 2 4 2 2 8 4" xfId="30954" xr:uid="{D1B8CB3E-CAF5-44D4-80AB-1C0C464BBC60}"/>
    <cellStyle name="Normal 4 2 4 2 2 9" xfId="8923" xr:uid="{2BBE6936-33B8-4624-9F85-2EE83C62ACB2}"/>
    <cellStyle name="Normal 4 2 4 2 3" xfId="359" xr:uid="{00000000-0005-0000-0000-000056130000}"/>
    <cellStyle name="Normal 4 2 4 2 3 10" xfId="18292" xr:uid="{2231E89C-F839-4AB0-AB2E-10169EBB6A5C}"/>
    <cellStyle name="Normal 4 2 4 2 3 11" xfId="26739" xr:uid="{173ADC7A-3956-43BE-9F9D-F219E0C12576}"/>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16620" xr:uid="{B3836AB0-7E80-4B88-82F1-20967607A260}"/>
    <cellStyle name="Normal 4 2 4 2 3 2 2 2 3" xfId="25067" xr:uid="{8A4D6327-A396-4B58-B1B1-6C74A9519443}"/>
    <cellStyle name="Normal 4 2 4 2 3 2 2 2 4" xfId="33514" xr:uid="{8536B943-2465-4808-BBFE-CE693260CA75}"/>
    <cellStyle name="Normal 4 2 4 2 3 2 2 3" xfId="12403" xr:uid="{00BFAE5F-8043-4360-BF4C-A2762B9FE4CE}"/>
    <cellStyle name="Normal 4 2 4 2 3 2 2 4" xfId="20850" xr:uid="{2DA0B3C7-AB04-4B8C-B17E-630E89E20312}"/>
    <cellStyle name="Normal 4 2 4 2 3 2 2 5" xfId="29297" xr:uid="{B48E7BBA-3134-4C1D-854C-5359E6BB7A28}"/>
    <cellStyle name="Normal 4 2 4 2 3 2 3" xfId="5149" xr:uid="{00000000-0005-0000-0000-00005A130000}"/>
    <cellStyle name="Normal 4 2 4 2 3 2 3 2" xfId="14475" xr:uid="{B0A73B46-B374-4BC2-8271-A2F713981F7C}"/>
    <cellStyle name="Normal 4 2 4 2 3 2 3 3" xfId="22922" xr:uid="{D4FF8CD0-5228-451D-B648-3C103F0A950A}"/>
    <cellStyle name="Normal 4 2 4 2 3 2 3 4" xfId="31369" xr:uid="{2D1E8B35-1188-406A-8E48-B129B076067E}"/>
    <cellStyle name="Normal 4 2 4 2 3 2 4" xfId="9452" xr:uid="{58F46659-8F00-4705-8554-54AEBE9B8A77}"/>
    <cellStyle name="Normal 4 2 4 2 3 2 5" xfId="10258" xr:uid="{0042E40C-42FD-4658-8FAC-D6532E8240C1}"/>
    <cellStyle name="Normal 4 2 4 2 3 2 6" xfId="18705" xr:uid="{3A34DA29-5346-4DBA-8386-3F6C177C4D9A}"/>
    <cellStyle name="Normal 4 2 4 2 3 2 7" xfId="27152" xr:uid="{19AF46BA-A049-4CDF-BD0E-CFCE21195405}"/>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17033" xr:uid="{45EFCB90-E352-4554-B44D-F1BD043DEE99}"/>
    <cellStyle name="Normal 4 2 4 2 3 3 2 2 3" xfId="25480" xr:uid="{C784E309-B8B3-43E4-8409-0A8DBA30BC16}"/>
    <cellStyle name="Normal 4 2 4 2 3 3 2 2 4" xfId="33927" xr:uid="{5D3350E7-C0BD-40D5-B084-DC56BBBD70DD}"/>
    <cellStyle name="Normal 4 2 4 2 3 3 2 3" xfId="12816" xr:uid="{A24961D8-1F1F-42C5-AE77-B627E210B921}"/>
    <cellStyle name="Normal 4 2 4 2 3 3 2 4" xfId="21263" xr:uid="{B5D43E92-DEB2-4423-97ED-888696B7B4FF}"/>
    <cellStyle name="Normal 4 2 4 2 3 3 2 5" xfId="29710" xr:uid="{89813E13-309F-4CBD-8B71-9708DE407F86}"/>
    <cellStyle name="Normal 4 2 4 2 3 3 3" xfId="5562" xr:uid="{00000000-0005-0000-0000-00005E130000}"/>
    <cellStyle name="Normal 4 2 4 2 3 3 3 2" xfId="14888" xr:uid="{B859885C-530F-4BDA-B18C-91FC8292BC6D}"/>
    <cellStyle name="Normal 4 2 4 2 3 3 3 3" xfId="23335" xr:uid="{CD6B5ECC-048B-4D80-9E8B-B8D65DDB8904}"/>
    <cellStyle name="Normal 4 2 4 2 3 3 3 4" xfId="31782" xr:uid="{9567FFEA-C394-4CCA-8A9C-0AE5D2B208AA}"/>
    <cellStyle name="Normal 4 2 4 2 3 3 4" xfId="10671" xr:uid="{777E3B77-74A4-451A-84DF-C37000BBCADD}"/>
    <cellStyle name="Normal 4 2 4 2 3 3 5" xfId="19118" xr:uid="{4F9180F5-3869-468E-889E-22D1FC4E2CB2}"/>
    <cellStyle name="Normal 4 2 4 2 3 3 6" xfId="27565" xr:uid="{14539DEE-0A20-41F4-A0B6-1B771E138864}"/>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17446" xr:uid="{919D80D7-B594-4155-BC52-920C975CF70D}"/>
    <cellStyle name="Normal 4 2 4 2 3 4 2 2 3" xfId="25893" xr:uid="{0E3DB66E-69F0-4215-902C-85BC1317CF29}"/>
    <cellStyle name="Normal 4 2 4 2 3 4 2 2 4" xfId="34340" xr:uid="{D267F5FE-8AE6-4D92-9411-2FF0F736DD86}"/>
    <cellStyle name="Normal 4 2 4 2 3 4 2 3" xfId="13229" xr:uid="{95C2D960-D9EE-46F2-92AF-0CD035CBA3C7}"/>
    <cellStyle name="Normal 4 2 4 2 3 4 2 4" xfId="21676" xr:uid="{FE60AFDA-EC53-4036-B2DD-49EA9E629209}"/>
    <cellStyle name="Normal 4 2 4 2 3 4 2 5" xfId="30123" xr:uid="{8093CED3-E12F-4459-8C9A-56F0FCE377D6}"/>
    <cellStyle name="Normal 4 2 4 2 3 4 3" xfId="5975" xr:uid="{00000000-0005-0000-0000-000062130000}"/>
    <cellStyle name="Normal 4 2 4 2 3 4 3 2" xfId="15301" xr:uid="{5D507419-98EB-4DE2-903E-3B4976C9CEE2}"/>
    <cellStyle name="Normal 4 2 4 2 3 4 3 3" xfId="23748" xr:uid="{074C2C91-15E3-470B-81B1-360BA581467B}"/>
    <cellStyle name="Normal 4 2 4 2 3 4 3 4" xfId="32195" xr:uid="{636FB7E9-F364-4041-B8AA-A889690BF1F8}"/>
    <cellStyle name="Normal 4 2 4 2 3 4 4" xfId="11084" xr:uid="{0577B019-3A76-434D-94C5-91539666494D}"/>
    <cellStyle name="Normal 4 2 4 2 3 4 5" xfId="19531" xr:uid="{F9179CF4-2C3A-46CE-9FE4-C35EB2D08B8E}"/>
    <cellStyle name="Normal 4 2 4 2 3 4 6" xfId="27978" xr:uid="{7CF74251-DF75-4BFB-9BA0-CBD898E604E7}"/>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17859" xr:uid="{69925E5C-F932-470B-AC91-12C935951EE1}"/>
    <cellStyle name="Normal 4 2 4 2 3 5 2 2 3" xfId="26306" xr:uid="{C38CEEAC-46FB-4AB4-A8C2-944A81D5035F}"/>
    <cellStyle name="Normal 4 2 4 2 3 5 2 2 4" xfId="34753" xr:uid="{DCF23AAF-1019-4669-B1CC-837F2170DAEB}"/>
    <cellStyle name="Normal 4 2 4 2 3 5 2 3" xfId="13642" xr:uid="{2D1466C2-0C20-4655-9FFA-64A301565A8A}"/>
    <cellStyle name="Normal 4 2 4 2 3 5 2 4" xfId="22089" xr:uid="{9DF0E3CF-C3C0-4ABF-96A1-CC461F0E61BC}"/>
    <cellStyle name="Normal 4 2 4 2 3 5 2 5" xfId="30536" xr:uid="{80FE3D5C-E21A-447A-AEC2-8901471DB2D9}"/>
    <cellStyle name="Normal 4 2 4 2 3 5 3" xfId="6388" xr:uid="{00000000-0005-0000-0000-000066130000}"/>
    <cellStyle name="Normal 4 2 4 2 3 5 3 2" xfId="15714" xr:uid="{7F857282-9032-4632-9A13-CC0545A2E884}"/>
    <cellStyle name="Normal 4 2 4 2 3 5 3 3" xfId="24161" xr:uid="{07F52603-BDD0-43B0-9DFA-93FBEE28B81F}"/>
    <cellStyle name="Normal 4 2 4 2 3 5 3 4" xfId="32608" xr:uid="{79CF5F06-A840-46D9-9449-4CEAB3D968C7}"/>
    <cellStyle name="Normal 4 2 4 2 3 5 4" xfId="11497" xr:uid="{C7AEFCDA-3200-4B01-AA71-64928653A722}"/>
    <cellStyle name="Normal 4 2 4 2 3 5 5" xfId="19944" xr:uid="{896C64A7-3997-4B85-992F-31F521DA8CD6}"/>
    <cellStyle name="Normal 4 2 4 2 3 5 6" xfId="28391" xr:uid="{6344AC76-D10E-46F4-BBA5-F19B804985B6}"/>
    <cellStyle name="Normal 4 2 4 2 3 6" xfId="2518" xr:uid="{00000000-0005-0000-0000-000067130000}"/>
    <cellStyle name="Normal 4 2 4 2 3 6 2" xfId="6801" xr:uid="{00000000-0005-0000-0000-000068130000}"/>
    <cellStyle name="Normal 4 2 4 2 3 6 2 2" xfId="16127" xr:uid="{79358DC1-A5D4-45DE-8BE4-07E8A50119D9}"/>
    <cellStyle name="Normal 4 2 4 2 3 6 2 3" xfId="24574" xr:uid="{90809A67-8FCA-4D6D-B73C-03E6459BB48F}"/>
    <cellStyle name="Normal 4 2 4 2 3 6 2 4" xfId="33021" xr:uid="{EDD0C5EE-B121-4687-9E2A-3D8DC6D27E30}"/>
    <cellStyle name="Normal 4 2 4 2 3 6 3" xfId="11910" xr:uid="{7C01F863-74C0-47F3-99FC-EBAFBA7B7686}"/>
    <cellStyle name="Normal 4 2 4 2 3 6 4" xfId="20357" xr:uid="{DBD8FC06-8B29-43F8-8366-E653856FC609}"/>
    <cellStyle name="Normal 4 2 4 2 3 6 5" xfId="28804" xr:uid="{2AF1FD5B-201D-4F21-A08C-DD02778E57AD}"/>
    <cellStyle name="Normal 4 2 4 2 3 7" xfId="4736" xr:uid="{00000000-0005-0000-0000-000069130000}"/>
    <cellStyle name="Normal 4 2 4 2 3 7 2" xfId="14062" xr:uid="{9E2B9132-0648-40A4-A1DC-A735D28887B5}"/>
    <cellStyle name="Normal 4 2 4 2 3 7 3" xfId="22509" xr:uid="{6F49B856-DF7C-452E-BD2D-EE4E4E3462EF}"/>
    <cellStyle name="Normal 4 2 4 2 3 7 4" xfId="30956" xr:uid="{DDF2A484-B1EB-4654-A7D9-0F9FB3300BE1}"/>
    <cellStyle name="Normal 4 2 4 2 3 8" xfId="9027" xr:uid="{DA430019-E492-48BB-ACD5-5BE853C50FBC}"/>
    <cellStyle name="Normal 4 2 4 2 3 9" xfId="9845" xr:uid="{A4F27F47-FF87-46F6-898E-DB3AE3C7FFE1}"/>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16617" xr:uid="{8ADB3722-6CC1-498E-BDF3-C8CCBE16DB87}"/>
    <cellStyle name="Normal 4 2 4 2 4 2 2 3" xfId="25064" xr:uid="{2D9ABBAF-6753-4AA0-AA56-9360D693F696}"/>
    <cellStyle name="Normal 4 2 4 2 4 2 2 4" xfId="33511" xr:uid="{131429F9-1976-4E38-BF1E-4569BA25151A}"/>
    <cellStyle name="Normal 4 2 4 2 4 2 3" xfId="12400" xr:uid="{2EED2D76-3FE4-4AAB-A972-F7762EAA7989}"/>
    <cellStyle name="Normal 4 2 4 2 4 2 4" xfId="20847" xr:uid="{F5EF4F13-E96F-443A-8FA9-57673DD95045}"/>
    <cellStyle name="Normal 4 2 4 2 4 2 5" xfId="29294" xr:uid="{19883639-24A7-461B-AE7F-9BF53273FC82}"/>
    <cellStyle name="Normal 4 2 4 2 4 3" xfId="5146" xr:uid="{00000000-0005-0000-0000-00006D130000}"/>
    <cellStyle name="Normal 4 2 4 2 4 3 2" xfId="14472" xr:uid="{C41EC90A-0A79-4A6C-8C73-7F46CC31E887}"/>
    <cellStyle name="Normal 4 2 4 2 4 3 3" xfId="22919" xr:uid="{D79BE313-1A4E-483D-BF28-ABDF2E07D509}"/>
    <cellStyle name="Normal 4 2 4 2 4 3 4" xfId="31366" xr:uid="{1150C891-F384-4E55-A879-3C68E22539A1}"/>
    <cellStyle name="Normal 4 2 4 2 4 4" xfId="9245" xr:uid="{A0383DD8-843E-4601-922A-5CDD979D0589}"/>
    <cellStyle name="Normal 4 2 4 2 4 5" xfId="10255" xr:uid="{07F2CB7A-F9FA-441D-8033-015789DB2A55}"/>
    <cellStyle name="Normal 4 2 4 2 4 6" xfId="18702" xr:uid="{30141ECC-B026-49E4-A1F6-3B2B9E105901}"/>
    <cellStyle name="Normal 4 2 4 2 4 7" xfId="27149" xr:uid="{C59DC6B7-1774-4AFF-87C2-994DB423E423}"/>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17030" xr:uid="{6DAE9B36-A03B-4B56-A710-736F3B3AA9FE}"/>
    <cellStyle name="Normal 4 2 4 2 5 2 2 3" xfId="25477" xr:uid="{ED979C58-79EE-4268-9598-33A605A2DB8C}"/>
    <cellStyle name="Normal 4 2 4 2 5 2 2 4" xfId="33924" xr:uid="{D6F51C16-F02A-4751-BAD3-B31FDA57E392}"/>
    <cellStyle name="Normal 4 2 4 2 5 2 3" xfId="12813" xr:uid="{CD3CC762-17CB-4E89-8AE6-1C79941763B5}"/>
    <cellStyle name="Normal 4 2 4 2 5 2 4" xfId="21260" xr:uid="{6EB68073-3ADC-4767-8818-FB8DEB425C75}"/>
    <cellStyle name="Normal 4 2 4 2 5 2 5" xfId="29707" xr:uid="{BBE45797-7B17-485B-994D-7D9F3EF0B80C}"/>
    <cellStyle name="Normal 4 2 4 2 5 3" xfId="5559" xr:uid="{00000000-0005-0000-0000-000071130000}"/>
    <cellStyle name="Normal 4 2 4 2 5 3 2" xfId="14885" xr:uid="{6B7166F3-C2A4-40D8-9DA5-CF51D173C176}"/>
    <cellStyle name="Normal 4 2 4 2 5 3 3" xfId="23332" xr:uid="{B35FE2BF-15D2-4AAA-8E63-5EDB7BD98919}"/>
    <cellStyle name="Normal 4 2 4 2 5 3 4" xfId="31779" xr:uid="{36D31736-0CB6-4760-BDA7-959C3AB65CE8}"/>
    <cellStyle name="Normal 4 2 4 2 5 4" xfId="10668" xr:uid="{02E0D0DA-BC93-409E-9862-C274EC0BE1C2}"/>
    <cellStyle name="Normal 4 2 4 2 5 5" xfId="19115" xr:uid="{5DFA5BFB-4589-4FBF-A9D4-62AED6F9AAC2}"/>
    <cellStyle name="Normal 4 2 4 2 5 6" xfId="27562" xr:uid="{9A3F7486-0748-4BB6-BB35-FFD9532F8995}"/>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17443" xr:uid="{FE7ACF0E-5DB5-40DB-AB9D-A1677C59C42E}"/>
    <cellStyle name="Normal 4 2 4 2 6 2 2 3" xfId="25890" xr:uid="{3DF86A54-C6B9-4F8F-903F-A21A166F05F2}"/>
    <cellStyle name="Normal 4 2 4 2 6 2 2 4" xfId="34337" xr:uid="{E220F0C7-D784-4464-819E-A6D1C41A181B}"/>
    <cellStyle name="Normal 4 2 4 2 6 2 3" xfId="13226" xr:uid="{4BCAC9BD-5301-491F-8451-7FE31EB22C54}"/>
    <cellStyle name="Normal 4 2 4 2 6 2 4" xfId="21673" xr:uid="{E98FB72A-B88C-43ED-A62F-26268734B335}"/>
    <cellStyle name="Normal 4 2 4 2 6 2 5" xfId="30120" xr:uid="{E3496271-47AC-4078-A7C7-201CF0075694}"/>
    <cellStyle name="Normal 4 2 4 2 6 3" xfId="5972" xr:uid="{00000000-0005-0000-0000-000075130000}"/>
    <cellStyle name="Normal 4 2 4 2 6 3 2" xfId="15298" xr:uid="{CD6F13A3-47E4-43E8-84C4-E43EA4E87D2F}"/>
    <cellStyle name="Normal 4 2 4 2 6 3 3" xfId="23745" xr:uid="{E13645DB-DC63-4DEC-A55A-1AD96F8B68B2}"/>
    <cellStyle name="Normal 4 2 4 2 6 3 4" xfId="32192" xr:uid="{9B59CF93-C8F0-403F-815F-27BA8FAACEDD}"/>
    <cellStyle name="Normal 4 2 4 2 6 4" xfId="11081" xr:uid="{7166F030-E98B-45C7-ABF8-2B331AE27045}"/>
    <cellStyle name="Normal 4 2 4 2 6 5" xfId="19528" xr:uid="{54A6203C-66D7-4EEF-9DFB-0A198BFC22EC}"/>
    <cellStyle name="Normal 4 2 4 2 6 6" xfId="27975" xr:uid="{5A16B192-B2CF-4A96-93ED-06B5D5AAD357}"/>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17856" xr:uid="{883E1BCD-E3F5-42E7-A191-429E7A476293}"/>
    <cellStyle name="Normal 4 2 4 2 7 2 2 3" xfId="26303" xr:uid="{EAD93E91-81A2-41C0-8F52-0EC645CA6EB5}"/>
    <cellStyle name="Normal 4 2 4 2 7 2 2 4" xfId="34750" xr:uid="{7DF50C75-31A5-4215-9FC0-F6899324A0B1}"/>
    <cellStyle name="Normal 4 2 4 2 7 2 3" xfId="13639" xr:uid="{7EA83075-E447-42D7-9DC4-38829A053EDE}"/>
    <cellStyle name="Normal 4 2 4 2 7 2 4" xfId="22086" xr:uid="{CE8175AB-7F1F-42AF-BF8B-4F0C920A2048}"/>
    <cellStyle name="Normal 4 2 4 2 7 2 5" xfId="30533" xr:uid="{FBAEF9F3-F6EE-4C43-846F-D2C0ED64360D}"/>
    <cellStyle name="Normal 4 2 4 2 7 3" xfId="6385" xr:uid="{00000000-0005-0000-0000-000079130000}"/>
    <cellStyle name="Normal 4 2 4 2 7 3 2" xfId="15711" xr:uid="{0AD0C015-B84B-4834-BE44-2DE2BC9F7F82}"/>
    <cellStyle name="Normal 4 2 4 2 7 3 3" xfId="24158" xr:uid="{59373680-856B-4677-B59A-97A67C41F9FA}"/>
    <cellStyle name="Normal 4 2 4 2 7 3 4" xfId="32605" xr:uid="{C88EDF74-6C5F-4FAF-96E1-B46782D42B4A}"/>
    <cellStyle name="Normal 4 2 4 2 7 4" xfId="11494" xr:uid="{3DC42F2D-BB45-483A-BEBE-53D985162C25}"/>
    <cellStyle name="Normal 4 2 4 2 7 5" xfId="19941" xr:uid="{434C4772-D9BE-48BC-8918-E3B9A32C07E1}"/>
    <cellStyle name="Normal 4 2 4 2 7 6" xfId="28388" xr:uid="{F9FC995A-63ED-4612-B50B-7B3268A11882}"/>
    <cellStyle name="Normal 4 2 4 2 8" xfId="2515" xr:uid="{00000000-0005-0000-0000-00007A130000}"/>
    <cellStyle name="Normal 4 2 4 2 8 2" xfId="6798" xr:uid="{00000000-0005-0000-0000-00007B130000}"/>
    <cellStyle name="Normal 4 2 4 2 8 2 2" xfId="16124" xr:uid="{574C6441-499E-4F4B-9AA1-C95619AC0090}"/>
    <cellStyle name="Normal 4 2 4 2 8 2 3" xfId="24571" xr:uid="{0B0819CE-6795-4C24-B2EC-F754281C35B1}"/>
    <cellStyle name="Normal 4 2 4 2 8 2 4" xfId="33018" xr:uid="{82FE0E2A-8B38-4D3B-A5CD-088F795893B2}"/>
    <cellStyle name="Normal 4 2 4 2 8 3" xfId="11907" xr:uid="{ED1F5F81-BCE4-4DD5-AC62-C4E6F2DFE4AD}"/>
    <cellStyle name="Normal 4 2 4 2 8 4" xfId="20354" xr:uid="{B1CCB04C-6C4E-4788-8A93-CC607795F90E}"/>
    <cellStyle name="Normal 4 2 4 2 8 5" xfId="28801" xr:uid="{91CCF096-9A6E-4C9D-B992-C5612744021D}"/>
    <cellStyle name="Normal 4 2 4 2 9" xfId="4733" xr:uid="{00000000-0005-0000-0000-00007C130000}"/>
    <cellStyle name="Normal 4 2 4 2 9 2" xfId="14059" xr:uid="{14D324C2-180A-47DB-B122-51C2CFBC23CE}"/>
    <cellStyle name="Normal 4 2 4 2 9 3" xfId="22506" xr:uid="{47C376D9-AE6F-42C7-A635-74C9510AFE51}"/>
    <cellStyle name="Normal 4 2 4 2 9 4" xfId="30953" xr:uid="{0DCCFD79-33C6-43AF-851C-CB26F844CB45}"/>
    <cellStyle name="Normal 4 2 4 3" xfId="360" xr:uid="{00000000-0005-0000-0000-00007D130000}"/>
    <cellStyle name="Normal 4 2 4 3 10" xfId="9846" xr:uid="{B38963A4-CF01-46E6-8D18-8A082B901351}"/>
    <cellStyle name="Normal 4 2 4 3 11" xfId="18293" xr:uid="{32C26E7E-B873-4346-9AC6-BF806806C6D3}"/>
    <cellStyle name="Normal 4 2 4 3 12" xfId="26740" xr:uid="{336E289D-BF83-4989-A1E1-9A46B38CD706}"/>
    <cellStyle name="Normal 4 2 4 3 2" xfId="361" xr:uid="{00000000-0005-0000-0000-00007E130000}"/>
    <cellStyle name="Normal 4 2 4 3 2 10" xfId="18294" xr:uid="{9D8EB8B2-6DFB-4636-99A8-ECC8C233CB1B}"/>
    <cellStyle name="Normal 4 2 4 3 2 11" xfId="26741" xr:uid="{A86F1E3C-8AE8-4954-B02C-0EF6DDEFB74F}"/>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16622" xr:uid="{201D01C0-C2BF-4939-96CC-E0784AFA89BF}"/>
    <cellStyle name="Normal 4 2 4 3 2 2 2 2 3" xfId="25069" xr:uid="{2FA02EBD-E900-4CA9-8B6F-11AE135C657A}"/>
    <cellStyle name="Normal 4 2 4 3 2 2 2 2 4" xfId="33516" xr:uid="{107655F3-6C96-45DD-B9D9-691469C27D1D}"/>
    <cellStyle name="Normal 4 2 4 3 2 2 2 3" xfId="12405" xr:uid="{C48F6507-BAAE-46F9-A870-064A25F53238}"/>
    <cellStyle name="Normal 4 2 4 3 2 2 2 4" xfId="20852" xr:uid="{1E3A5C12-C68D-4ED0-926B-C91F2B04DB47}"/>
    <cellStyle name="Normal 4 2 4 3 2 2 2 5" xfId="29299" xr:uid="{9D26E97D-24AE-468F-93ED-17C1D65156D7}"/>
    <cellStyle name="Normal 4 2 4 3 2 2 3" xfId="5151" xr:uid="{00000000-0005-0000-0000-000082130000}"/>
    <cellStyle name="Normal 4 2 4 3 2 2 3 2" xfId="14477" xr:uid="{413E47E0-1C1A-4EEA-A4D5-5786A74EE5AD}"/>
    <cellStyle name="Normal 4 2 4 3 2 2 3 3" xfId="22924" xr:uid="{08D8E61B-FFE9-4F20-8EA5-82F7020791EB}"/>
    <cellStyle name="Normal 4 2 4 3 2 2 3 4" xfId="31371" xr:uid="{28F697B1-A867-42BE-A6B1-9EC03421535F}"/>
    <cellStyle name="Normal 4 2 4 3 2 2 4" xfId="9510" xr:uid="{AA534F18-B7F5-44D9-AE7D-03E6DE45E4F9}"/>
    <cellStyle name="Normal 4 2 4 3 2 2 5" xfId="10260" xr:uid="{7D5DEE3C-49CD-4587-B11C-21F7D5359702}"/>
    <cellStyle name="Normal 4 2 4 3 2 2 6" xfId="18707" xr:uid="{28127005-CDA5-4CDE-BEC7-932B0C6BC634}"/>
    <cellStyle name="Normal 4 2 4 3 2 2 7" xfId="27154" xr:uid="{F8890CCA-41B6-47F9-B4C8-33406F8C7BBF}"/>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17035" xr:uid="{74CF52A8-C4E6-49FF-826C-55E1A98C4A0C}"/>
    <cellStyle name="Normal 4 2 4 3 2 3 2 2 3" xfId="25482" xr:uid="{B4ED6432-61B8-4FD2-898C-CCE35BFA7FEC}"/>
    <cellStyle name="Normal 4 2 4 3 2 3 2 2 4" xfId="33929" xr:uid="{463B64F2-C22A-4737-BC98-7C43D0DA3C70}"/>
    <cellStyle name="Normal 4 2 4 3 2 3 2 3" xfId="12818" xr:uid="{A8BDB73E-6FEF-4106-B5DF-936B8F44C25A}"/>
    <cellStyle name="Normal 4 2 4 3 2 3 2 4" xfId="21265" xr:uid="{D50EB32E-C1F2-4620-B2B5-D9420A633403}"/>
    <cellStyle name="Normal 4 2 4 3 2 3 2 5" xfId="29712" xr:uid="{FF5ADE46-27DA-4FEA-ABC0-73B0DE055283}"/>
    <cellStyle name="Normal 4 2 4 3 2 3 3" xfId="5564" xr:uid="{00000000-0005-0000-0000-000086130000}"/>
    <cellStyle name="Normal 4 2 4 3 2 3 3 2" xfId="14890" xr:uid="{77458802-DB31-4FF4-97E6-720043940753}"/>
    <cellStyle name="Normal 4 2 4 3 2 3 3 3" xfId="23337" xr:uid="{7FC5C3B2-D1A8-4C5E-B741-25F1E4DC827C}"/>
    <cellStyle name="Normal 4 2 4 3 2 3 3 4" xfId="31784" xr:uid="{28D69DB4-8FD8-4707-9239-8BF9217CB5F7}"/>
    <cellStyle name="Normal 4 2 4 3 2 3 4" xfId="10673" xr:uid="{2C28395D-0783-4264-BFE6-270791EB2AD9}"/>
    <cellStyle name="Normal 4 2 4 3 2 3 5" xfId="19120" xr:uid="{CB103AEC-8ABE-47A6-9211-926FB8227B5D}"/>
    <cellStyle name="Normal 4 2 4 3 2 3 6" xfId="27567" xr:uid="{D82FD88C-799F-43CB-B8E3-0802F52CBDAE}"/>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17448" xr:uid="{59149CB1-0C83-4008-A072-89CB5131C038}"/>
    <cellStyle name="Normal 4 2 4 3 2 4 2 2 3" xfId="25895" xr:uid="{09E77DA5-B10D-4817-86EA-CACBA17CD649}"/>
    <cellStyle name="Normal 4 2 4 3 2 4 2 2 4" xfId="34342" xr:uid="{E3B88CD5-17C6-4111-B395-FFAD4B89496A}"/>
    <cellStyle name="Normal 4 2 4 3 2 4 2 3" xfId="13231" xr:uid="{FB3AD5C8-D674-4380-ACDC-DFF8B55C0FDA}"/>
    <cellStyle name="Normal 4 2 4 3 2 4 2 4" xfId="21678" xr:uid="{24D1873E-B2F3-4FC1-A173-4905D84FD76F}"/>
    <cellStyle name="Normal 4 2 4 3 2 4 2 5" xfId="30125" xr:uid="{053A1302-DDF7-4C4D-87A9-2D74FD8C40CE}"/>
    <cellStyle name="Normal 4 2 4 3 2 4 3" xfId="5977" xr:uid="{00000000-0005-0000-0000-00008A130000}"/>
    <cellStyle name="Normal 4 2 4 3 2 4 3 2" xfId="15303" xr:uid="{307E4EA4-7D90-4C42-A0B8-FC8597C9152D}"/>
    <cellStyle name="Normal 4 2 4 3 2 4 3 3" xfId="23750" xr:uid="{F0F18A08-5562-4AF0-A66B-29E33FEF9D59}"/>
    <cellStyle name="Normal 4 2 4 3 2 4 3 4" xfId="32197" xr:uid="{CCA83B49-1E6E-47DF-A3F8-6BDB0909BAEA}"/>
    <cellStyle name="Normal 4 2 4 3 2 4 4" xfId="11086" xr:uid="{9EB338A9-259B-4F42-BFC3-CFD8F712B2BE}"/>
    <cellStyle name="Normal 4 2 4 3 2 4 5" xfId="19533" xr:uid="{0807D8F6-84B5-46D8-9806-D6F7D02B105C}"/>
    <cellStyle name="Normal 4 2 4 3 2 4 6" xfId="27980" xr:uid="{1C76144F-89E6-4B1D-9EC6-A4049147118C}"/>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17861" xr:uid="{CE1D47D3-24A2-4D26-98E5-49B6EC4E3846}"/>
    <cellStyle name="Normal 4 2 4 3 2 5 2 2 3" xfId="26308" xr:uid="{19F43824-37A5-4372-B914-86658EB2D986}"/>
    <cellStyle name="Normal 4 2 4 3 2 5 2 2 4" xfId="34755" xr:uid="{D2D350E3-5797-411E-9603-EFCE9BD7AB8E}"/>
    <cellStyle name="Normal 4 2 4 3 2 5 2 3" xfId="13644" xr:uid="{9000C6C1-6851-494B-A556-F4B3C693CDB3}"/>
    <cellStyle name="Normal 4 2 4 3 2 5 2 4" xfId="22091" xr:uid="{B1FEBFB8-C75A-4B4F-B8CD-C17A272626D3}"/>
    <cellStyle name="Normal 4 2 4 3 2 5 2 5" xfId="30538" xr:uid="{3A9857E3-A27E-43B9-9206-0AB18A09B168}"/>
    <cellStyle name="Normal 4 2 4 3 2 5 3" xfId="6390" xr:uid="{00000000-0005-0000-0000-00008E130000}"/>
    <cellStyle name="Normal 4 2 4 3 2 5 3 2" xfId="15716" xr:uid="{6FE344EE-14F6-4AE8-864E-322C735E36FB}"/>
    <cellStyle name="Normal 4 2 4 3 2 5 3 3" xfId="24163" xr:uid="{0365737B-A5C1-4FA0-95FC-84A487BB89F4}"/>
    <cellStyle name="Normal 4 2 4 3 2 5 3 4" xfId="32610" xr:uid="{641E4B56-17B4-4AF3-9E56-727AD0A9F0FC}"/>
    <cellStyle name="Normal 4 2 4 3 2 5 4" xfId="11499" xr:uid="{BCAC5C23-13FA-47AF-9F63-DC34D86D063F}"/>
    <cellStyle name="Normal 4 2 4 3 2 5 5" xfId="19946" xr:uid="{94D2E2BA-061D-4F87-AEDF-5A8B63568BA0}"/>
    <cellStyle name="Normal 4 2 4 3 2 5 6" xfId="28393" xr:uid="{3DE68104-AF82-47B2-8705-528B7FEDB464}"/>
    <cellStyle name="Normal 4 2 4 3 2 6" xfId="2520" xr:uid="{00000000-0005-0000-0000-00008F130000}"/>
    <cellStyle name="Normal 4 2 4 3 2 6 2" xfId="6803" xr:uid="{00000000-0005-0000-0000-000090130000}"/>
    <cellStyle name="Normal 4 2 4 3 2 6 2 2" xfId="16129" xr:uid="{32B19ABC-B479-47B4-9E4B-60AE46251046}"/>
    <cellStyle name="Normal 4 2 4 3 2 6 2 3" xfId="24576" xr:uid="{A67B4C4C-A0EF-4E85-95E2-52AA459FB8A2}"/>
    <cellStyle name="Normal 4 2 4 3 2 6 2 4" xfId="33023" xr:uid="{34FE3757-9D8F-4AC8-ADA1-F4E0D3906D0F}"/>
    <cellStyle name="Normal 4 2 4 3 2 6 3" xfId="11912" xr:uid="{A5C92E41-ADC8-4C69-8EE7-4F9E6C98A23A}"/>
    <cellStyle name="Normal 4 2 4 3 2 6 4" xfId="20359" xr:uid="{78FF2C74-4988-46C8-B2CD-122F9244FBE7}"/>
    <cellStyle name="Normal 4 2 4 3 2 6 5" xfId="28806" xr:uid="{1F5E8EF4-58A8-4CA2-81B8-9CFEB2B2548A}"/>
    <cellStyle name="Normal 4 2 4 3 2 7" xfId="4738" xr:uid="{00000000-0005-0000-0000-000091130000}"/>
    <cellStyle name="Normal 4 2 4 3 2 7 2" xfId="14064" xr:uid="{79FE6660-C119-47B1-9677-062AB255C900}"/>
    <cellStyle name="Normal 4 2 4 3 2 7 3" xfId="22511" xr:uid="{DC834578-D99F-4298-A060-D7237980EA67}"/>
    <cellStyle name="Normal 4 2 4 3 2 7 4" xfId="30958" xr:uid="{095521E7-586F-428F-B732-8BC1976EF6C2}"/>
    <cellStyle name="Normal 4 2 4 3 2 8" xfId="9085" xr:uid="{0181E53C-86DC-4588-8447-D559FCF01541}"/>
    <cellStyle name="Normal 4 2 4 3 2 9" xfId="9847" xr:uid="{51D2154D-C8B5-4481-9BEF-9F38AD3980BA}"/>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16621" xr:uid="{EFA3AD16-4F12-4A1F-A8CE-D4480C7D38D9}"/>
    <cellStyle name="Normal 4 2 4 3 3 2 2 3" xfId="25068" xr:uid="{EF49CCF9-1653-43FE-A975-F53ABCC1144F}"/>
    <cellStyle name="Normal 4 2 4 3 3 2 2 4" xfId="33515" xr:uid="{57A87D88-BF71-4565-A4DC-E978AD53124E}"/>
    <cellStyle name="Normal 4 2 4 3 3 2 3" xfId="12404" xr:uid="{FE1469DE-C65D-4A6B-9B87-D413005C9BD3}"/>
    <cellStyle name="Normal 4 2 4 3 3 2 4" xfId="20851" xr:uid="{F6D83ABD-ED5F-4B89-B357-B6DF28DC5C6B}"/>
    <cellStyle name="Normal 4 2 4 3 3 2 5" xfId="29298" xr:uid="{ED4E402D-76F7-4689-8D3F-DE73416F76D4}"/>
    <cellStyle name="Normal 4 2 4 3 3 3" xfId="5150" xr:uid="{00000000-0005-0000-0000-000095130000}"/>
    <cellStyle name="Normal 4 2 4 3 3 3 2" xfId="14476" xr:uid="{38D3853E-3381-4476-9D6E-CF5134EE137C}"/>
    <cellStyle name="Normal 4 2 4 3 3 3 3" xfId="22923" xr:uid="{414C0C38-AFE1-4524-B612-1BB1A8C9EE29}"/>
    <cellStyle name="Normal 4 2 4 3 3 3 4" xfId="31370" xr:uid="{F001072B-D5F4-4CFE-A0E8-74DC1A3FBD13}"/>
    <cellStyle name="Normal 4 2 4 3 3 4" xfId="9303" xr:uid="{51CE977A-E9B9-47DD-B6CE-3ECF34A578F1}"/>
    <cellStyle name="Normal 4 2 4 3 3 5" xfId="10259" xr:uid="{6E1917B4-4955-498B-B9BE-CA3289B6FE70}"/>
    <cellStyle name="Normal 4 2 4 3 3 6" xfId="18706" xr:uid="{1A19AAF9-3530-4D3A-B232-E244C20C4D45}"/>
    <cellStyle name="Normal 4 2 4 3 3 7" xfId="27153" xr:uid="{CCC63F0C-9425-48CA-92FC-E081A2676F87}"/>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17034" xr:uid="{3203F013-E22D-4334-8273-638110A950B3}"/>
    <cellStyle name="Normal 4 2 4 3 4 2 2 3" xfId="25481" xr:uid="{BB688B61-9FD1-40E3-8BCA-20FEC59D3DF4}"/>
    <cellStyle name="Normal 4 2 4 3 4 2 2 4" xfId="33928" xr:uid="{99005A13-3595-4C42-8BCB-9EB01B3B7B9D}"/>
    <cellStyle name="Normal 4 2 4 3 4 2 3" xfId="12817" xr:uid="{7BB16034-19ED-4E58-BA86-195F89C4CA56}"/>
    <cellStyle name="Normal 4 2 4 3 4 2 4" xfId="21264" xr:uid="{E853BAE5-FA61-46A3-A58F-B886DCBBE0D7}"/>
    <cellStyle name="Normal 4 2 4 3 4 2 5" xfId="29711" xr:uid="{364C0D52-CEE9-482D-BC9D-53D0A1BBA52A}"/>
    <cellStyle name="Normal 4 2 4 3 4 3" xfId="5563" xr:uid="{00000000-0005-0000-0000-000099130000}"/>
    <cellStyle name="Normal 4 2 4 3 4 3 2" xfId="14889" xr:uid="{A92C2C19-380C-4AEC-AB41-C20F8C5C3A5A}"/>
    <cellStyle name="Normal 4 2 4 3 4 3 3" xfId="23336" xr:uid="{CF38CD62-8600-45FB-A6A0-2E4E22E0A765}"/>
    <cellStyle name="Normal 4 2 4 3 4 3 4" xfId="31783" xr:uid="{0B2C26D7-89B1-42ED-9619-F100E0D89B48}"/>
    <cellStyle name="Normal 4 2 4 3 4 4" xfId="10672" xr:uid="{9A1C890E-9D6A-4654-8FDC-8B6C3F0870DE}"/>
    <cellStyle name="Normal 4 2 4 3 4 5" xfId="19119" xr:uid="{DF0E69BE-7C7E-4F97-B839-A0F784520258}"/>
    <cellStyle name="Normal 4 2 4 3 4 6" xfId="27566" xr:uid="{47B7D9EF-5E26-4042-A8BB-B55D86492510}"/>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17447" xr:uid="{FFE5C6BD-A1F2-4EB9-84E1-58687AA5622C}"/>
    <cellStyle name="Normal 4 2 4 3 5 2 2 3" xfId="25894" xr:uid="{8FB0F36C-CDA1-41B5-9175-CAEACB49D989}"/>
    <cellStyle name="Normal 4 2 4 3 5 2 2 4" xfId="34341" xr:uid="{50429552-6F8C-4E20-9D73-6E5CD10DF855}"/>
    <cellStyle name="Normal 4 2 4 3 5 2 3" xfId="13230" xr:uid="{DD71D00C-6A68-4B13-9B4C-266EE3CD0721}"/>
    <cellStyle name="Normal 4 2 4 3 5 2 4" xfId="21677" xr:uid="{807A9ED8-FF99-40F0-8F58-0FCFEABDF09A}"/>
    <cellStyle name="Normal 4 2 4 3 5 2 5" xfId="30124" xr:uid="{3B8A860A-DF56-4CAF-8C77-F995A5EB7BA5}"/>
    <cellStyle name="Normal 4 2 4 3 5 3" xfId="5976" xr:uid="{00000000-0005-0000-0000-00009D130000}"/>
    <cellStyle name="Normal 4 2 4 3 5 3 2" xfId="15302" xr:uid="{39695AC9-3ED3-406A-A816-DB9B5C3C2D85}"/>
    <cellStyle name="Normal 4 2 4 3 5 3 3" xfId="23749" xr:uid="{41226C40-F0D4-4D2C-93DC-311813961E13}"/>
    <cellStyle name="Normal 4 2 4 3 5 3 4" xfId="32196" xr:uid="{B9D54138-687D-4A95-9B89-8B2B0D88ABE4}"/>
    <cellStyle name="Normal 4 2 4 3 5 4" xfId="11085" xr:uid="{5B80551D-43D2-42B0-9464-8256DC7921A0}"/>
    <cellStyle name="Normal 4 2 4 3 5 5" xfId="19532" xr:uid="{81936D24-ADAA-4622-B1F3-EB7F281CF61C}"/>
    <cellStyle name="Normal 4 2 4 3 5 6" xfId="27979" xr:uid="{A15A6618-F636-46C4-A4C8-47C78BB10C5E}"/>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17860" xr:uid="{379D1185-AC67-4556-999A-74F9CB94D11D}"/>
    <cellStyle name="Normal 4 2 4 3 6 2 2 3" xfId="26307" xr:uid="{B5ABC1B5-67E5-4875-B86C-90D381B5943C}"/>
    <cellStyle name="Normal 4 2 4 3 6 2 2 4" xfId="34754" xr:uid="{FA44C7AC-3AC0-45E0-83B3-93AD3FA853E7}"/>
    <cellStyle name="Normal 4 2 4 3 6 2 3" xfId="13643" xr:uid="{09669393-7F9F-4436-94E5-A05D0FD0E798}"/>
    <cellStyle name="Normal 4 2 4 3 6 2 4" xfId="22090" xr:uid="{D26D4646-A213-49AA-9369-4523D73FD0C2}"/>
    <cellStyle name="Normal 4 2 4 3 6 2 5" xfId="30537" xr:uid="{E9F807E6-79B0-4852-9F6D-5C29A29E164A}"/>
    <cellStyle name="Normal 4 2 4 3 6 3" xfId="6389" xr:uid="{00000000-0005-0000-0000-0000A1130000}"/>
    <cellStyle name="Normal 4 2 4 3 6 3 2" xfId="15715" xr:uid="{2D01163E-6AE4-4444-B80E-EF2A4E7D2D66}"/>
    <cellStyle name="Normal 4 2 4 3 6 3 3" xfId="24162" xr:uid="{50B8B3EA-6D6C-4484-B935-64EEB445B63C}"/>
    <cellStyle name="Normal 4 2 4 3 6 3 4" xfId="32609" xr:uid="{ADDD7B37-87ED-48F6-BE4F-2AA2DD12E890}"/>
    <cellStyle name="Normal 4 2 4 3 6 4" xfId="11498" xr:uid="{69ACA603-A129-4572-9BF7-0D7DB8E42E8C}"/>
    <cellStyle name="Normal 4 2 4 3 6 5" xfId="19945" xr:uid="{35D953CF-7BEA-4B59-A603-7462762902A8}"/>
    <cellStyle name="Normal 4 2 4 3 6 6" xfId="28392" xr:uid="{05BD5417-C8A2-4482-A5BD-45F1198935A8}"/>
    <cellStyle name="Normal 4 2 4 3 7" xfId="2519" xr:uid="{00000000-0005-0000-0000-0000A2130000}"/>
    <cellStyle name="Normal 4 2 4 3 7 2" xfId="6802" xr:uid="{00000000-0005-0000-0000-0000A3130000}"/>
    <cellStyle name="Normal 4 2 4 3 7 2 2" xfId="16128" xr:uid="{2E55DB7C-700C-4B7D-A9FC-739644101726}"/>
    <cellStyle name="Normal 4 2 4 3 7 2 3" xfId="24575" xr:uid="{E1FA0AAC-3960-40B6-B8CC-77374518AE65}"/>
    <cellStyle name="Normal 4 2 4 3 7 2 4" xfId="33022" xr:uid="{3B24F18C-7F70-4008-BB52-11608DB4FF24}"/>
    <cellStyle name="Normal 4 2 4 3 7 3" xfId="11911" xr:uid="{4476DE55-D0D5-426B-9F1D-800F19FD21F5}"/>
    <cellStyle name="Normal 4 2 4 3 7 4" xfId="20358" xr:uid="{E3CB3CD0-40BA-49CA-AAA9-8CCABC30BDCD}"/>
    <cellStyle name="Normal 4 2 4 3 7 5" xfId="28805" xr:uid="{C3229029-6F33-4B63-B53C-CC3945EC3A67}"/>
    <cellStyle name="Normal 4 2 4 3 8" xfId="4737" xr:uid="{00000000-0005-0000-0000-0000A4130000}"/>
    <cellStyle name="Normal 4 2 4 3 8 2" xfId="14063" xr:uid="{A901D2FE-9E69-44D1-B8F4-5CB37AA91D9C}"/>
    <cellStyle name="Normal 4 2 4 3 8 3" xfId="22510" xr:uid="{827C9C0A-396F-4274-807C-F86EEE5F9E1F}"/>
    <cellStyle name="Normal 4 2 4 3 8 4" xfId="30957" xr:uid="{7DA1B592-A512-4678-8329-2AFF264A085D}"/>
    <cellStyle name="Normal 4 2 4 3 9" xfId="8878" xr:uid="{B73EE68A-BBFC-4E7A-B773-E14FCCFC8837}"/>
    <cellStyle name="Normal 4 2 4 4" xfId="362" xr:uid="{00000000-0005-0000-0000-0000A5130000}"/>
    <cellStyle name="Normal 4 2 4 4 10" xfId="18295" xr:uid="{7A3C3725-1154-4A3A-B1D4-49F11A4F4C79}"/>
    <cellStyle name="Normal 4 2 4 4 11" xfId="26742" xr:uid="{D8C3FEC0-8572-459E-B097-EA86C3335149}"/>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16623" xr:uid="{79EEAE1B-1D8B-4355-A38D-04D754FE6BA4}"/>
    <cellStyle name="Normal 4 2 4 4 2 2 2 3" xfId="25070" xr:uid="{7CFC72BF-69AA-4B54-A1D1-D83548EFFC25}"/>
    <cellStyle name="Normal 4 2 4 4 2 2 2 4" xfId="33517" xr:uid="{7C14A17A-61CD-4FA6-93CD-4D2480D8C981}"/>
    <cellStyle name="Normal 4 2 4 4 2 2 3" xfId="12406" xr:uid="{08C643C1-11B9-4AA4-93B0-95EE1FDD670C}"/>
    <cellStyle name="Normal 4 2 4 4 2 2 4" xfId="20853" xr:uid="{F1870D7A-C037-4B24-8574-67CFAA3E13E4}"/>
    <cellStyle name="Normal 4 2 4 4 2 2 5" xfId="29300" xr:uid="{D5803D31-6124-46FA-994A-57D704B8F83F}"/>
    <cellStyle name="Normal 4 2 4 4 2 3" xfId="5152" xr:uid="{00000000-0005-0000-0000-0000A9130000}"/>
    <cellStyle name="Normal 4 2 4 4 2 3 2" xfId="14478" xr:uid="{494D190A-6712-4B8C-91A7-E946BBC7F3A4}"/>
    <cellStyle name="Normal 4 2 4 4 2 3 3" xfId="22925" xr:uid="{F9BE11E5-92F7-448F-8B47-B254F1FAA152}"/>
    <cellStyle name="Normal 4 2 4 4 2 3 4" xfId="31372" xr:uid="{090217E5-BE3F-4B94-9308-7D470642C3D4}"/>
    <cellStyle name="Normal 4 2 4 4 2 4" xfId="9407" xr:uid="{5D8D6A7A-388E-41EC-80E9-28307FA015D6}"/>
    <cellStyle name="Normal 4 2 4 4 2 5" xfId="10261" xr:uid="{EB8A2091-8D1B-4438-9DE3-6D27C83F722D}"/>
    <cellStyle name="Normal 4 2 4 4 2 6" xfId="18708" xr:uid="{20816966-0708-46CC-AF59-6C352A5D16D2}"/>
    <cellStyle name="Normal 4 2 4 4 2 7" xfId="27155" xr:uid="{C6169B48-73A5-418E-A753-295ADAC31C47}"/>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17036" xr:uid="{AC075360-4F3B-4446-A1C3-7A223141438C}"/>
    <cellStyle name="Normal 4 2 4 4 3 2 2 3" xfId="25483" xr:uid="{DB401D2F-EC1E-4DB9-891F-F4E1BF198EED}"/>
    <cellStyle name="Normal 4 2 4 4 3 2 2 4" xfId="33930" xr:uid="{A3594448-CB2E-4EC0-9C07-2356FC8AD5C3}"/>
    <cellStyle name="Normal 4 2 4 4 3 2 3" xfId="12819" xr:uid="{2EC44252-A251-4F90-B7F2-FAC4E778D3FE}"/>
    <cellStyle name="Normal 4 2 4 4 3 2 4" xfId="21266" xr:uid="{6A3BF64B-EEEC-404D-85C9-B644693401A4}"/>
    <cellStyle name="Normal 4 2 4 4 3 2 5" xfId="29713" xr:uid="{86E7C2D7-81D8-4A37-BD1C-5103F0E8A427}"/>
    <cellStyle name="Normal 4 2 4 4 3 3" xfId="5565" xr:uid="{00000000-0005-0000-0000-0000AD130000}"/>
    <cellStyle name="Normal 4 2 4 4 3 3 2" xfId="14891" xr:uid="{BDC48D38-1302-40E3-B352-A76A173EC25E}"/>
    <cellStyle name="Normal 4 2 4 4 3 3 3" xfId="23338" xr:uid="{23633FE0-3151-466C-83DE-81F4EDC73B9A}"/>
    <cellStyle name="Normal 4 2 4 4 3 3 4" xfId="31785" xr:uid="{D804A80C-0037-4FDB-8B90-539FFC5483D3}"/>
    <cellStyle name="Normal 4 2 4 4 3 4" xfId="10674" xr:uid="{AE56C64F-DFE0-4087-8660-7B27AB653532}"/>
    <cellStyle name="Normal 4 2 4 4 3 5" xfId="19121" xr:uid="{3B1D3892-51C8-49AE-B87A-88BD37361CB6}"/>
    <cellStyle name="Normal 4 2 4 4 3 6" xfId="27568" xr:uid="{252C4769-97E1-4CC1-BE9D-ECE70A292923}"/>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17449" xr:uid="{06E3FCE7-EA03-4BB8-B55A-F43831040702}"/>
    <cellStyle name="Normal 4 2 4 4 4 2 2 3" xfId="25896" xr:uid="{335AE094-21D3-4013-B2C0-C65B1FE5A7C8}"/>
    <cellStyle name="Normal 4 2 4 4 4 2 2 4" xfId="34343" xr:uid="{D365B540-09E5-4EA4-A688-4CE828BDAB23}"/>
    <cellStyle name="Normal 4 2 4 4 4 2 3" xfId="13232" xr:uid="{E32EACC2-9B9C-4F98-BC46-BB55BF243EA1}"/>
    <cellStyle name="Normal 4 2 4 4 4 2 4" xfId="21679" xr:uid="{9BBDA891-6B74-4EE2-BB7E-D6D97A71C3F2}"/>
    <cellStyle name="Normal 4 2 4 4 4 2 5" xfId="30126" xr:uid="{7E953485-A6F9-4E17-A9BC-C68B799017F6}"/>
    <cellStyle name="Normal 4 2 4 4 4 3" xfId="5978" xr:uid="{00000000-0005-0000-0000-0000B1130000}"/>
    <cellStyle name="Normal 4 2 4 4 4 3 2" xfId="15304" xr:uid="{2D286062-131D-41E2-A792-A35F2A536934}"/>
    <cellStyle name="Normal 4 2 4 4 4 3 3" xfId="23751" xr:uid="{987D1273-8D30-4DC2-B128-7C902D4DC152}"/>
    <cellStyle name="Normal 4 2 4 4 4 3 4" xfId="32198" xr:uid="{7ABCA387-2371-458F-9685-70B0A2CA770C}"/>
    <cellStyle name="Normal 4 2 4 4 4 4" xfId="11087" xr:uid="{21F3CC13-C9FD-4410-B77C-9E647574C275}"/>
    <cellStyle name="Normal 4 2 4 4 4 5" xfId="19534" xr:uid="{9296C2A9-9BFA-46C6-9EAF-9576BD71E1F9}"/>
    <cellStyle name="Normal 4 2 4 4 4 6" xfId="27981" xr:uid="{6A5BA0A1-A81E-42A5-B273-04592AAE16BB}"/>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17862" xr:uid="{487D7FE2-F56E-4F64-A779-29E292F74ECC}"/>
    <cellStyle name="Normal 4 2 4 4 5 2 2 3" xfId="26309" xr:uid="{88C189EA-5289-4F45-B6D7-23BD1824068B}"/>
    <cellStyle name="Normal 4 2 4 4 5 2 2 4" xfId="34756" xr:uid="{10948C1D-26A1-49D9-BF92-97523240F5E4}"/>
    <cellStyle name="Normal 4 2 4 4 5 2 3" xfId="13645" xr:uid="{C4479D16-191F-4ADE-9208-1296C32E36E3}"/>
    <cellStyle name="Normal 4 2 4 4 5 2 4" xfId="22092" xr:uid="{60349166-A82E-46CF-A5E6-B2D117200CDE}"/>
    <cellStyle name="Normal 4 2 4 4 5 2 5" xfId="30539" xr:uid="{656120DD-3D1C-45AE-9660-FBD74E759F77}"/>
    <cellStyle name="Normal 4 2 4 4 5 3" xfId="6391" xr:uid="{00000000-0005-0000-0000-0000B5130000}"/>
    <cellStyle name="Normal 4 2 4 4 5 3 2" xfId="15717" xr:uid="{F74EBB0E-3460-4918-9C02-EB37AB51D31F}"/>
    <cellStyle name="Normal 4 2 4 4 5 3 3" xfId="24164" xr:uid="{4A2C58C6-028A-4491-8A71-5E5479F55DAD}"/>
    <cellStyle name="Normal 4 2 4 4 5 3 4" xfId="32611" xr:uid="{86A20869-4804-4E74-BFF1-E82CC288DFE0}"/>
    <cellStyle name="Normal 4 2 4 4 5 4" xfId="11500" xr:uid="{7650EA2B-4F6A-475C-8F74-3BAAD4DEAD32}"/>
    <cellStyle name="Normal 4 2 4 4 5 5" xfId="19947" xr:uid="{B8E80363-7953-4292-A5F1-14181F65BD17}"/>
    <cellStyle name="Normal 4 2 4 4 5 6" xfId="28394" xr:uid="{0436FEE9-2607-4483-987F-26171987C380}"/>
    <cellStyle name="Normal 4 2 4 4 6" xfId="2521" xr:uid="{00000000-0005-0000-0000-0000B6130000}"/>
    <cellStyle name="Normal 4 2 4 4 6 2" xfId="6804" xr:uid="{00000000-0005-0000-0000-0000B7130000}"/>
    <cellStyle name="Normal 4 2 4 4 6 2 2" xfId="16130" xr:uid="{C6979D36-684E-4A38-89FD-132BE40ACCDA}"/>
    <cellStyle name="Normal 4 2 4 4 6 2 3" xfId="24577" xr:uid="{C1F42696-A27F-43F9-8F9C-2991A90F9F3F}"/>
    <cellStyle name="Normal 4 2 4 4 6 2 4" xfId="33024" xr:uid="{8EA49028-971A-4AA5-8948-72EA5A968946}"/>
    <cellStyle name="Normal 4 2 4 4 6 3" xfId="11913" xr:uid="{2AFB1491-5359-45A0-969D-791E03F47F46}"/>
    <cellStyle name="Normal 4 2 4 4 6 4" xfId="20360" xr:uid="{D602C74C-DEAE-475B-BBF6-3D82CC30F16B}"/>
    <cellStyle name="Normal 4 2 4 4 6 5" xfId="28807" xr:uid="{DEEDD700-A6B7-4208-AF46-61D3DD5871F4}"/>
    <cellStyle name="Normal 4 2 4 4 7" xfId="4739" xr:uid="{00000000-0005-0000-0000-0000B8130000}"/>
    <cellStyle name="Normal 4 2 4 4 7 2" xfId="14065" xr:uid="{E116187D-B918-4B44-914B-C929F68E6089}"/>
    <cellStyle name="Normal 4 2 4 4 7 3" xfId="22512" xr:uid="{758F1786-0EB2-4866-91E7-CB20DD4BC344}"/>
    <cellStyle name="Normal 4 2 4 4 7 4" xfId="30959" xr:uid="{7C64FEF4-27BE-42F5-A3C0-A53BEDEAF4C7}"/>
    <cellStyle name="Normal 4 2 4 4 8" xfId="8982" xr:uid="{4C273C9B-E12E-4EF2-812F-666600229207}"/>
    <cellStyle name="Normal 4 2 4 4 9" xfId="9848" xr:uid="{FC7D9BD3-34F9-47DE-B939-3215FD195DB8}"/>
    <cellStyle name="Normal 4 2 4 5" xfId="831" xr:uid="{00000000-0005-0000-0000-0000B9130000}"/>
    <cellStyle name="Normal 4 2 4 5 2" xfId="3068" xr:uid="{00000000-0005-0000-0000-0000BA130000}"/>
    <cellStyle name="Normal 4 2 4 5 2 2" xfId="7290" xr:uid="{00000000-0005-0000-0000-0000BB130000}"/>
    <cellStyle name="Normal 4 2 4 5 2 2 2" xfId="16616" xr:uid="{67D3C484-4B82-4E15-AEDE-21908E3C4D48}"/>
    <cellStyle name="Normal 4 2 4 5 2 2 3" xfId="25063" xr:uid="{C58BC215-501A-4F7E-A9C2-39353E054E94}"/>
    <cellStyle name="Normal 4 2 4 5 2 2 4" xfId="33510" xr:uid="{E8C3F7E9-98CD-4DE8-AC2B-27878BB902E5}"/>
    <cellStyle name="Normal 4 2 4 5 2 3" xfId="12399" xr:uid="{6A9A0C70-AEC1-414F-90BB-1ABFA96CDAC7}"/>
    <cellStyle name="Normal 4 2 4 5 2 4" xfId="20846" xr:uid="{359574C5-FC9A-4D2A-8A29-4E66875D17EB}"/>
    <cellStyle name="Normal 4 2 4 5 2 5" xfId="29293" xr:uid="{3010A019-0750-41BB-8098-E51A7801A695}"/>
    <cellStyle name="Normal 4 2 4 5 3" xfId="5145" xr:uid="{00000000-0005-0000-0000-0000BC130000}"/>
    <cellStyle name="Normal 4 2 4 5 3 2" xfId="14471" xr:uid="{FBE90A1A-016E-46FC-A804-07832EE4F706}"/>
    <cellStyle name="Normal 4 2 4 5 3 3" xfId="22918" xr:uid="{F2F90FCD-E306-4FB1-ABFA-6DD16287754B}"/>
    <cellStyle name="Normal 4 2 4 5 3 4" xfId="31365" xr:uid="{1CE6E1B0-64B4-4380-A221-D8119B2057FA}"/>
    <cellStyle name="Normal 4 2 4 5 4" xfId="9199" xr:uid="{1A9A2DC3-2FEA-4A30-A92C-84708E9B2741}"/>
    <cellStyle name="Normal 4 2 4 5 5" xfId="10254" xr:uid="{11A5728D-54F9-449C-BE65-D88E308C778A}"/>
    <cellStyle name="Normal 4 2 4 5 6" xfId="18701" xr:uid="{69A279EA-8195-487F-9474-934581D4706D}"/>
    <cellStyle name="Normal 4 2 4 5 7" xfId="27148" xr:uid="{E174A4A4-4FDA-46B7-8A8A-EF7949AFA531}"/>
    <cellStyle name="Normal 4 2 4 6" xfId="1251" xr:uid="{00000000-0005-0000-0000-0000BD130000}"/>
    <cellStyle name="Normal 4 2 4 6 2" xfId="3481" xr:uid="{00000000-0005-0000-0000-0000BE130000}"/>
    <cellStyle name="Normal 4 2 4 6 2 2" xfId="7703" xr:uid="{00000000-0005-0000-0000-0000BF130000}"/>
    <cellStyle name="Normal 4 2 4 6 2 2 2" xfId="17029" xr:uid="{44C74930-885E-487F-836D-E5B05A3C25AF}"/>
    <cellStyle name="Normal 4 2 4 6 2 2 3" xfId="25476" xr:uid="{71FCBC23-78BB-4A88-83D9-C7BA50B94383}"/>
    <cellStyle name="Normal 4 2 4 6 2 2 4" xfId="33923" xr:uid="{B09C96C4-00D4-4C51-94CE-3D878084E4F1}"/>
    <cellStyle name="Normal 4 2 4 6 2 3" xfId="12812" xr:uid="{200DF7A6-C02C-4A5F-B623-A8B4B9354941}"/>
    <cellStyle name="Normal 4 2 4 6 2 4" xfId="21259" xr:uid="{BD60B1B9-C05D-40EE-892B-B3FFD9B49EC6}"/>
    <cellStyle name="Normal 4 2 4 6 2 5" xfId="29706" xr:uid="{01A12205-2348-4800-9BB5-C6381A84BB2F}"/>
    <cellStyle name="Normal 4 2 4 6 3" xfId="5558" xr:uid="{00000000-0005-0000-0000-0000C0130000}"/>
    <cellStyle name="Normal 4 2 4 6 3 2" xfId="14884" xr:uid="{60CB629B-DF72-40BA-A87B-170FFA78DCDE}"/>
    <cellStyle name="Normal 4 2 4 6 3 3" xfId="23331" xr:uid="{E2800BF7-0D36-4CAF-8C55-1D242773A58F}"/>
    <cellStyle name="Normal 4 2 4 6 3 4" xfId="31778" xr:uid="{1524A723-8852-42E9-9913-2968DFB6341D}"/>
    <cellStyle name="Normal 4 2 4 6 4" xfId="10667" xr:uid="{28D9382F-9542-498C-A6E2-48DD6EA6906D}"/>
    <cellStyle name="Normal 4 2 4 6 5" xfId="19114" xr:uid="{8AA00A88-8226-41C0-9E60-F399C09D02AE}"/>
    <cellStyle name="Normal 4 2 4 6 6" xfId="27561" xr:uid="{577D6AF0-7DC3-4215-A001-4294D4E99D61}"/>
    <cellStyle name="Normal 4 2 4 7" xfId="1664" xr:uid="{00000000-0005-0000-0000-0000C1130000}"/>
    <cellStyle name="Normal 4 2 4 7 2" xfId="3894" xr:uid="{00000000-0005-0000-0000-0000C2130000}"/>
    <cellStyle name="Normal 4 2 4 7 2 2" xfId="8116" xr:uid="{00000000-0005-0000-0000-0000C3130000}"/>
    <cellStyle name="Normal 4 2 4 7 2 2 2" xfId="17442" xr:uid="{225C1C37-A94F-4CFD-9682-519880E3B61B}"/>
    <cellStyle name="Normal 4 2 4 7 2 2 3" xfId="25889" xr:uid="{E1EAD172-9A25-4042-B8C2-390484C2DB21}"/>
    <cellStyle name="Normal 4 2 4 7 2 2 4" xfId="34336" xr:uid="{A10ABAE6-2C36-493D-971A-8A9055C1D167}"/>
    <cellStyle name="Normal 4 2 4 7 2 3" xfId="13225" xr:uid="{7A4A22D4-298F-4B50-8696-9B55C8623946}"/>
    <cellStyle name="Normal 4 2 4 7 2 4" xfId="21672" xr:uid="{C2E80333-D74E-46DB-9D24-4727BCFA6D7E}"/>
    <cellStyle name="Normal 4 2 4 7 2 5" xfId="30119" xr:uid="{0D15972D-B497-445F-AAB9-4FA195EE2E3C}"/>
    <cellStyle name="Normal 4 2 4 7 3" xfId="5971" xr:uid="{00000000-0005-0000-0000-0000C4130000}"/>
    <cellStyle name="Normal 4 2 4 7 3 2" xfId="15297" xr:uid="{70AD8D9B-1DA1-4F89-AFE1-CF4A48A152E7}"/>
    <cellStyle name="Normal 4 2 4 7 3 3" xfId="23744" xr:uid="{91B29D47-E6EF-4877-A710-B8BB003A0C62}"/>
    <cellStyle name="Normal 4 2 4 7 3 4" xfId="32191" xr:uid="{4817EEF1-F3EF-4003-87EC-D4468B33EA81}"/>
    <cellStyle name="Normal 4 2 4 7 4" xfId="11080" xr:uid="{939E0E8B-A476-4772-9DA8-211F21D79D56}"/>
    <cellStyle name="Normal 4 2 4 7 5" xfId="19527" xr:uid="{31D822BF-ADA6-4AA7-BC63-E332B0F98AB0}"/>
    <cellStyle name="Normal 4 2 4 7 6" xfId="27974" xr:uid="{8DAC6246-7A68-4C50-A81E-31F584F6ECAA}"/>
    <cellStyle name="Normal 4 2 4 8" xfId="2078" xr:uid="{00000000-0005-0000-0000-0000C5130000}"/>
    <cellStyle name="Normal 4 2 4 8 2" xfId="4307" xr:uid="{00000000-0005-0000-0000-0000C6130000}"/>
    <cellStyle name="Normal 4 2 4 8 2 2" xfId="8529" xr:uid="{00000000-0005-0000-0000-0000C7130000}"/>
    <cellStyle name="Normal 4 2 4 8 2 2 2" xfId="17855" xr:uid="{A440AD8E-94AD-444C-93E3-36C75DF7B1C3}"/>
    <cellStyle name="Normal 4 2 4 8 2 2 3" xfId="26302" xr:uid="{3A19995B-91E8-4DFD-B2FF-C309EF92AA92}"/>
    <cellStyle name="Normal 4 2 4 8 2 2 4" xfId="34749" xr:uid="{2CED8814-93CD-4D59-BB2B-08C76CED64F2}"/>
    <cellStyle name="Normal 4 2 4 8 2 3" xfId="13638" xr:uid="{D98030D2-BDB1-4589-B228-928103193759}"/>
    <cellStyle name="Normal 4 2 4 8 2 4" xfId="22085" xr:uid="{F00F2270-9DBA-480E-BF5B-C2E5DDE39914}"/>
    <cellStyle name="Normal 4 2 4 8 2 5" xfId="30532" xr:uid="{F190B922-6C43-497E-A4E0-2616FB5C85DE}"/>
    <cellStyle name="Normal 4 2 4 8 3" xfId="6384" xr:uid="{00000000-0005-0000-0000-0000C8130000}"/>
    <cellStyle name="Normal 4 2 4 8 3 2" xfId="15710" xr:uid="{3EC373FB-00A6-45B7-B163-B43C540713D2}"/>
    <cellStyle name="Normal 4 2 4 8 3 3" xfId="24157" xr:uid="{AD4A922D-2E18-402D-BE4D-51B40F261C52}"/>
    <cellStyle name="Normal 4 2 4 8 3 4" xfId="32604" xr:uid="{029378E3-063E-42E1-9BF5-7FF7977DBE02}"/>
    <cellStyle name="Normal 4 2 4 8 4" xfId="11493" xr:uid="{A3A5023E-9042-4F01-911C-D9461FA5E94E}"/>
    <cellStyle name="Normal 4 2 4 8 5" xfId="19940" xr:uid="{8784C436-7DFE-4690-92AD-095754B669EA}"/>
    <cellStyle name="Normal 4 2 4 8 6" xfId="28387" xr:uid="{D9E2CFD6-4E2F-4B00-8F12-C2A20D989139}"/>
    <cellStyle name="Normal 4 2 4 9" xfId="2514" xr:uid="{00000000-0005-0000-0000-0000C9130000}"/>
    <cellStyle name="Normal 4 2 4 9 2" xfId="6797" xr:uid="{00000000-0005-0000-0000-0000CA130000}"/>
    <cellStyle name="Normal 4 2 4 9 2 2" xfId="16123" xr:uid="{9EAA80B2-86A6-4DCA-9FA2-51B1680189CE}"/>
    <cellStyle name="Normal 4 2 4 9 2 3" xfId="24570" xr:uid="{2CA80FD4-3CBC-4C30-8CA8-9FF04387E536}"/>
    <cellStyle name="Normal 4 2 4 9 2 4" xfId="33017" xr:uid="{A1CE1C61-2260-4D50-B281-C66418E263C2}"/>
    <cellStyle name="Normal 4 2 4 9 3" xfId="11906" xr:uid="{3513039E-B992-43BA-AA94-F3D6596FD1FA}"/>
    <cellStyle name="Normal 4 2 4 9 4" xfId="20353" xr:uid="{10181CDA-A007-45CF-8CBC-3E58E6BBCEB5}"/>
    <cellStyle name="Normal 4 2 4 9 5" xfId="28800" xr:uid="{EAD52592-C6D3-4C88-8A38-E4D948D2184B}"/>
    <cellStyle name="Normal 4 2 5" xfId="363" xr:uid="{00000000-0005-0000-0000-0000CB130000}"/>
    <cellStyle name="Normal 4 2 5 10" xfId="9849" xr:uid="{5EF5672F-7A19-43F6-9A67-8CB840EDE7EC}"/>
    <cellStyle name="Normal 4 2 5 11" xfId="18296" xr:uid="{775E195D-051E-4E5B-BC60-6A495AD23BC5}"/>
    <cellStyle name="Normal 4 2 5 12" xfId="26743" xr:uid="{E55793E4-022E-4097-80D2-933892ABA444}"/>
    <cellStyle name="Normal 4 2 5 2" xfId="364" xr:uid="{00000000-0005-0000-0000-0000CC130000}"/>
    <cellStyle name="Normal 4 2 5 2 10" xfId="18297" xr:uid="{A0713AA5-6E96-44AE-B844-91446585437E}"/>
    <cellStyle name="Normal 4 2 5 2 11" xfId="26744" xr:uid="{32F2DFA6-0696-492F-A7A9-FA8C4389CAED}"/>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16625" xr:uid="{43357985-3723-456F-A9E2-5BE07F9C63BE}"/>
    <cellStyle name="Normal 4 2 5 2 2 2 2 3" xfId="25072" xr:uid="{EB78DDE0-D586-4162-9AB8-1A8E46612C16}"/>
    <cellStyle name="Normal 4 2 5 2 2 2 2 4" xfId="33519" xr:uid="{38144802-DE1F-4899-9989-62C1A3F18E7A}"/>
    <cellStyle name="Normal 4 2 5 2 2 2 3" xfId="12408" xr:uid="{8995B4B4-2A7E-49B0-9D6C-6168E68934AA}"/>
    <cellStyle name="Normal 4 2 5 2 2 2 4" xfId="20855" xr:uid="{BFFA8752-EBF0-4376-A9B2-3BE371AED62F}"/>
    <cellStyle name="Normal 4 2 5 2 2 2 5" xfId="29302" xr:uid="{05D4FDC5-6568-4216-B884-FBF0ECC2058C}"/>
    <cellStyle name="Normal 4 2 5 2 2 3" xfId="5154" xr:uid="{00000000-0005-0000-0000-0000D0130000}"/>
    <cellStyle name="Normal 4 2 5 2 2 3 2" xfId="14480" xr:uid="{5F3B425F-B8C4-43FA-A332-F1069C844FAA}"/>
    <cellStyle name="Normal 4 2 5 2 2 3 3" xfId="22927" xr:uid="{E7F6E137-3562-4B5B-A198-EC5E0C60DA82}"/>
    <cellStyle name="Normal 4 2 5 2 2 3 4" xfId="31374" xr:uid="{837E9580-24DE-4D63-A895-C95E77FD7984}"/>
    <cellStyle name="Normal 4 2 5 2 2 4" xfId="9478" xr:uid="{9FEAEEC2-067D-4244-BB0F-0858128140EB}"/>
    <cellStyle name="Normal 4 2 5 2 2 5" xfId="10263" xr:uid="{5B634C55-6287-4C69-A111-6F5F8D341D87}"/>
    <cellStyle name="Normal 4 2 5 2 2 6" xfId="18710" xr:uid="{585E15CA-D31C-4AE4-AB0C-DA07EDFC4232}"/>
    <cellStyle name="Normal 4 2 5 2 2 7" xfId="27157" xr:uid="{104FA939-C36E-4D0D-A74E-4456FDDFF09D}"/>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17038" xr:uid="{57557887-60E4-4285-A70B-8ADCEA4AA90B}"/>
    <cellStyle name="Normal 4 2 5 2 3 2 2 3" xfId="25485" xr:uid="{18BB1268-073E-4F0C-A740-C65BF04DBDD9}"/>
    <cellStyle name="Normal 4 2 5 2 3 2 2 4" xfId="33932" xr:uid="{CD37184C-AE3A-4AF8-B0B1-D3418496586F}"/>
    <cellStyle name="Normal 4 2 5 2 3 2 3" xfId="12821" xr:uid="{B797B807-E778-439B-BC4D-670B66FC07BE}"/>
    <cellStyle name="Normal 4 2 5 2 3 2 4" xfId="21268" xr:uid="{75B69935-8052-4502-B35C-E609B97BE780}"/>
    <cellStyle name="Normal 4 2 5 2 3 2 5" xfId="29715" xr:uid="{D183A879-8DF0-4E3A-98EB-FEDC0273ACA2}"/>
    <cellStyle name="Normal 4 2 5 2 3 3" xfId="5567" xr:uid="{00000000-0005-0000-0000-0000D4130000}"/>
    <cellStyle name="Normal 4 2 5 2 3 3 2" xfId="14893" xr:uid="{6201B9BD-3605-4F34-81AD-1FDAF62E6146}"/>
    <cellStyle name="Normal 4 2 5 2 3 3 3" xfId="23340" xr:uid="{E650E7FF-048D-40DA-896F-81257068B76E}"/>
    <cellStyle name="Normal 4 2 5 2 3 3 4" xfId="31787" xr:uid="{2562CF80-11C2-4DE8-8D1A-0CFE0FB884C7}"/>
    <cellStyle name="Normal 4 2 5 2 3 4" xfId="10676" xr:uid="{4A31601E-1532-4D64-9FFE-7D9A5C67B966}"/>
    <cellStyle name="Normal 4 2 5 2 3 5" xfId="19123" xr:uid="{3AB24278-9216-41DD-8DBD-6D5CE6042279}"/>
    <cellStyle name="Normal 4 2 5 2 3 6" xfId="27570" xr:uid="{54C5D69B-3DD4-4283-986F-51D70CAD38B6}"/>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17451" xr:uid="{AE674BBB-3567-402B-96E2-271E22287D84}"/>
    <cellStyle name="Normal 4 2 5 2 4 2 2 3" xfId="25898" xr:uid="{5225F748-C7DD-453C-A2B1-72CFA2BC7B68}"/>
    <cellStyle name="Normal 4 2 5 2 4 2 2 4" xfId="34345" xr:uid="{7D0F5BC9-F628-4E49-9789-3C69E69E3BA4}"/>
    <cellStyle name="Normal 4 2 5 2 4 2 3" xfId="13234" xr:uid="{EE9AC0D9-90AE-4AA6-972A-BE153283632E}"/>
    <cellStyle name="Normal 4 2 5 2 4 2 4" xfId="21681" xr:uid="{4ABB27FB-DAFA-41E5-B15E-6BC81BE66BFA}"/>
    <cellStyle name="Normal 4 2 5 2 4 2 5" xfId="30128" xr:uid="{382B6AF6-FB50-4BF1-B3DE-9ED86625B038}"/>
    <cellStyle name="Normal 4 2 5 2 4 3" xfId="5980" xr:uid="{00000000-0005-0000-0000-0000D8130000}"/>
    <cellStyle name="Normal 4 2 5 2 4 3 2" xfId="15306" xr:uid="{A6DE9025-878A-42F1-B91D-22170CBBCC79}"/>
    <cellStyle name="Normal 4 2 5 2 4 3 3" xfId="23753" xr:uid="{0D513B7E-278E-4C80-B1D0-F95BCF59BABC}"/>
    <cellStyle name="Normal 4 2 5 2 4 3 4" xfId="32200" xr:uid="{48EEB741-E751-47D6-AF2C-41C4947ED5A6}"/>
    <cellStyle name="Normal 4 2 5 2 4 4" xfId="11089" xr:uid="{C2A6A520-C6F0-4351-A5C3-0EBCE8EC7FD4}"/>
    <cellStyle name="Normal 4 2 5 2 4 5" xfId="19536" xr:uid="{C96277CA-45F7-4316-A642-CC6E87B44C45}"/>
    <cellStyle name="Normal 4 2 5 2 4 6" xfId="27983" xr:uid="{EEC2111C-3515-4CE7-8417-D7AA965C6981}"/>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17864" xr:uid="{C8526F9B-393C-434C-9696-140E17510F16}"/>
    <cellStyle name="Normal 4 2 5 2 5 2 2 3" xfId="26311" xr:uid="{0B74A1B2-A102-4D44-A4DD-8BDDB5A834B7}"/>
    <cellStyle name="Normal 4 2 5 2 5 2 2 4" xfId="34758" xr:uid="{11697568-8993-4B4A-941D-6A4226ECE658}"/>
    <cellStyle name="Normal 4 2 5 2 5 2 3" xfId="13647" xr:uid="{76BD9331-F810-4D65-935A-3C264C9F7EE6}"/>
    <cellStyle name="Normal 4 2 5 2 5 2 4" xfId="22094" xr:uid="{1912ED1B-F23A-476D-AF89-6B42211D4CBA}"/>
    <cellStyle name="Normal 4 2 5 2 5 2 5" xfId="30541" xr:uid="{5EC7AC11-C24C-4734-8C0D-D677615BF63E}"/>
    <cellStyle name="Normal 4 2 5 2 5 3" xfId="6393" xr:uid="{00000000-0005-0000-0000-0000DC130000}"/>
    <cellStyle name="Normal 4 2 5 2 5 3 2" xfId="15719" xr:uid="{A6506F6D-D8F2-44A0-9B2F-837E6A0F16E4}"/>
    <cellStyle name="Normal 4 2 5 2 5 3 3" xfId="24166" xr:uid="{3452B4B5-F387-49A1-8A58-8365FA1DD416}"/>
    <cellStyle name="Normal 4 2 5 2 5 3 4" xfId="32613" xr:uid="{C7FD24B9-B293-4D68-B24A-FD48ED4B8D72}"/>
    <cellStyle name="Normal 4 2 5 2 5 4" xfId="11502" xr:uid="{391E3B21-50E0-4DEF-B1C5-E0747D48F701}"/>
    <cellStyle name="Normal 4 2 5 2 5 5" xfId="19949" xr:uid="{01A1142E-1B71-4FE2-A970-4976959CC844}"/>
    <cellStyle name="Normal 4 2 5 2 5 6" xfId="28396" xr:uid="{1A52DF76-A730-4B79-B5F9-C6851D95EBEC}"/>
    <cellStyle name="Normal 4 2 5 2 6" xfId="2523" xr:uid="{00000000-0005-0000-0000-0000DD130000}"/>
    <cellStyle name="Normal 4 2 5 2 6 2" xfId="6806" xr:uid="{00000000-0005-0000-0000-0000DE130000}"/>
    <cellStyle name="Normal 4 2 5 2 6 2 2" xfId="16132" xr:uid="{01DD079F-B59B-484B-AFED-3158B5AE7D2D}"/>
    <cellStyle name="Normal 4 2 5 2 6 2 3" xfId="24579" xr:uid="{09B8DE98-2D57-4627-9DB2-E9BFB1A6D09E}"/>
    <cellStyle name="Normal 4 2 5 2 6 2 4" xfId="33026" xr:uid="{26D71BE3-CB96-4544-9E48-022A1CE28D50}"/>
    <cellStyle name="Normal 4 2 5 2 6 3" xfId="11915" xr:uid="{52A614A8-1E3A-45B6-8EE3-2D5B08D631B4}"/>
    <cellStyle name="Normal 4 2 5 2 6 4" xfId="20362" xr:uid="{2FAA8BF5-9361-47F8-BF68-D2ED31239445}"/>
    <cellStyle name="Normal 4 2 5 2 6 5" xfId="28809" xr:uid="{AE055940-83AF-4182-A1C4-F467C58A574E}"/>
    <cellStyle name="Normal 4 2 5 2 7" xfId="4741" xr:uid="{00000000-0005-0000-0000-0000DF130000}"/>
    <cellStyle name="Normal 4 2 5 2 7 2" xfId="14067" xr:uid="{6AE7E97A-7420-45B4-A68E-CA8332BAAD83}"/>
    <cellStyle name="Normal 4 2 5 2 7 3" xfId="22514" xr:uid="{1A6895B0-F4D3-429F-AA87-BEE0971BA25C}"/>
    <cellStyle name="Normal 4 2 5 2 7 4" xfId="30961" xr:uid="{38F8686D-3E1B-48DB-A663-ACC04AE38518}"/>
    <cellStyle name="Normal 4 2 5 2 8" xfId="9053" xr:uid="{0AE18A98-D9E6-47B9-86B0-DDAD3BC77B48}"/>
    <cellStyle name="Normal 4 2 5 2 9" xfId="9850" xr:uid="{25104862-8C59-4F96-BA4E-77BF3AF079EB}"/>
    <cellStyle name="Normal 4 2 5 3" xfId="839" xr:uid="{00000000-0005-0000-0000-0000E0130000}"/>
    <cellStyle name="Normal 4 2 5 3 2" xfId="3076" xr:uid="{00000000-0005-0000-0000-0000E1130000}"/>
    <cellStyle name="Normal 4 2 5 3 2 2" xfId="7298" xr:uid="{00000000-0005-0000-0000-0000E2130000}"/>
    <cellStyle name="Normal 4 2 5 3 2 2 2" xfId="16624" xr:uid="{58AF931A-7B63-45C8-AE32-3DFE317E3E15}"/>
    <cellStyle name="Normal 4 2 5 3 2 2 3" xfId="25071" xr:uid="{A3CF68A8-17CC-4092-B173-3C6C0F6A77F2}"/>
    <cellStyle name="Normal 4 2 5 3 2 2 4" xfId="33518" xr:uid="{C36D57D4-42C8-4C38-9B8A-20BAC0793F4E}"/>
    <cellStyle name="Normal 4 2 5 3 2 3" xfId="12407" xr:uid="{7212C746-A84D-483F-8018-50CB50A153F4}"/>
    <cellStyle name="Normal 4 2 5 3 2 4" xfId="20854" xr:uid="{62C4A374-A0A1-4058-AC00-A6E57A51E599}"/>
    <cellStyle name="Normal 4 2 5 3 2 5" xfId="29301" xr:uid="{99DE36BE-6762-43AE-9277-B20FDFC6F12B}"/>
    <cellStyle name="Normal 4 2 5 3 3" xfId="5153" xr:uid="{00000000-0005-0000-0000-0000E3130000}"/>
    <cellStyle name="Normal 4 2 5 3 3 2" xfId="14479" xr:uid="{F63BC97C-9411-4A61-AD3E-F2D0719FA59B}"/>
    <cellStyle name="Normal 4 2 5 3 3 3" xfId="22926" xr:uid="{561775DB-C799-4A41-B082-436B44EE7E99}"/>
    <cellStyle name="Normal 4 2 5 3 3 4" xfId="31373" xr:uid="{54F0BA1F-56D8-42A9-8CE4-2F613CBA6E03}"/>
    <cellStyle name="Normal 4 2 5 3 4" xfId="9271" xr:uid="{41AE7BB1-E3C7-48BD-B24F-55AE39E68BB6}"/>
    <cellStyle name="Normal 4 2 5 3 5" xfId="10262" xr:uid="{A0F432BA-AA53-417E-B47B-E5DDE40B0943}"/>
    <cellStyle name="Normal 4 2 5 3 6" xfId="18709" xr:uid="{3928BAFE-7AE3-4CB0-93F5-60CF63F22CF4}"/>
    <cellStyle name="Normal 4 2 5 3 7" xfId="27156" xr:uid="{D0E4F0E0-FF5C-404E-A1F0-C0A3F15A96B4}"/>
    <cellStyle name="Normal 4 2 5 4" xfId="1259" xr:uid="{00000000-0005-0000-0000-0000E4130000}"/>
    <cellStyle name="Normal 4 2 5 4 2" xfId="3489" xr:uid="{00000000-0005-0000-0000-0000E5130000}"/>
    <cellStyle name="Normal 4 2 5 4 2 2" xfId="7711" xr:uid="{00000000-0005-0000-0000-0000E6130000}"/>
    <cellStyle name="Normal 4 2 5 4 2 2 2" xfId="17037" xr:uid="{9DB51F5E-BF8D-4615-9BA3-040A4B691D42}"/>
    <cellStyle name="Normal 4 2 5 4 2 2 3" xfId="25484" xr:uid="{9E047029-5E44-4AFA-872F-30885DB97C1C}"/>
    <cellStyle name="Normal 4 2 5 4 2 2 4" xfId="33931" xr:uid="{6157F414-CFB8-4E99-B2C3-561A7C54A3CE}"/>
    <cellStyle name="Normal 4 2 5 4 2 3" xfId="12820" xr:uid="{EC685209-F714-476E-9F01-374AC39FC6E1}"/>
    <cellStyle name="Normal 4 2 5 4 2 4" xfId="21267" xr:uid="{B7E49329-85EF-446A-8199-CF21E8C1D8E3}"/>
    <cellStyle name="Normal 4 2 5 4 2 5" xfId="29714" xr:uid="{60F95E19-C0F1-49D2-8C76-6C7FD202713B}"/>
    <cellStyle name="Normal 4 2 5 4 3" xfId="5566" xr:uid="{00000000-0005-0000-0000-0000E7130000}"/>
    <cellStyle name="Normal 4 2 5 4 3 2" xfId="14892" xr:uid="{67220058-0066-4EF7-842D-5F653AB25385}"/>
    <cellStyle name="Normal 4 2 5 4 3 3" xfId="23339" xr:uid="{2457D176-6B29-454D-A309-83F43A4C7ABF}"/>
    <cellStyle name="Normal 4 2 5 4 3 4" xfId="31786" xr:uid="{E4886106-8039-4454-8B8D-487C00873444}"/>
    <cellStyle name="Normal 4 2 5 4 4" xfId="10675" xr:uid="{0DC0AFEC-F763-45C8-A16E-DD3A3744D491}"/>
    <cellStyle name="Normal 4 2 5 4 5" xfId="19122" xr:uid="{55D65843-B995-415B-B538-50B57120EDB2}"/>
    <cellStyle name="Normal 4 2 5 4 6" xfId="27569" xr:uid="{795C97F2-DDA0-4F7D-9F07-ECF0A604463F}"/>
    <cellStyle name="Normal 4 2 5 5" xfId="1672" xr:uid="{00000000-0005-0000-0000-0000E8130000}"/>
    <cellStyle name="Normal 4 2 5 5 2" xfId="3902" xr:uid="{00000000-0005-0000-0000-0000E9130000}"/>
    <cellStyle name="Normal 4 2 5 5 2 2" xfId="8124" xr:uid="{00000000-0005-0000-0000-0000EA130000}"/>
    <cellStyle name="Normal 4 2 5 5 2 2 2" xfId="17450" xr:uid="{AD4E8C9C-F466-4DCF-8779-B1CDFD784943}"/>
    <cellStyle name="Normal 4 2 5 5 2 2 3" xfId="25897" xr:uid="{74EA14F2-64E3-4D91-A5DE-CF5D78E954EA}"/>
    <cellStyle name="Normal 4 2 5 5 2 2 4" xfId="34344" xr:uid="{6A1DF60E-8BFC-4274-9A84-28C3DAB878CD}"/>
    <cellStyle name="Normal 4 2 5 5 2 3" xfId="13233" xr:uid="{FD7BCA05-3B6A-4592-B0E8-5799EFC569E0}"/>
    <cellStyle name="Normal 4 2 5 5 2 4" xfId="21680" xr:uid="{A79EBD7A-0C1D-41C8-A576-03986FA31CEB}"/>
    <cellStyle name="Normal 4 2 5 5 2 5" xfId="30127" xr:uid="{23C1158E-78BC-4362-9CA7-A571F30C8755}"/>
    <cellStyle name="Normal 4 2 5 5 3" xfId="5979" xr:uid="{00000000-0005-0000-0000-0000EB130000}"/>
    <cellStyle name="Normal 4 2 5 5 3 2" xfId="15305" xr:uid="{DD77C6AF-593A-45C7-B766-18F67CB435E8}"/>
    <cellStyle name="Normal 4 2 5 5 3 3" xfId="23752" xr:uid="{64C78443-DDD7-407E-8F0F-BCABA43834D9}"/>
    <cellStyle name="Normal 4 2 5 5 3 4" xfId="32199" xr:uid="{39A36C31-85DD-420D-AB45-79F704884E35}"/>
    <cellStyle name="Normal 4 2 5 5 4" xfId="11088" xr:uid="{58C5E2F4-801B-4D76-BE90-8738E1C210F0}"/>
    <cellStyle name="Normal 4 2 5 5 5" xfId="19535" xr:uid="{D610B75F-EE92-4A5B-9289-B2210DB665F2}"/>
    <cellStyle name="Normal 4 2 5 5 6" xfId="27982" xr:uid="{0084E6B1-F67C-44D3-B200-F396593C5AC5}"/>
    <cellStyle name="Normal 4 2 5 6" xfId="2086" xr:uid="{00000000-0005-0000-0000-0000EC130000}"/>
    <cellStyle name="Normal 4 2 5 6 2" xfId="4315" xr:uid="{00000000-0005-0000-0000-0000ED130000}"/>
    <cellStyle name="Normal 4 2 5 6 2 2" xfId="8537" xr:uid="{00000000-0005-0000-0000-0000EE130000}"/>
    <cellStyle name="Normal 4 2 5 6 2 2 2" xfId="17863" xr:uid="{84869BAA-2FC3-4561-99CB-044BFAF3A7D1}"/>
    <cellStyle name="Normal 4 2 5 6 2 2 3" xfId="26310" xr:uid="{037B0FEC-3D1D-445F-97F8-E0770DF73C33}"/>
    <cellStyle name="Normal 4 2 5 6 2 2 4" xfId="34757" xr:uid="{A832CC8F-7B08-4383-B094-76CD28F6F58C}"/>
    <cellStyle name="Normal 4 2 5 6 2 3" xfId="13646" xr:uid="{34B5BA50-892E-4432-8533-F5F33AE64675}"/>
    <cellStyle name="Normal 4 2 5 6 2 4" xfId="22093" xr:uid="{6BB0C967-EBF7-4FA4-A793-8E472DBB126E}"/>
    <cellStyle name="Normal 4 2 5 6 2 5" xfId="30540" xr:uid="{58315F00-9C21-4918-AE1B-440C4307AC01}"/>
    <cellStyle name="Normal 4 2 5 6 3" xfId="6392" xr:uid="{00000000-0005-0000-0000-0000EF130000}"/>
    <cellStyle name="Normal 4 2 5 6 3 2" xfId="15718" xr:uid="{03DB0D85-04EB-4C00-AA3E-217A1B5B33BD}"/>
    <cellStyle name="Normal 4 2 5 6 3 3" xfId="24165" xr:uid="{18EAF49F-F5D9-4690-8490-B962FF78EF21}"/>
    <cellStyle name="Normal 4 2 5 6 3 4" xfId="32612" xr:uid="{88ADB50F-005A-484F-BDC5-7915A4C38F72}"/>
    <cellStyle name="Normal 4 2 5 6 4" xfId="11501" xr:uid="{347D6EC3-39E5-4097-A90D-424A6DCB02DE}"/>
    <cellStyle name="Normal 4 2 5 6 5" xfId="19948" xr:uid="{6BBDC5AC-1814-476E-8341-558AC7824848}"/>
    <cellStyle name="Normal 4 2 5 6 6" xfId="28395" xr:uid="{971A842D-C5B7-4BAC-A082-269C36BD5B8B}"/>
    <cellStyle name="Normal 4 2 5 7" xfId="2522" xr:uid="{00000000-0005-0000-0000-0000F0130000}"/>
    <cellStyle name="Normal 4 2 5 7 2" xfId="6805" xr:uid="{00000000-0005-0000-0000-0000F1130000}"/>
    <cellStyle name="Normal 4 2 5 7 2 2" xfId="16131" xr:uid="{E8E0D922-F3A6-46DE-9668-5385CE307C4A}"/>
    <cellStyle name="Normal 4 2 5 7 2 3" xfId="24578" xr:uid="{FAFE9E19-ADFD-4A63-8B73-5484F7D2CD1D}"/>
    <cellStyle name="Normal 4 2 5 7 2 4" xfId="33025" xr:uid="{98EAF8C9-239A-41EB-8D05-343A807BB0FC}"/>
    <cellStyle name="Normal 4 2 5 7 3" xfId="11914" xr:uid="{20E0C6E6-4E27-4A06-9999-E40FEF1153E2}"/>
    <cellStyle name="Normal 4 2 5 7 4" xfId="20361" xr:uid="{175C9883-C3B8-41FB-AD7C-8E5DDEE23ED0}"/>
    <cellStyle name="Normal 4 2 5 7 5" xfId="28808" xr:uid="{D4AC8005-7B72-4D70-A170-A26DD056EC5B}"/>
    <cellStyle name="Normal 4 2 5 8" xfId="4740" xr:uid="{00000000-0005-0000-0000-0000F2130000}"/>
    <cellStyle name="Normal 4 2 5 8 2" xfId="14066" xr:uid="{D2A8C418-F253-4365-BC65-84ECF27FCADB}"/>
    <cellStyle name="Normal 4 2 5 8 3" xfId="22513" xr:uid="{908CB66F-307F-44EB-ADBF-D47605840B01}"/>
    <cellStyle name="Normal 4 2 5 8 4" xfId="30960" xr:uid="{0E303A11-828E-4E41-9FD4-AFD566CD281C}"/>
    <cellStyle name="Normal 4 2 5 9" xfId="8846" xr:uid="{C69C7E2D-02E8-4C87-9C63-A39D0E37A062}"/>
    <cellStyle name="Normal 4 2 6" xfId="365" xr:uid="{00000000-0005-0000-0000-0000F3130000}"/>
    <cellStyle name="Normal 4 2 6 10" xfId="18298" xr:uid="{E7442EA8-1A9C-47F8-81FC-00A2B8552A3E}"/>
    <cellStyle name="Normal 4 2 6 11" xfId="26745" xr:uid="{8095E38D-4AB2-4A93-B444-0391926807DC}"/>
    <cellStyle name="Normal 4 2 6 2" xfId="841" xr:uid="{00000000-0005-0000-0000-0000F4130000}"/>
    <cellStyle name="Normal 4 2 6 2 2" xfId="3078" xr:uid="{00000000-0005-0000-0000-0000F5130000}"/>
    <cellStyle name="Normal 4 2 6 2 2 2" xfId="7300" xr:uid="{00000000-0005-0000-0000-0000F6130000}"/>
    <cellStyle name="Normal 4 2 6 2 2 2 2" xfId="16626" xr:uid="{3091EEB6-9F5E-445E-901C-2206034B7F1A}"/>
    <cellStyle name="Normal 4 2 6 2 2 2 3" xfId="25073" xr:uid="{38B14942-46BA-4724-B574-F8A9D09CA759}"/>
    <cellStyle name="Normal 4 2 6 2 2 2 4" xfId="33520" xr:uid="{5385549F-DE89-4454-810D-112A14FF1F6D}"/>
    <cellStyle name="Normal 4 2 6 2 2 3" xfId="12409" xr:uid="{C75127D1-CBEB-485E-89D5-F2E6F352E94B}"/>
    <cellStyle name="Normal 4 2 6 2 2 4" xfId="20856" xr:uid="{8CAA966D-39E6-4CDE-B0D9-282A3312EC5E}"/>
    <cellStyle name="Normal 4 2 6 2 2 5" xfId="29303" xr:uid="{B06FE78B-AC5C-4F12-993D-CEB24A122A7B}"/>
    <cellStyle name="Normal 4 2 6 2 3" xfId="5155" xr:uid="{00000000-0005-0000-0000-0000F7130000}"/>
    <cellStyle name="Normal 4 2 6 2 3 2" xfId="14481" xr:uid="{693F9F15-D6AF-428E-8448-BBACFDCD0573}"/>
    <cellStyle name="Normal 4 2 6 2 3 3" xfId="22928" xr:uid="{CC1B15FA-7AC3-4BB7-B65E-356286EDA2A7}"/>
    <cellStyle name="Normal 4 2 6 2 3 4" xfId="31375" xr:uid="{86D6574C-B0C9-4A0D-866B-AB842BE044D7}"/>
    <cellStyle name="Normal 4 2 6 2 4" xfId="9387" xr:uid="{933EA8C7-37F7-4AF2-922A-47A5CB1A47BC}"/>
    <cellStyle name="Normal 4 2 6 2 5" xfId="10264" xr:uid="{956F281B-9EB0-45C9-8286-C39B69C006AC}"/>
    <cellStyle name="Normal 4 2 6 2 6" xfId="18711" xr:uid="{FC321465-20A9-4A37-BCA6-AF936B5FBBF2}"/>
    <cellStyle name="Normal 4 2 6 2 7" xfId="27158" xr:uid="{22C0DEA4-C781-425A-AF37-880A7227C130}"/>
    <cellStyle name="Normal 4 2 6 3" xfId="1261" xr:uid="{00000000-0005-0000-0000-0000F8130000}"/>
    <cellStyle name="Normal 4 2 6 3 2" xfId="3491" xr:uid="{00000000-0005-0000-0000-0000F9130000}"/>
    <cellStyle name="Normal 4 2 6 3 2 2" xfId="7713" xr:uid="{00000000-0005-0000-0000-0000FA130000}"/>
    <cellStyle name="Normal 4 2 6 3 2 2 2" xfId="17039" xr:uid="{BBEB5B04-101D-49EA-99C4-1D34571F2F71}"/>
    <cellStyle name="Normal 4 2 6 3 2 2 3" xfId="25486" xr:uid="{1AA147AF-C2AB-46BA-B3EE-FA0677E27A67}"/>
    <cellStyle name="Normal 4 2 6 3 2 2 4" xfId="33933" xr:uid="{DF84C730-5C1B-465B-8B19-BC295E5B59BF}"/>
    <cellStyle name="Normal 4 2 6 3 2 3" xfId="12822" xr:uid="{B45BE53A-415E-4C67-B39B-18F43F79BDBC}"/>
    <cellStyle name="Normal 4 2 6 3 2 4" xfId="21269" xr:uid="{2FF7E5CC-10D8-486D-8876-E5E72D5E96E7}"/>
    <cellStyle name="Normal 4 2 6 3 2 5" xfId="29716" xr:uid="{19861EBF-6B1C-422A-B3DF-C0530E050D83}"/>
    <cellStyle name="Normal 4 2 6 3 3" xfId="5568" xr:uid="{00000000-0005-0000-0000-0000FB130000}"/>
    <cellStyle name="Normal 4 2 6 3 3 2" xfId="14894" xr:uid="{EEE69B5E-F795-43CE-8C54-CC6609C29CD7}"/>
    <cellStyle name="Normal 4 2 6 3 3 3" xfId="23341" xr:uid="{98393CFB-7593-48EE-B4A2-4C88324A9FD3}"/>
    <cellStyle name="Normal 4 2 6 3 3 4" xfId="31788" xr:uid="{C1EA178E-1991-40BC-8AC3-4F5E3E85B446}"/>
    <cellStyle name="Normal 4 2 6 3 4" xfId="10677" xr:uid="{BFCA6051-313E-4728-A3DF-92E4438B07FF}"/>
    <cellStyle name="Normal 4 2 6 3 5" xfId="19124" xr:uid="{6A2E0D0F-5215-48EE-829D-067A3429EDAE}"/>
    <cellStyle name="Normal 4 2 6 3 6" xfId="27571" xr:uid="{F038A321-794A-4743-B9B6-EE1FB1BF263C}"/>
    <cellStyle name="Normal 4 2 6 4" xfId="1674" xr:uid="{00000000-0005-0000-0000-0000FC130000}"/>
    <cellStyle name="Normal 4 2 6 4 2" xfId="3904" xr:uid="{00000000-0005-0000-0000-0000FD130000}"/>
    <cellStyle name="Normal 4 2 6 4 2 2" xfId="8126" xr:uid="{00000000-0005-0000-0000-0000FE130000}"/>
    <cellStyle name="Normal 4 2 6 4 2 2 2" xfId="17452" xr:uid="{51D66C3C-C4CE-45BF-A19B-E667389AE97B}"/>
    <cellStyle name="Normal 4 2 6 4 2 2 3" xfId="25899" xr:uid="{32E979FA-235C-405F-BBBE-D0CBCDBE8952}"/>
    <cellStyle name="Normal 4 2 6 4 2 2 4" xfId="34346" xr:uid="{03CE7724-BC38-4F44-A4DC-3C93B11328CA}"/>
    <cellStyle name="Normal 4 2 6 4 2 3" xfId="13235" xr:uid="{6FC27D6B-8F5E-4727-81C5-F21D22B5957F}"/>
    <cellStyle name="Normal 4 2 6 4 2 4" xfId="21682" xr:uid="{21A38774-FE46-4F10-AA29-7E6FB810C0C8}"/>
    <cellStyle name="Normal 4 2 6 4 2 5" xfId="30129" xr:uid="{042A5017-EE2B-4BAC-8848-A8BD84A442EF}"/>
    <cellStyle name="Normal 4 2 6 4 3" xfId="5981" xr:uid="{00000000-0005-0000-0000-0000FF130000}"/>
    <cellStyle name="Normal 4 2 6 4 3 2" xfId="15307" xr:uid="{6D848974-9DAE-43FF-95BD-F452B7F15F54}"/>
    <cellStyle name="Normal 4 2 6 4 3 3" xfId="23754" xr:uid="{1BDAECD5-F4BE-4446-AE1E-2390FDDD38AA}"/>
    <cellStyle name="Normal 4 2 6 4 3 4" xfId="32201" xr:uid="{2B849524-A69A-413F-8AED-E97E94E4B96D}"/>
    <cellStyle name="Normal 4 2 6 4 4" xfId="11090" xr:uid="{0EF7E12F-1DE2-442D-BBA2-EC5EDEDA28EE}"/>
    <cellStyle name="Normal 4 2 6 4 5" xfId="19537" xr:uid="{76D59C5B-F1E9-4A0A-A027-0D9020B8ACBA}"/>
    <cellStyle name="Normal 4 2 6 4 6" xfId="27984" xr:uid="{F33E786D-6F84-436F-97C7-6C2837739EF6}"/>
    <cellStyle name="Normal 4 2 6 5" xfId="2088" xr:uid="{00000000-0005-0000-0000-000000140000}"/>
    <cellStyle name="Normal 4 2 6 5 2" xfId="4317" xr:uid="{00000000-0005-0000-0000-000001140000}"/>
    <cellStyle name="Normal 4 2 6 5 2 2" xfId="8539" xr:uid="{00000000-0005-0000-0000-000002140000}"/>
    <cellStyle name="Normal 4 2 6 5 2 2 2" xfId="17865" xr:uid="{C30A5412-317B-4928-9BA3-276C4779086B}"/>
    <cellStyle name="Normal 4 2 6 5 2 2 3" xfId="26312" xr:uid="{DD4A5540-6C85-4CCD-A733-EC543601C7EB}"/>
    <cellStyle name="Normal 4 2 6 5 2 2 4" xfId="34759" xr:uid="{C54F399C-5AAA-4C5E-A1C8-C85F6AE6C285}"/>
    <cellStyle name="Normal 4 2 6 5 2 3" xfId="13648" xr:uid="{7569B1EA-7DA5-491C-B03A-8076AF469D90}"/>
    <cellStyle name="Normal 4 2 6 5 2 4" xfId="22095" xr:uid="{9877B096-0E2A-4D0F-AEF7-851B62CF44EE}"/>
    <cellStyle name="Normal 4 2 6 5 2 5" xfId="30542" xr:uid="{8CBE8CEA-CA12-4744-8DC3-11ED4EC93814}"/>
    <cellStyle name="Normal 4 2 6 5 3" xfId="6394" xr:uid="{00000000-0005-0000-0000-000003140000}"/>
    <cellStyle name="Normal 4 2 6 5 3 2" xfId="15720" xr:uid="{CD604732-3D3C-4E4E-B6DD-D1005A108BB2}"/>
    <cellStyle name="Normal 4 2 6 5 3 3" xfId="24167" xr:uid="{6604EC3C-A7D5-49C3-BCC6-A41CA57AF12C}"/>
    <cellStyle name="Normal 4 2 6 5 3 4" xfId="32614" xr:uid="{E6F885B2-D7C7-4BD0-92B4-5D0E146B05D0}"/>
    <cellStyle name="Normal 4 2 6 5 4" xfId="11503" xr:uid="{CD93003E-52A9-4FB3-82B0-4C96A99BFEBC}"/>
    <cellStyle name="Normal 4 2 6 5 5" xfId="19950" xr:uid="{3CD35D79-2247-4838-B6AC-29B4660CA7BF}"/>
    <cellStyle name="Normal 4 2 6 5 6" xfId="28397" xr:uid="{0A6538FC-A4D7-41A0-B91D-649B5B88B614}"/>
    <cellStyle name="Normal 4 2 6 6" xfId="2524" xr:uid="{00000000-0005-0000-0000-000004140000}"/>
    <cellStyle name="Normal 4 2 6 6 2" xfId="6807" xr:uid="{00000000-0005-0000-0000-000005140000}"/>
    <cellStyle name="Normal 4 2 6 6 2 2" xfId="16133" xr:uid="{508BB07B-4F86-42AC-A94D-CB37695F619E}"/>
    <cellStyle name="Normal 4 2 6 6 2 3" xfId="24580" xr:uid="{89BDEA67-351F-4D22-B4B9-3CF81367CBE9}"/>
    <cellStyle name="Normal 4 2 6 6 2 4" xfId="33027" xr:uid="{CD8192B0-A75A-448F-BAB2-A2A128762E2B}"/>
    <cellStyle name="Normal 4 2 6 6 3" xfId="11916" xr:uid="{7FA2BD1E-A771-499F-8F48-A1144031686B}"/>
    <cellStyle name="Normal 4 2 6 6 4" xfId="20363" xr:uid="{1C7FAF32-B99B-430C-BD7A-0C95FDF9D8CC}"/>
    <cellStyle name="Normal 4 2 6 6 5" xfId="28810" xr:uid="{DACB7E38-F012-43FF-AE54-61E23FCCB785}"/>
    <cellStyle name="Normal 4 2 6 7" xfId="4742" xr:uid="{00000000-0005-0000-0000-000006140000}"/>
    <cellStyle name="Normal 4 2 6 7 2" xfId="14068" xr:uid="{677AF9AB-39BA-482B-A09D-8719D420C255}"/>
    <cellStyle name="Normal 4 2 6 7 3" xfId="22515" xr:uid="{59D39466-9517-42EB-88C6-FDD84FDD6CC9}"/>
    <cellStyle name="Normal 4 2 6 7 4" xfId="30962" xr:uid="{BD208B06-DCA7-48D1-B08C-0E0AC581C10B}"/>
    <cellStyle name="Normal 4 2 6 8" xfId="8962" xr:uid="{1A1596D6-3914-4465-A638-E540359059D2}"/>
    <cellStyle name="Normal 4 2 6 9" xfId="9851" xr:uid="{81EC75B9-3FF9-4F2E-948C-ECC753796CBE}"/>
    <cellStyle name="Normal 4 2 7" xfId="9165" xr:uid="{6363F967-7399-442D-B2CE-00085FF7F1E8}"/>
    <cellStyle name="Normal 4 2 8" xfId="8743" xr:uid="{E2B8331F-47F9-4829-99C7-E05840A106B9}"/>
    <cellStyle name="Normal 4 3" xfId="366" xr:uid="{00000000-0005-0000-0000-000007140000}"/>
    <cellStyle name="Normal 4 3 10" xfId="9852" xr:uid="{F44F33A4-F37B-4024-928E-48D050247902}"/>
    <cellStyle name="Normal 4 3 11" xfId="18299" xr:uid="{DF929B50-D3E5-4D24-A898-DF9CBE09C285}"/>
    <cellStyle name="Normal 4 3 12" xfId="26746" xr:uid="{2DD33892-99B0-4868-81A3-79B6CD990975}"/>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11" xfId="9853" xr:uid="{13F182B3-AB0F-4928-B32F-FFAA70D6B6CE}"/>
    <cellStyle name="Normal 4 3 2 2 2 12" xfId="18300" xr:uid="{E04C376D-A06A-4C8F-BA8D-9F55E14D35B0}"/>
    <cellStyle name="Normal 4 3 2 2 2 13" xfId="26747" xr:uid="{F84F1555-4839-4BA4-96CB-4FE04ECFE041}"/>
    <cellStyle name="Normal 4 3 2 2 2 2" xfId="370" xr:uid="{00000000-0005-0000-0000-00000B140000}"/>
    <cellStyle name="Normal 4 3 2 2 2 2 10" xfId="9854" xr:uid="{24036DB2-ECB7-485F-AD7E-9386DC6F1E48}"/>
    <cellStyle name="Normal 4 3 2 2 2 2 11" xfId="18301" xr:uid="{9B523431-D328-4C55-A577-A09C1E19417C}"/>
    <cellStyle name="Normal 4 3 2 2 2 2 12" xfId="26748" xr:uid="{C57CD744-82F2-4BE6-842F-1702A60A74AD}"/>
    <cellStyle name="Normal 4 3 2 2 2 2 2" xfId="371" xr:uid="{00000000-0005-0000-0000-00000C140000}"/>
    <cellStyle name="Normal 4 3 2 2 2 2 2 10" xfId="18302" xr:uid="{EDCF9275-79DE-4910-80E8-8601B1530C1B}"/>
    <cellStyle name="Normal 4 3 2 2 2 2 2 11" xfId="26749" xr:uid="{6A4771F4-0AF8-4EAF-BF08-DC4148AFAD5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16630" xr:uid="{7AE7135D-0877-46EA-A8F8-96D100A07613}"/>
    <cellStyle name="Normal 4 3 2 2 2 2 2 2 2 2 3" xfId="25077" xr:uid="{EDC31669-A476-447F-AD7C-795E8C5835F0}"/>
    <cellStyle name="Normal 4 3 2 2 2 2 2 2 2 2 4" xfId="33524" xr:uid="{7B05D9B8-BCA3-4F08-8983-755543855E80}"/>
    <cellStyle name="Normal 4 3 2 2 2 2 2 2 2 3" xfId="12413" xr:uid="{1C3F697F-1DAB-4294-8284-33411E38FB32}"/>
    <cellStyle name="Normal 4 3 2 2 2 2 2 2 2 4" xfId="20860" xr:uid="{83949F2F-D7DC-4BCB-B8A8-43351DC4E523}"/>
    <cellStyle name="Normal 4 3 2 2 2 2 2 2 2 5" xfId="29307" xr:uid="{B27241AA-EDEF-4FB5-87C3-4A1FE172960D}"/>
    <cellStyle name="Normal 4 3 2 2 2 2 2 2 3" xfId="5159" xr:uid="{00000000-0005-0000-0000-000010140000}"/>
    <cellStyle name="Normal 4 3 2 2 2 2 2 2 3 2" xfId="14485" xr:uid="{26F339F5-2BF5-44B1-834E-745CD1B74FE1}"/>
    <cellStyle name="Normal 4 3 2 2 2 2 2 2 3 3" xfId="22932" xr:uid="{FCF47D6D-4DA2-4AC7-B41D-501E7D7EF999}"/>
    <cellStyle name="Normal 4 3 2 2 2 2 2 2 3 4" xfId="31379" xr:uid="{AD225F7A-66E7-49A1-8DE9-5088127A8C97}"/>
    <cellStyle name="Normal 4 3 2 2 2 2 2 2 4" xfId="9557" xr:uid="{4F6BDD99-7BF1-4D2F-9EDC-4F75F1942DB4}"/>
    <cellStyle name="Normal 4 3 2 2 2 2 2 2 5" xfId="10268" xr:uid="{912D83EE-7BBE-4946-BEE0-BBEB3700D5B5}"/>
    <cellStyle name="Normal 4 3 2 2 2 2 2 2 6" xfId="18715" xr:uid="{5A851176-F78B-436D-83CC-EDC71DA708AD}"/>
    <cellStyle name="Normal 4 3 2 2 2 2 2 2 7" xfId="27162" xr:uid="{50F18E88-3C01-43AD-AC02-C0F920CC83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17043" xr:uid="{2646FE77-2E48-4CB6-BAA7-F002F69475E5}"/>
    <cellStyle name="Normal 4 3 2 2 2 2 2 3 2 2 3" xfId="25490" xr:uid="{DCF4D8DF-00EA-44D3-8F1D-ECECC357867C}"/>
    <cellStyle name="Normal 4 3 2 2 2 2 2 3 2 2 4" xfId="33937" xr:uid="{DEBA0D3D-F666-46DF-8B0A-CCD100398D54}"/>
    <cellStyle name="Normal 4 3 2 2 2 2 2 3 2 3" xfId="12826" xr:uid="{68745624-D979-4CF0-8B81-3C52C42C2D83}"/>
    <cellStyle name="Normal 4 3 2 2 2 2 2 3 2 4" xfId="21273" xr:uid="{DFE7C6B8-8135-49F1-9267-2BA4043F05FB}"/>
    <cellStyle name="Normal 4 3 2 2 2 2 2 3 2 5" xfId="29720" xr:uid="{F82103FC-BA2F-4022-83B9-9DB459EA26BB}"/>
    <cellStyle name="Normal 4 3 2 2 2 2 2 3 3" xfId="5572" xr:uid="{00000000-0005-0000-0000-000014140000}"/>
    <cellStyle name="Normal 4 3 2 2 2 2 2 3 3 2" xfId="14898" xr:uid="{5A6EA18C-BE8A-4547-81F2-142DA229652A}"/>
    <cellStyle name="Normal 4 3 2 2 2 2 2 3 3 3" xfId="23345" xr:uid="{0ABA5084-1EC9-4094-9D37-DC5CC28D18E9}"/>
    <cellStyle name="Normal 4 3 2 2 2 2 2 3 3 4" xfId="31792" xr:uid="{90CBF31A-C0B7-4487-9EE2-37EDEA31A913}"/>
    <cellStyle name="Normal 4 3 2 2 2 2 2 3 4" xfId="10681" xr:uid="{62F89988-769F-464E-9267-D75AADFD9FF8}"/>
    <cellStyle name="Normal 4 3 2 2 2 2 2 3 5" xfId="19128" xr:uid="{BF9D9BB7-BD79-461B-BBBA-E6E4F538DF24}"/>
    <cellStyle name="Normal 4 3 2 2 2 2 2 3 6" xfId="27575" xr:uid="{D3054335-210F-4800-8883-0348C5C0DEE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17456" xr:uid="{A517F972-EBEF-4A30-9837-08C7B4524DED}"/>
    <cellStyle name="Normal 4 3 2 2 2 2 2 4 2 2 3" xfId="25903" xr:uid="{400D9ACC-D30B-4E6D-80FD-9D18321B6655}"/>
    <cellStyle name="Normal 4 3 2 2 2 2 2 4 2 2 4" xfId="34350" xr:uid="{C7A6563C-C55F-47BB-9CC5-D2057F4E88F2}"/>
    <cellStyle name="Normal 4 3 2 2 2 2 2 4 2 3" xfId="13239" xr:uid="{E5B9E863-9800-4D91-A272-9767ED87D6D4}"/>
    <cellStyle name="Normal 4 3 2 2 2 2 2 4 2 4" xfId="21686" xr:uid="{D97526E5-1E57-4DC3-B9B1-89AC6E215189}"/>
    <cellStyle name="Normal 4 3 2 2 2 2 2 4 2 5" xfId="30133" xr:uid="{33FD714C-A5C3-4A29-8318-485EC777443F}"/>
    <cellStyle name="Normal 4 3 2 2 2 2 2 4 3" xfId="5985" xr:uid="{00000000-0005-0000-0000-000018140000}"/>
    <cellStyle name="Normal 4 3 2 2 2 2 2 4 3 2" xfId="15311" xr:uid="{F98D6CE1-9CAB-4D8A-AC29-757A8CD859CB}"/>
    <cellStyle name="Normal 4 3 2 2 2 2 2 4 3 3" xfId="23758" xr:uid="{0C7F280A-2791-4C2A-9A32-6318CB60BBCA}"/>
    <cellStyle name="Normal 4 3 2 2 2 2 2 4 3 4" xfId="32205" xr:uid="{84E89F2D-62F5-48D7-997A-645F3B9CD88F}"/>
    <cellStyle name="Normal 4 3 2 2 2 2 2 4 4" xfId="11094" xr:uid="{B974B350-8EA7-49BA-B260-A1952EA091ED}"/>
    <cellStyle name="Normal 4 3 2 2 2 2 2 4 5" xfId="19541" xr:uid="{245B32C2-0B1D-45E8-9C19-E214AEA3EEBF}"/>
    <cellStyle name="Normal 4 3 2 2 2 2 2 4 6" xfId="27988" xr:uid="{C945D6E7-CECB-4F40-894C-25F5072C778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17869" xr:uid="{AF679377-9E56-4AA7-A901-8265D3BF50A7}"/>
    <cellStyle name="Normal 4 3 2 2 2 2 2 5 2 2 3" xfId="26316" xr:uid="{BF04FF6E-8CC6-4580-822F-87AE03061FC5}"/>
    <cellStyle name="Normal 4 3 2 2 2 2 2 5 2 2 4" xfId="34763" xr:uid="{FBD0AFC3-59A7-4F80-B773-1D68E5DC792B}"/>
    <cellStyle name="Normal 4 3 2 2 2 2 2 5 2 3" xfId="13652" xr:uid="{C9D73BC1-F68A-444E-A78C-EB62037A283E}"/>
    <cellStyle name="Normal 4 3 2 2 2 2 2 5 2 4" xfId="22099" xr:uid="{492281E5-C336-4BA7-89C7-A14931009F6C}"/>
    <cellStyle name="Normal 4 3 2 2 2 2 2 5 2 5" xfId="30546" xr:uid="{7F0CD28C-5FEB-42F2-8A71-F8E1994E708B}"/>
    <cellStyle name="Normal 4 3 2 2 2 2 2 5 3" xfId="6398" xr:uid="{00000000-0005-0000-0000-00001C140000}"/>
    <cellStyle name="Normal 4 3 2 2 2 2 2 5 3 2" xfId="15724" xr:uid="{1D17984D-F799-441D-BEDA-8AE780D17A9D}"/>
    <cellStyle name="Normal 4 3 2 2 2 2 2 5 3 3" xfId="24171" xr:uid="{0EBF2C70-6165-4381-9FB8-D204578721F8}"/>
    <cellStyle name="Normal 4 3 2 2 2 2 2 5 3 4" xfId="32618" xr:uid="{9BA2B217-8785-4E78-91C7-6468C058B8FF}"/>
    <cellStyle name="Normal 4 3 2 2 2 2 2 5 4" xfId="11507" xr:uid="{CD62777F-21C2-4443-8F5A-3BA22E0AAC2A}"/>
    <cellStyle name="Normal 4 3 2 2 2 2 2 5 5" xfId="19954" xr:uid="{FF5460A5-1A87-4384-A0D2-D8B5BF9DCC81}"/>
    <cellStyle name="Normal 4 3 2 2 2 2 2 5 6" xfId="28401" xr:uid="{DAADEEEC-0F48-45FF-8ACB-4AEB86176603}"/>
    <cellStyle name="Normal 4 3 2 2 2 2 2 6" xfId="2528" xr:uid="{00000000-0005-0000-0000-00001D140000}"/>
    <cellStyle name="Normal 4 3 2 2 2 2 2 6 2" xfId="6811" xr:uid="{00000000-0005-0000-0000-00001E140000}"/>
    <cellStyle name="Normal 4 3 2 2 2 2 2 6 2 2" xfId="16137" xr:uid="{C4D4ED9B-B456-4E0D-8F42-B35B34D433AC}"/>
    <cellStyle name="Normal 4 3 2 2 2 2 2 6 2 3" xfId="24584" xr:uid="{B84DD6A7-FB62-4544-B3BE-8353B4129CE5}"/>
    <cellStyle name="Normal 4 3 2 2 2 2 2 6 2 4" xfId="33031" xr:uid="{9872F2C7-2F98-4FB4-AD6C-CFB88DA8CA16}"/>
    <cellStyle name="Normal 4 3 2 2 2 2 2 6 3" xfId="11920" xr:uid="{C1522362-0BBB-42DC-B63B-91EC67D2C2DC}"/>
    <cellStyle name="Normal 4 3 2 2 2 2 2 6 4" xfId="20367" xr:uid="{B8F7EDEA-24D9-4BD0-A6F7-E3D1C201602E}"/>
    <cellStyle name="Normal 4 3 2 2 2 2 2 6 5" xfId="28814" xr:uid="{B8E2FC00-0985-41AC-9FFE-B8E01EBA3333}"/>
    <cellStyle name="Normal 4 3 2 2 2 2 2 7" xfId="4746" xr:uid="{00000000-0005-0000-0000-00001F140000}"/>
    <cellStyle name="Normal 4 3 2 2 2 2 2 7 2" xfId="14072" xr:uid="{06C68971-B35A-430A-9371-86E8F4EC64EB}"/>
    <cellStyle name="Normal 4 3 2 2 2 2 2 7 3" xfId="22519" xr:uid="{124E209A-568D-4F08-BE8F-2A22D02CB177}"/>
    <cellStyle name="Normal 4 3 2 2 2 2 2 7 4" xfId="30966" xr:uid="{11E304D3-3B31-4938-8E0B-0F49AC08DF1C}"/>
    <cellStyle name="Normal 4 3 2 2 2 2 2 8" xfId="9132" xr:uid="{14F6ED12-EABF-4C82-AD59-55D351026913}"/>
    <cellStyle name="Normal 4 3 2 2 2 2 2 9" xfId="9855" xr:uid="{5C51896B-4DD2-4459-BA41-5F2696E2B94A}"/>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16629" xr:uid="{B5B947BD-9880-4E1F-875B-6D4E7D0CFA12}"/>
    <cellStyle name="Normal 4 3 2 2 2 2 3 2 2 3" xfId="25076" xr:uid="{EBC3A6B1-E29E-4878-B6C3-998DA23853AA}"/>
    <cellStyle name="Normal 4 3 2 2 2 2 3 2 2 4" xfId="33523" xr:uid="{2A11272C-DFB2-46B3-AA93-89C0B62083B5}"/>
    <cellStyle name="Normal 4 3 2 2 2 2 3 2 3" xfId="12412" xr:uid="{4CCF80D8-C6B6-461A-95F0-D6517B257021}"/>
    <cellStyle name="Normal 4 3 2 2 2 2 3 2 4" xfId="20859" xr:uid="{7D800AC0-A3F0-47F4-BB40-A018ABAE9D33}"/>
    <cellStyle name="Normal 4 3 2 2 2 2 3 2 5" xfId="29306" xr:uid="{B82387AB-BB36-4767-AC2D-7D1685CD3F0B}"/>
    <cellStyle name="Normal 4 3 2 2 2 2 3 3" xfId="5158" xr:uid="{00000000-0005-0000-0000-000023140000}"/>
    <cellStyle name="Normal 4 3 2 2 2 2 3 3 2" xfId="14484" xr:uid="{8D069BBC-37FC-47F8-B292-FE2CCA80DB2C}"/>
    <cellStyle name="Normal 4 3 2 2 2 2 3 3 3" xfId="22931" xr:uid="{1811AB84-9FA5-4DB9-9B5D-C88817A622B1}"/>
    <cellStyle name="Normal 4 3 2 2 2 2 3 3 4" xfId="31378" xr:uid="{9D7B2A88-D96D-4D18-AAFF-DC356B06A38C}"/>
    <cellStyle name="Normal 4 3 2 2 2 2 3 4" xfId="9350" xr:uid="{DFFEAFB7-A284-4FD9-B115-C19DA011CCC7}"/>
    <cellStyle name="Normal 4 3 2 2 2 2 3 5" xfId="10267" xr:uid="{BA8D5402-81F5-45B6-8E70-B293115A69AE}"/>
    <cellStyle name="Normal 4 3 2 2 2 2 3 6" xfId="18714" xr:uid="{C8BC109D-6485-4A59-85C9-1F53FDB58C33}"/>
    <cellStyle name="Normal 4 3 2 2 2 2 3 7" xfId="27161" xr:uid="{CEEDF9F4-CD11-4E25-A538-C008D83640BA}"/>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17042" xr:uid="{25060E4F-43D8-4616-9041-9E8F44AC6E6A}"/>
    <cellStyle name="Normal 4 3 2 2 2 2 4 2 2 3" xfId="25489" xr:uid="{8003ED5A-A5E8-4414-81D6-C47B172093C7}"/>
    <cellStyle name="Normal 4 3 2 2 2 2 4 2 2 4" xfId="33936" xr:uid="{9CCC784C-3A5F-4872-AA35-767572538162}"/>
    <cellStyle name="Normal 4 3 2 2 2 2 4 2 3" xfId="12825" xr:uid="{748BD452-7CB6-4807-8779-0BA5D405977C}"/>
    <cellStyle name="Normal 4 3 2 2 2 2 4 2 4" xfId="21272" xr:uid="{A1CCBBDE-830B-4E7F-8CAC-2E1C509262CF}"/>
    <cellStyle name="Normal 4 3 2 2 2 2 4 2 5" xfId="29719" xr:uid="{C08527AD-3217-456D-9FB3-B35D58B9263C}"/>
    <cellStyle name="Normal 4 3 2 2 2 2 4 3" xfId="5571" xr:uid="{00000000-0005-0000-0000-000027140000}"/>
    <cellStyle name="Normal 4 3 2 2 2 2 4 3 2" xfId="14897" xr:uid="{17A0E80E-DCEE-4D9F-93B0-C6CD9EA2AAB4}"/>
    <cellStyle name="Normal 4 3 2 2 2 2 4 3 3" xfId="23344" xr:uid="{2EF533E7-08D4-4B24-951A-E5CB65C0D5EA}"/>
    <cellStyle name="Normal 4 3 2 2 2 2 4 3 4" xfId="31791" xr:uid="{66D3BF68-8973-47A2-B77C-9BC597276988}"/>
    <cellStyle name="Normal 4 3 2 2 2 2 4 4" xfId="10680" xr:uid="{08CB617D-E198-4A92-99DA-7650449CA701}"/>
    <cellStyle name="Normal 4 3 2 2 2 2 4 5" xfId="19127" xr:uid="{855A5C7C-F8BB-4684-86F3-FE3F6590324E}"/>
    <cellStyle name="Normal 4 3 2 2 2 2 4 6" xfId="27574" xr:uid="{3423DAEB-6054-4462-AD2D-A3A9A8D562D8}"/>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17455" xr:uid="{D1AAB458-9131-4713-B818-9ED2715697B8}"/>
    <cellStyle name="Normal 4 3 2 2 2 2 5 2 2 3" xfId="25902" xr:uid="{C74CB629-692C-46A4-89AB-FA18A35A5947}"/>
    <cellStyle name="Normal 4 3 2 2 2 2 5 2 2 4" xfId="34349" xr:uid="{3C90D551-0A02-42E5-9EA1-31B26D9F94A9}"/>
    <cellStyle name="Normal 4 3 2 2 2 2 5 2 3" xfId="13238" xr:uid="{B5B18C19-19C5-42B5-8908-C845BE95456C}"/>
    <cellStyle name="Normal 4 3 2 2 2 2 5 2 4" xfId="21685" xr:uid="{3773D8BB-F7D1-4622-AA38-0D5FCC1D14B7}"/>
    <cellStyle name="Normal 4 3 2 2 2 2 5 2 5" xfId="30132" xr:uid="{47031E08-3798-4C6B-960D-9DBD793BC419}"/>
    <cellStyle name="Normal 4 3 2 2 2 2 5 3" xfId="5984" xr:uid="{00000000-0005-0000-0000-00002B140000}"/>
    <cellStyle name="Normal 4 3 2 2 2 2 5 3 2" xfId="15310" xr:uid="{7E2DC88A-23D0-42C3-B378-553878B7CE14}"/>
    <cellStyle name="Normal 4 3 2 2 2 2 5 3 3" xfId="23757" xr:uid="{0117AAF9-52B4-4DEF-9408-1921E74F628E}"/>
    <cellStyle name="Normal 4 3 2 2 2 2 5 3 4" xfId="32204" xr:uid="{2AAFA948-C6BF-4253-9EC5-D363740EBDA6}"/>
    <cellStyle name="Normal 4 3 2 2 2 2 5 4" xfId="11093" xr:uid="{99CA0504-27AC-4885-BFA1-567781915648}"/>
    <cellStyle name="Normal 4 3 2 2 2 2 5 5" xfId="19540" xr:uid="{BA3FF7C2-4F94-4712-86DC-B0CC708D28E7}"/>
    <cellStyle name="Normal 4 3 2 2 2 2 5 6" xfId="27987" xr:uid="{5E5172CD-9106-402F-A323-B712E47ABE48}"/>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17868" xr:uid="{488D9BFA-3848-4BFC-A719-EB6544390CEC}"/>
    <cellStyle name="Normal 4 3 2 2 2 2 6 2 2 3" xfId="26315" xr:uid="{77A943F6-54BA-4F96-BD39-7AF3CC09DEFC}"/>
    <cellStyle name="Normal 4 3 2 2 2 2 6 2 2 4" xfId="34762" xr:uid="{460A62DA-CCCF-4F23-B59C-70F4025F8FCB}"/>
    <cellStyle name="Normal 4 3 2 2 2 2 6 2 3" xfId="13651" xr:uid="{9576D4FB-D439-453E-8206-05F3B808905A}"/>
    <cellStyle name="Normal 4 3 2 2 2 2 6 2 4" xfId="22098" xr:uid="{C449DF95-6B36-4128-BF55-F59715E2E803}"/>
    <cellStyle name="Normal 4 3 2 2 2 2 6 2 5" xfId="30545" xr:uid="{30F68531-8FAA-4A55-923C-4D6165A899C7}"/>
    <cellStyle name="Normal 4 3 2 2 2 2 6 3" xfId="6397" xr:uid="{00000000-0005-0000-0000-00002F140000}"/>
    <cellStyle name="Normal 4 3 2 2 2 2 6 3 2" xfId="15723" xr:uid="{7D411C5F-E1BD-4633-93CF-CD238CEE2684}"/>
    <cellStyle name="Normal 4 3 2 2 2 2 6 3 3" xfId="24170" xr:uid="{29344053-374C-4C19-B74B-0BEA953C21DD}"/>
    <cellStyle name="Normal 4 3 2 2 2 2 6 3 4" xfId="32617" xr:uid="{56D75031-A040-4037-9E77-11D4EA5C54E6}"/>
    <cellStyle name="Normal 4 3 2 2 2 2 6 4" xfId="11506" xr:uid="{00682C69-0739-4972-A0B0-88A81A7CBA4D}"/>
    <cellStyle name="Normal 4 3 2 2 2 2 6 5" xfId="19953" xr:uid="{23B04877-679B-4681-8563-C1FEAA5FA4F2}"/>
    <cellStyle name="Normal 4 3 2 2 2 2 6 6" xfId="28400" xr:uid="{5AF0BA43-266E-432D-BD7D-B66B928E8C66}"/>
    <cellStyle name="Normal 4 3 2 2 2 2 7" xfId="2527" xr:uid="{00000000-0005-0000-0000-000030140000}"/>
    <cellStyle name="Normal 4 3 2 2 2 2 7 2" xfId="6810" xr:uid="{00000000-0005-0000-0000-000031140000}"/>
    <cellStyle name="Normal 4 3 2 2 2 2 7 2 2" xfId="16136" xr:uid="{FC0E077D-059D-4485-B3A1-1ED60800128B}"/>
    <cellStyle name="Normal 4 3 2 2 2 2 7 2 3" xfId="24583" xr:uid="{D341DE94-E20A-4542-9366-6FAFF50F1799}"/>
    <cellStyle name="Normal 4 3 2 2 2 2 7 2 4" xfId="33030" xr:uid="{195D0713-7E76-4779-ABE6-DB61BE508F5F}"/>
    <cellStyle name="Normal 4 3 2 2 2 2 7 3" xfId="11919" xr:uid="{02BBE850-A493-4616-9674-910384CCBB67}"/>
    <cellStyle name="Normal 4 3 2 2 2 2 7 4" xfId="20366" xr:uid="{26F29CFF-66BD-4F86-93DC-54ACA1AFE5C4}"/>
    <cellStyle name="Normal 4 3 2 2 2 2 7 5" xfId="28813" xr:uid="{180AB850-3355-41E3-9C26-99E83F0F498B}"/>
    <cellStyle name="Normal 4 3 2 2 2 2 8" xfId="4745" xr:uid="{00000000-0005-0000-0000-000032140000}"/>
    <cellStyle name="Normal 4 3 2 2 2 2 8 2" xfId="14071" xr:uid="{43DD7DC5-19EB-4464-9F43-650A887E1C4D}"/>
    <cellStyle name="Normal 4 3 2 2 2 2 8 3" xfId="22518" xr:uid="{B269A9C7-C004-4BD3-BB88-9841B773792A}"/>
    <cellStyle name="Normal 4 3 2 2 2 2 8 4" xfId="30965" xr:uid="{949B4450-9315-40DE-9C29-7A11BCD8D5C8}"/>
    <cellStyle name="Normal 4 3 2 2 2 2 9" xfId="8925" xr:uid="{71BB8AFA-37D7-474D-A12B-C284DDE23CE9}"/>
    <cellStyle name="Normal 4 3 2 2 2 3" xfId="372" xr:uid="{00000000-0005-0000-0000-000033140000}"/>
    <cellStyle name="Normal 4 3 2 2 2 3 10" xfId="18303" xr:uid="{F2017C71-34C5-4617-8BD4-46A6D7AEA789}"/>
    <cellStyle name="Normal 4 3 2 2 2 3 11" xfId="26750" xr:uid="{A5C22318-5BA0-4B0A-83FA-A9A66E81C146}"/>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16631" xr:uid="{1524141A-3935-4A6D-BBF9-B5498CB3BDAB}"/>
    <cellStyle name="Normal 4 3 2 2 2 3 2 2 2 3" xfId="25078" xr:uid="{E0636301-31E4-46ED-A5E3-BD245FFDBD0D}"/>
    <cellStyle name="Normal 4 3 2 2 2 3 2 2 2 4" xfId="33525" xr:uid="{D41A6648-F6F4-418D-85B9-12BE7F4861DC}"/>
    <cellStyle name="Normal 4 3 2 2 2 3 2 2 3" xfId="12414" xr:uid="{6C91421D-BC31-45FD-B2CB-00E19FD3921A}"/>
    <cellStyle name="Normal 4 3 2 2 2 3 2 2 4" xfId="20861" xr:uid="{80AE50B8-8014-4426-A75E-6FD1E6F8E796}"/>
    <cellStyle name="Normal 4 3 2 2 2 3 2 2 5" xfId="29308" xr:uid="{0D359572-C826-4999-8E84-E0C53C98E29A}"/>
    <cellStyle name="Normal 4 3 2 2 2 3 2 3" xfId="5160" xr:uid="{00000000-0005-0000-0000-000037140000}"/>
    <cellStyle name="Normal 4 3 2 2 2 3 2 3 2" xfId="14486" xr:uid="{137ACC8A-3CB0-4BFB-8D7F-494D247FF2D7}"/>
    <cellStyle name="Normal 4 3 2 2 2 3 2 3 3" xfId="22933" xr:uid="{CC8AD747-C530-4E21-BCEA-25801B17324B}"/>
    <cellStyle name="Normal 4 3 2 2 2 3 2 3 4" xfId="31380" xr:uid="{800F191A-DE69-48E5-A3DB-DEE58CD0D98D}"/>
    <cellStyle name="Normal 4 3 2 2 2 3 2 4" xfId="9454" xr:uid="{B81F5EAA-7D8E-43B5-94D7-313E66088BA5}"/>
    <cellStyle name="Normal 4 3 2 2 2 3 2 5" xfId="10269" xr:uid="{236BDED8-B8E4-47DA-95DC-FAA3144F399C}"/>
    <cellStyle name="Normal 4 3 2 2 2 3 2 6" xfId="18716" xr:uid="{E4C99839-8DC1-4627-AA46-9E17E27FB501}"/>
    <cellStyle name="Normal 4 3 2 2 2 3 2 7" xfId="27163" xr:uid="{F972EC45-DBD3-4481-8B7D-A729A0B04D0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17044" xr:uid="{5F663077-AD74-4500-819B-BDA670A147C8}"/>
    <cellStyle name="Normal 4 3 2 2 2 3 3 2 2 3" xfId="25491" xr:uid="{DAEC4C80-EA0B-4983-B7A5-62471AE2AA2D}"/>
    <cellStyle name="Normal 4 3 2 2 2 3 3 2 2 4" xfId="33938" xr:uid="{5F5FC2B5-AA30-45CB-8608-DD7C7B32CA34}"/>
    <cellStyle name="Normal 4 3 2 2 2 3 3 2 3" xfId="12827" xr:uid="{EFD20481-6091-405F-B883-1223CEF581E2}"/>
    <cellStyle name="Normal 4 3 2 2 2 3 3 2 4" xfId="21274" xr:uid="{4453A090-0980-4D84-AB92-B57DBA55CB63}"/>
    <cellStyle name="Normal 4 3 2 2 2 3 3 2 5" xfId="29721" xr:uid="{94AA1C25-82B1-425B-A92E-C811ECBD6FEE}"/>
    <cellStyle name="Normal 4 3 2 2 2 3 3 3" xfId="5573" xr:uid="{00000000-0005-0000-0000-00003B140000}"/>
    <cellStyle name="Normal 4 3 2 2 2 3 3 3 2" xfId="14899" xr:uid="{FEC833F8-95CE-45EE-9738-144EF51CECC2}"/>
    <cellStyle name="Normal 4 3 2 2 2 3 3 3 3" xfId="23346" xr:uid="{32442643-9139-41DC-86FF-28C65BF9FAC1}"/>
    <cellStyle name="Normal 4 3 2 2 2 3 3 3 4" xfId="31793" xr:uid="{552F2234-21C9-46CE-84E5-0BE3850B08EF}"/>
    <cellStyle name="Normal 4 3 2 2 2 3 3 4" xfId="10682" xr:uid="{E97871A8-E829-499B-B5CC-2D522A79FAA1}"/>
    <cellStyle name="Normal 4 3 2 2 2 3 3 5" xfId="19129" xr:uid="{5A2966A1-B97A-4BF0-A92E-4C2AFBA2D8F7}"/>
    <cellStyle name="Normal 4 3 2 2 2 3 3 6" xfId="27576" xr:uid="{868465C9-508D-4707-B14A-0EF1F6296E7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17457" xr:uid="{8BDF1476-047F-4C00-AEB3-CE3E4F253937}"/>
    <cellStyle name="Normal 4 3 2 2 2 3 4 2 2 3" xfId="25904" xr:uid="{82BD9661-623B-438E-8BE5-06E8CC47D042}"/>
    <cellStyle name="Normal 4 3 2 2 2 3 4 2 2 4" xfId="34351" xr:uid="{041244B6-630D-41E5-B8EE-74E93E32B50D}"/>
    <cellStyle name="Normal 4 3 2 2 2 3 4 2 3" xfId="13240" xr:uid="{4E97E25F-248D-4470-BA74-C7119D290C57}"/>
    <cellStyle name="Normal 4 3 2 2 2 3 4 2 4" xfId="21687" xr:uid="{7E044F00-8CA4-4D3E-871F-AE6C8FC46359}"/>
    <cellStyle name="Normal 4 3 2 2 2 3 4 2 5" xfId="30134" xr:uid="{1D7BB917-EF5F-43E9-A05C-C755532A9286}"/>
    <cellStyle name="Normal 4 3 2 2 2 3 4 3" xfId="5986" xr:uid="{00000000-0005-0000-0000-00003F140000}"/>
    <cellStyle name="Normal 4 3 2 2 2 3 4 3 2" xfId="15312" xr:uid="{17FF861B-0D5B-4D9E-9C54-563382DC1F69}"/>
    <cellStyle name="Normal 4 3 2 2 2 3 4 3 3" xfId="23759" xr:uid="{81473698-5E5B-48F3-8EB0-277DB61192DC}"/>
    <cellStyle name="Normal 4 3 2 2 2 3 4 3 4" xfId="32206" xr:uid="{2C8DE1B7-21EB-4327-83DD-5A9D3B1782EA}"/>
    <cellStyle name="Normal 4 3 2 2 2 3 4 4" xfId="11095" xr:uid="{84ED01A9-A778-4B7B-AECD-22821D40147B}"/>
    <cellStyle name="Normal 4 3 2 2 2 3 4 5" xfId="19542" xr:uid="{75711912-E26D-4F0D-8D89-54634DC80551}"/>
    <cellStyle name="Normal 4 3 2 2 2 3 4 6" xfId="27989" xr:uid="{C71858F7-1DE6-419C-9DFE-5FFC5F997196}"/>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17870" xr:uid="{E5AE06A5-C053-49BD-A060-FC6EA9499D81}"/>
    <cellStyle name="Normal 4 3 2 2 2 3 5 2 2 3" xfId="26317" xr:uid="{6EE0962A-E6CE-44A3-A717-DE9665B8B026}"/>
    <cellStyle name="Normal 4 3 2 2 2 3 5 2 2 4" xfId="34764" xr:uid="{A1B1897E-328B-42F3-9533-6309129D5DB7}"/>
    <cellStyle name="Normal 4 3 2 2 2 3 5 2 3" xfId="13653" xr:uid="{EE76F07D-2626-4FDA-9CBB-47FBCF884DF1}"/>
    <cellStyle name="Normal 4 3 2 2 2 3 5 2 4" xfId="22100" xr:uid="{55B32125-34B4-4F98-B9FB-D7CF0B9EAA19}"/>
    <cellStyle name="Normal 4 3 2 2 2 3 5 2 5" xfId="30547" xr:uid="{88921F14-FDA2-494C-953F-EC2825C2667C}"/>
    <cellStyle name="Normal 4 3 2 2 2 3 5 3" xfId="6399" xr:uid="{00000000-0005-0000-0000-000043140000}"/>
    <cellStyle name="Normal 4 3 2 2 2 3 5 3 2" xfId="15725" xr:uid="{F3BB7DF6-AB08-4CB5-9055-A31F854EAF44}"/>
    <cellStyle name="Normal 4 3 2 2 2 3 5 3 3" xfId="24172" xr:uid="{625950A7-1B83-45F4-B3E5-F0C3ED2D5FAB}"/>
    <cellStyle name="Normal 4 3 2 2 2 3 5 3 4" xfId="32619" xr:uid="{5650B99A-22B0-4124-B698-C91533761A0A}"/>
    <cellStyle name="Normal 4 3 2 2 2 3 5 4" xfId="11508" xr:uid="{B66966CA-A584-4884-BB16-027F94511F38}"/>
    <cellStyle name="Normal 4 3 2 2 2 3 5 5" xfId="19955" xr:uid="{B9D83E90-2587-4425-9A0C-F4CA3826E7B0}"/>
    <cellStyle name="Normal 4 3 2 2 2 3 5 6" xfId="28402" xr:uid="{57B56BF3-9E32-4F9D-BE2B-E6F214B066CF}"/>
    <cellStyle name="Normal 4 3 2 2 2 3 6" xfId="2529" xr:uid="{00000000-0005-0000-0000-000044140000}"/>
    <cellStyle name="Normal 4 3 2 2 2 3 6 2" xfId="6812" xr:uid="{00000000-0005-0000-0000-000045140000}"/>
    <cellStyle name="Normal 4 3 2 2 2 3 6 2 2" xfId="16138" xr:uid="{AA230A76-1224-4C77-A2F4-BD261EB13923}"/>
    <cellStyle name="Normal 4 3 2 2 2 3 6 2 3" xfId="24585" xr:uid="{924A31A4-ABB1-408D-BB7D-D66AE413F93A}"/>
    <cellStyle name="Normal 4 3 2 2 2 3 6 2 4" xfId="33032" xr:uid="{3227F7F6-0AAA-4A86-ACC8-683846E5FEB6}"/>
    <cellStyle name="Normal 4 3 2 2 2 3 6 3" xfId="11921" xr:uid="{250718C7-0C23-4B60-8B24-9E5E23932C1A}"/>
    <cellStyle name="Normal 4 3 2 2 2 3 6 4" xfId="20368" xr:uid="{2A9058F0-DC2A-4FE9-A631-CBFFA9E7640A}"/>
    <cellStyle name="Normal 4 3 2 2 2 3 6 5" xfId="28815" xr:uid="{FEE6AD28-7223-4AE8-889C-97E98ED92E97}"/>
    <cellStyle name="Normal 4 3 2 2 2 3 7" xfId="4747" xr:uid="{00000000-0005-0000-0000-000046140000}"/>
    <cellStyle name="Normal 4 3 2 2 2 3 7 2" xfId="14073" xr:uid="{5D501A68-F089-44AB-81C4-D2CC340D3C0B}"/>
    <cellStyle name="Normal 4 3 2 2 2 3 7 3" xfId="22520" xr:uid="{7F1764DE-D4B7-4DE5-9EE0-BEF2704BD56B}"/>
    <cellStyle name="Normal 4 3 2 2 2 3 7 4" xfId="30967" xr:uid="{1585ECCA-4F61-4D4D-BFC2-EDFA03913E13}"/>
    <cellStyle name="Normal 4 3 2 2 2 3 8" xfId="9029" xr:uid="{CC421D7E-69EF-4D96-A95C-E67F046F8D14}"/>
    <cellStyle name="Normal 4 3 2 2 2 3 9" xfId="9856" xr:uid="{031BB556-BD1F-4E14-A6FB-9DEEBD4574C7}"/>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16628" xr:uid="{527A0BA2-5973-4D36-AA29-E3C6FF41FAC4}"/>
    <cellStyle name="Normal 4 3 2 2 2 4 2 2 3" xfId="25075" xr:uid="{433C087E-6446-449C-8882-50CF28016A1A}"/>
    <cellStyle name="Normal 4 3 2 2 2 4 2 2 4" xfId="33522" xr:uid="{9F394FE3-39D3-4F79-878F-C4A6F5EB5B22}"/>
    <cellStyle name="Normal 4 3 2 2 2 4 2 3" xfId="12411" xr:uid="{787A972C-F5F8-4A8E-978F-1AE53D162D36}"/>
    <cellStyle name="Normal 4 3 2 2 2 4 2 4" xfId="20858" xr:uid="{C4A67E35-69BB-4034-AEB6-A98CC72ABC33}"/>
    <cellStyle name="Normal 4 3 2 2 2 4 2 5" xfId="29305" xr:uid="{B751EAEE-76EC-4F88-96F7-265D5EEC8ACC}"/>
    <cellStyle name="Normal 4 3 2 2 2 4 3" xfId="5157" xr:uid="{00000000-0005-0000-0000-00004A140000}"/>
    <cellStyle name="Normal 4 3 2 2 2 4 3 2" xfId="14483" xr:uid="{D2BF34C9-720A-480A-8864-207FA2373B80}"/>
    <cellStyle name="Normal 4 3 2 2 2 4 3 3" xfId="22930" xr:uid="{B0F84A06-5430-45F2-869C-12C7A111FC1B}"/>
    <cellStyle name="Normal 4 3 2 2 2 4 3 4" xfId="31377" xr:uid="{9CA6207A-71E3-4C5B-88BA-67A27CD1F1FD}"/>
    <cellStyle name="Normal 4 3 2 2 2 4 4" xfId="9247" xr:uid="{70D9D224-DB0B-42B4-B4A9-BC88F455C395}"/>
    <cellStyle name="Normal 4 3 2 2 2 4 5" xfId="10266" xr:uid="{33B0DF32-6546-4DCB-B891-530B48F5CEDC}"/>
    <cellStyle name="Normal 4 3 2 2 2 4 6" xfId="18713" xr:uid="{FF9EC13D-462C-46A4-AC25-A6EBF4F942D5}"/>
    <cellStyle name="Normal 4 3 2 2 2 4 7" xfId="27160" xr:uid="{6B77C3AE-6C98-4686-8702-2E6565303B1A}"/>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17041" xr:uid="{686BC706-E0DC-42BD-BCC8-9F5E3E98FA1C}"/>
    <cellStyle name="Normal 4 3 2 2 2 5 2 2 3" xfId="25488" xr:uid="{0E2B17A9-CCF2-40DB-AEB9-39E1D329B9ED}"/>
    <cellStyle name="Normal 4 3 2 2 2 5 2 2 4" xfId="33935" xr:uid="{263E9A39-8868-436E-A13B-737CEFDD7091}"/>
    <cellStyle name="Normal 4 3 2 2 2 5 2 3" xfId="12824" xr:uid="{9E3D9405-EA1F-4166-9476-06C48CC88CCD}"/>
    <cellStyle name="Normal 4 3 2 2 2 5 2 4" xfId="21271" xr:uid="{E3E79FDB-2DF2-4D44-AA4E-37B9262F9C5A}"/>
    <cellStyle name="Normal 4 3 2 2 2 5 2 5" xfId="29718" xr:uid="{B8390352-7DE6-4F44-9B36-9587B40AD3B1}"/>
    <cellStyle name="Normal 4 3 2 2 2 5 3" xfId="5570" xr:uid="{00000000-0005-0000-0000-00004E140000}"/>
    <cellStyle name="Normal 4 3 2 2 2 5 3 2" xfId="14896" xr:uid="{2FF908EF-3B00-4AE2-A21A-71D98C708AF1}"/>
    <cellStyle name="Normal 4 3 2 2 2 5 3 3" xfId="23343" xr:uid="{1823BB0E-38A3-4C6B-A020-E30326A73088}"/>
    <cellStyle name="Normal 4 3 2 2 2 5 3 4" xfId="31790" xr:uid="{EC2CFD2D-9056-4B6F-A134-790FC59820BA}"/>
    <cellStyle name="Normal 4 3 2 2 2 5 4" xfId="10679" xr:uid="{8AC5CB90-94B9-4367-A185-DCAFC2123B85}"/>
    <cellStyle name="Normal 4 3 2 2 2 5 5" xfId="19126" xr:uid="{25835BA0-AB55-4ACE-AFAC-583C6E385121}"/>
    <cellStyle name="Normal 4 3 2 2 2 5 6" xfId="27573" xr:uid="{CF5F55CA-2C56-447F-8954-E56799DC96A6}"/>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17454" xr:uid="{FF50F4B4-CBE9-4694-9614-BFC868EDBFD4}"/>
    <cellStyle name="Normal 4 3 2 2 2 6 2 2 3" xfId="25901" xr:uid="{190E3E6A-1ADE-476B-925B-1596213F827B}"/>
    <cellStyle name="Normal 4 3 2 2 2 6 2 2 4" xfId="34348" xr:uid="{E945975D-D08F-4C98-AA2B-4EB7C13744A7}"/>
    <cellStyle name="Normal 4 3 2 2 2 6 2 3" xfId="13237" xr:uid="{574B45F7-CD20-405A-93B8-A76DF015F898}"/>
    <cellStyle name="Normal 4 3 2 2 2 6 2 4" xfId="21684" xr:uid="{B29C4205-76D2-4780-914E-93B126DD3DDC}"/>
    <cellStyle name="Normal 4 3 2 2 2 6 2 5" xfId="30131" xr:uid="{3520EBBC-2EC2-4286-8978-D443A4B8BA32}"/>
    <cellStyle name="Normal 4 3 2 2 2 6 3" xfId="5983" xr:uid="{00000000-0005-0000-0000-000052140000}"/>
    <cellStyle name="Normal 4 3 2 2 2 6 3 2" xfId="15309" xr:uid="{D15ABEA3-F342-42B1-A5DE-9346B7408736}"/>
    <cellStyle name="Normal 4 3 2 2 2 6 3 3" xfId="23756" xr:uid="{4B8EAD59-22C3-4CFE-B77B-A92673E7C255}"/>
    <cellStyle name="Normal 4 3 2 2 2 6 3 4" xfId="32203" xr:uid="{97F47AD1-B35E-414C-A072-4C4F26C68F6A}"/>
    <cellStyle name="Normal 4 3 2 2 2 6 4" xfId="11092" xr:uid="{044BC022-288C-4D5D-992C-8A72710E6624}"/>
    <cellStyle name="Normal 4 3 2 2 2 6 5" xfId="19539" xr:uid="{46AF0048-43B3-441C-A35B-B453751C732C}"/>
    <cellStyle name="Normal 4 3 2 2 2 6 6" xfId="27986" xr:uid="{28BEAE3D-3182-4E1C-9065-05A53CAD67B8}"/>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17867" xr:uid="{2D3AE8A3-41F9-4845-A372-C8160F31CD2F}"/>
    <cellStyle name="Normal 4 3 2 2 2 7 2 2 3" xfId="26314" xr:uid="{873E9954-57BF-4551-9145-D618CF76D618}"/>
    <cellStyle name="Normal 4 3 2 2 2 7 2 2 4" xfId="34761" xr:uid="{CDA622F3-43CA-472B-A07A-8E3875973AEF}"/>
    <cellStyle name="Normal 4 3 2 2 2 7 2 3" xfId="13650" xr:uid="{A9266CFB-12B1-4F2E-AF66-454F089283DD}"/>
    <cellStyle name="Normal 4 3 2 2 2 7 2 4" xfId="22097" xr:uid="{5C96431F-7FD7-41F9-BFDE-D7BAC5339029}"/>
    <cellStyle name="Normal 4 3 2 2 2 7 2 5" xfId="30544" xr:uid="{044A6F2F-7180-4DA5-8525-86895728F049}"/>
    <cellStyle name="Normal 4 3 2 2 2 7 3" xfId="6396" xr:uid="{00000000-0005-0000-0000-000056140000}"/>
    <cellStyle name="Normal 4 3 2 2 2 7 3 2" xfId="15722" xr:uid="{9307FEB8-93AF-48D9-AE89-6CBC360B60AA}"/>
    <cellStyle name="Normal 4 3 2 2 2 7 3 3" xfId="24169" xr:uid="{16C21F07-04E6-4E2C-8B23-BF8AC6F80387}"/>
    <cellStyle name="Normal 4 3 2 2 2 7 3 4" xfId="32616" xr:uid="{EBD5F4D8-988C-49DB-B44F-5ABA7C236C15}"/>
    <cellStyle name="Normal 4 3 2 2 2 7 4" xfId="11505" xr:uid="{04F48AF3-A8BD-46F2-8EC0-1CCE9E14A18C}"/>
    <cellStyle name="Normal 4 3 2 2 2 7 5" xfId="19952" xr:uid="{F0880438-7E26-4090-B399-2E2E54A1D6F8}"/>
    <cellStyle name="Normal 4 3 2 2 2 7 6" xfId="28399" xr:uid="{35182FD1-65DC-4ABB-A403-12D9FCCCDEAB}"/>
    <cellStyle name="Normal 4 3 2 2 2 8" xfId="2526" xr:uid="{00000000-0005-0000-0000-000057140000}"/>
    <cellStyle name="Normal 4 3 2 2 2 8 2" xfId="6809" xr:uid="{00000000-0005-0000-0000-000058140000}"/>
    <cellStyle name="Normal 4 3 2 2 2 8 2 2" xfId="16135" xr:uid="{70B8FEAB-56C0-47EB-87B0-5D3B0A595297}"/>
    <cellStyle name="Normal 4 3 2 2 2 8 2 3" xfId="24582" xr:uid="{5216FCEF-F10D-4355-9EB5-CC5B2F253A1A}"/>
    <cellStyle name="Normal 4 3 2 2 2 8 2 4" xfId="33029" xr:uid="{29871114-5079-4373-92DC-2B079B37DF9F}"/>
    <cellStyle name="Normal 4 3 2 2 2 8 3" xfId="11918" xr:uid="{08297CFF-3298-4DDF-B3ED-87E3B7225B5E}"/>
    <cellStyle name="Normal 4 3 2 2 2 8 4" xfId="20365" xr:uid="{53E986FD-B0E7-485C-BD4C-B9CFE20885E2}"/>
    <cellStyle name="Normal 4 3 2 2 2 8 5" xfId="28812" xr:uid="{4F2395D3-D463-4B2F-96DF-035DF6AAD075}"/>
    <cellStyle name="Normal 4 3 2 2 2 9" xfId="4744" xr:uid="{00000000-0005-0000-0000-000059140000}"/>
    <cellStyle name="Normal 4 3 2 2 2 9 2" xfId="14070" xr:uid="{3C33AB70-36B8-46E6-9B6A-46AB56F41B2E}"/>
    <cellStyle name="Normal 4 3 2 2 2 9 3" xfId="22517" xr:uid="{14D7F035-C1EC-4BA0-95B6-8746EF919E3F}"/>
    <cellStyle name="Normal 4 3 2 2 2 9 4" xfId="30964" xr:uid="{49EA31E5-8729-4969-808F-6CA6991EBE65}"/>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11" xfId="9857" xr:uid="{DC6B8BE4-7E42-410F-94AE-89A4ED015CB9}"/>
    <cellStyle name="Normal 4 3 3 12" xfId="18304" xr:uid="{B35025A2-3AD5-4808-8411-627007FCFD23}"/>
    <cellStyle name="Normal 4 3 3 13" xfId="26751" xr:uid="{398D2213-51F1-4CB8-81A7-3C4840568291}"/>
    <cellStyle name="Normal 4 3 3 2" xfId="375" xr:uid="{00000000-0005-0000-0000-00005E140000}"/>
    <cellStyle name="Normal 4 3 3 2 10" xfId="9858" xr:uid="{6864C72C-747D-4428-9A93-83FE02AD2967}"/>
    <cellStyle name="Normal 4 3 3 2 11" xfId="18305" xr:uid="{139F89D8-E33F-497B-A4BE-B65A28A1FFD0}"/>
    <cellStyle name="Normal 4 3 3 2 12" xfId="26752" xr:uid="{B3EC14F3-0950-4830-B2F0-E47C68E8390B}"/>
    <cellStyle name="Normal 4 3 3 2 2" xfId="376" xr:uid="{00000000-0005-0000-0000-00005F140000}"/>
    <cellStyle name="Normal 4 3 3 2 2 10" xfId="18306" xr:uid="{41223367-005B-48B5-A1CE-43423DAD268D}"/>
    <cellStyle name="Normal 4 3 3 2 2 11" xfId="26753" xr:uid="{F342D3E9-79EF-449B-9497-99CE4CEAD8BD}"/>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16634" xr:uid="{A63E9CFE-44B8-4D3D-8C17-776502F9B38E}"/>
    <cellStyle name="Normal 4 3 3 2 2 2 2 2 3" xfId="25081" xr:uid="{A5819393-7081-401E-AF6D-2F7AFD7F77CF}"/>
    <cellStyle name="Normal 4 3 3 2 2 2 2 2 4" xfId="33528" xr:uid="{3E5CF673-15C8-4D92-B1AA-44FA6EBA106C}"/>
    <cellStyle name="Normal 4 3 3 2 2 2 2 3" xfId="12417" xr:uid="{376C06C3-5CAC-459E-ACF1-390C99C67EF1}"/>
    <cellStyle name="Normal 4 3 3 2 2 2 2 4" xfId="20864" xr:uid="{3442F301-CA57-44EF-ADCB-E5E3ABF41AA9}"/>
    <cellStyle name="Normal 4 3 3 2 2 2 2 5" xfId="29311" xr:uid="{A5D434A0-D745-47D2-825E-EA6E57D5B44C}"/>
    <cellStyle name="Normal 4 3 3 2 2 2 3" xfId="5163" xr:uid="{00000000-0005-0000-0000-000063140000}"/>
    <cellStyle name="Normal 4 3 3 2 2 2 3 2" xfId="14489" xr:uid="{BEF66AB7-524E-4B55-812C-AE2EFF291C11}"/>
    <cellStyle name="Normal 4 3 3 2 2 2 3 3" xfId="22936" xr:uid="{DDD7A277-4524-47D1-9C1E-9A2EB095BEB3}"/>
    <cellStyle name="Normal 4 3 3 2 2 2 3 4" xfId="31383" xr:uid="{4F6A8FAF-961C-4290-BCAD-37F6ED6B7EB5}"/>
    <cellStyle name="Normal 4 3 3 2 2 2 4" xfId="9556" xr:uid="{7233D5E9-9F1E-43FF-8391-DCCFDF8A705D}"/>
    <cellStyle name="Normal 4 3 3 2 2 2 5" xfId="10272" xr:uid="{12459EED-A085-4C2B-9A62-A808C0C6CA68}"/>
    <cellStyle name="Normal 4 3 3 2 2 2 6" xfId="18719" xr:uid="{4604548A-6196-4C83-A12E-02F92D736E28}"/>
    <cellStyle name="Normal 4 3 3 2 2 2 7" xfId="27166" xr:uid="{5940BE64-47CE-4A92-AB3D-B19417C54E1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17047" xr:uid="{70BA1170-1AC9-4986-B644-D68D26DF9C41}"/>
    <cellStyle name="Normal 4 3 3 2 2 3 2 2 3" xfId="25494" xr:uid="{974240EA-4728-4464-B4E2-52D089B53AF5}"/>
    <cellStyle name="Normal 4 3 3 2 2 3 2 2 4" xfId="33941" xr:uid="{C39AFF86-9844-44E3-8B11-9ACAFC1F37B7}"/>
    <cellStyle name="Normal 4 3 3 2 2 3 2 3" xfId="12830" xr:uid="{8C60C51C-1E38-4FCD-B839-80FA96A4656C}"/>
    <cellStyle name="Normal 4 3 3 2 2 3 2 4" xfId="21277" xr:uid="{433D8681-0B97-4FF0-AC93-5952B01FD135}"/>
    <cellStyle name="Normal 4 3 3 2 2 3 2 5" xfId="29724" xr:uid="{F88B20D2-412B-4759-AEED-CF7984805D15}"/>
    <cellStyle name="Normal 4 3 3 2 2 3 3" xfId="5576" xr:uid="{00000000-0005-0000-0000-000067140000}"/>
    <cellStyle name="Normal 4 3 3 2 2 3 3 2" xfId="14902" xr:uid="{779852BC-BDD5-4458-9D88-4B048102B247}"/>
    <cellStyle name="Normal 4 3 3 2 2 3 3 3" xfId="23349" xr:uid="{34A25420-9EF5-46FC-AD49-4756A39D8746}"/>
    <cellStyle name="Normal 4 3 3 2 2 3 3 4" xfId="31796" xr:uid="{1F3697FE-6B28-446F-8A98-11979A8AEC33}"/>
    <cellStyle name="Normal 4 3 3 2 2 3 4" xfId="10685" xr:uid="{0806F9CD-895F-4C26-889B-921E3382B04C}"/>
    <cellStyle name="Normal 4 3 3 2 2 3 5" xfId="19132" xr:uid="{625052A4-F307-4D5A-BF66-636E1519A6E4}"/>
    <cellStyle name="Normal 4 3 3 2 2 3 6" xfId="27579" xr:uid="{F8AF8FE4-7177-4150-B28B-06B22A45D7AF}"/>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17460" xr:uid="{4AA5BBA7-CBCF-460E-976D-3A7F7EDEBF13}"/>
    <cellStyle name="Normal 4 3 3 2 2 4 2 2 3" xfId="25907" xr:uid="{7BADFEDF-2128-463D-BD10-AB4B8069F5E7}"/>
    <cellStyle name="Normal 4 3 3 2 2 4 2 2 4" xfId="34354" xr:uid="{5CEF726A-1694-499D-B78E-B61B25DA9991}"/>
    <cellStyle name="Normal 4 3 3 2 2 4 2 3" xfId="13243" xr:uid="{71A0CF99-42E6-41AD-9653-7A76AD98A064}"/>
    <cellStyle name="Normal 4 3 3 2 2 4 2 4" xfId="21690" xr:uid="{61D104A5-0A65-46FF-9796-E1A5F1D6785F}"/>
    <cellStyle name="Normal 4 3 3 2 2 4 2 5" xfId="30137" xr:uid="{821549E2-BE07-429A-9F50-D5D675F6110E}"/>
    <cellStyle name="Normal 4 3 3 2 2 4 3" xfId="5989" xr:uid="{00000000-0005-0000-0000-00006B140000}"/>
    <cellStyle name="Normal 4 3 3 2 2 4 3 2" xfId="15315" xr:uid="{615258FA-AEF2-4425-9E71-D2FF99C79CB9}"/>
    <cellStyle name="Normal 4 3 3 2 2 4 3 3" xfId="23762" xr:uid="{D6FD5D7A-A57B-4715-A551-56DA86119B45}"/>
    <cellStyle name="Normal 4 3 3 2 2 4 3 4" xfId="32209" xr:uid="{741DD94F-EE9F-482E-97F9-84FF6B253F3A}"/>
    <cellStyle name="Normal 4 3 3 2 2 4 4" xfId="11098" xr:uid="{0A05B4C8-AF11-4D6B-AB9C-4803BCC855E5}"/>
    <cellStyle name="Normal 4 3 3 2 2 4 5" xfId="19545" xr:uid="{124CBBDD-3B39-47B7-B51F-4251F6BC7EA0}"/>
    <cellStyle name="Normal 4 3 3 2 2 4 6" xfId="27992" xr:uid="{EFA289E6-DD33-43AF-BB08-31728A868A52}"/>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17873" xr:uid="{1F744A29-C662-419B-A52F-B0C9BDAD42C5}"/>
    <cellStyle name="Normal 4 3 3 2 2 5 2 2 3" xfId="26320" xr:uid="{27F3EFDC-0963-48FC-9B83-3BCD6EF65B84}"/>
    <cellStyle name="Normal 4 3 3 2 2 5 2 2 4" xfId="34767" xr:uid="{057438FE-D842-488D-AB18-F5F24D940CD3}"/>
    <cellStyle name="Normal 4 3 3 2 2 5 2 3" xfId="13656" xr:uid="{42E31E69-CB0C-4ACC-96C5-8090C6F9949E}"/>
    <cellStyle name="Normal 4 3 3 2 2 5 2 4" xfId="22103" xr:uid="{633DBB51-7488-4CAD-BDDF-EF4D857C87E0}"/>
    <cellStyle name="Normal 4 3 3 2 2 5 2 5" xfId="30550" xr:uid="{6204ABE7-812A-4CC0-A077-8B8B3F276DB9}"/>
    <cellStyle name="Normal 4 3 3 2 2 5 3" xfId="6402" xr:uid="{00000000-0005-0000-0000-00006F140000}"/>
    <cellStyle name="Normal 4 3 3 2 2 5 3 2" xfId="15728" xr:uid="{05F81D17-B226-4063-B621-0706A040D85C}"/>
    <cellStyle name="Normal 4 3 3 2 2 5 3 3" xfId="24175" xr:uid="{9B6EFEAE-98AF-446B-BDE9-5F578CA40370}"/>
    <cellStyle name="Normal 4 3 3 2 2 5 3 4" xfId="32622" xr:uid="{82F9F0FF-050A-446D-A122-791283E3C52A}"/>
    <cellStyle name="Normal 4 3 3 2 2 5 4" xfId="11511" xr:uid="{95857C84-B82D-4FF2-89EA-052F48ED58A7}"/>
    <cellStyle name="Normal 4 3 3 2 2 5 5" xfId="19958" xr:uid="{AEED8E4B-B258-45A3-91A1-AA921F2698D6}"/>
    <cellStyle name="Normal 4 3 3 2 2 5 6" xfId="28405" xr:uid="{9076E8C9-8457-41C9-AAB0-76A6A5048125}"/>
    <cellStyle name="Normal 4 3 3 2 2 6" xfId="2532" xr:uid="{00000000-0005-0000-0000-000070140000}"/>
    <cellStyle name="Normal 4 3 3 2 2 6 2" xfId="6815" xr:uid="{00000000-0005-0000-0000-000071140000}"/>
    <cellStyle name="Normal 4 3 3 2 2 6 2 2" xfId="16141" xr:uid="{511F6FE1-5968-4759-AACB-CE05757090A5}"/>
    <cellStyle name="Normal 4 3 3 2 2 6 2 3" xfId="24588" xr:uid="{21F056FB-594B-4D3B-BB81-B93CFC114E98}"/>
    <cellStyle name="Normal 4 3 3 2 2 6 2 4" xfId="33035" xr:uid="{2449093F-5C7B-4ECE-81BC-E82819BA305E}"/>
    <cellStyle name="Normal 4 3 3 2 2 6 3" xfId="11924" xr:uid="{851C5896-3E6B-47BA-9AB9-CE7D7982EFB9}"/>
    <cellStyle name="Normal 4 3 3 2 2 6 4" xfId="20371" xr:uid="{5C150163-23F4-4B10-913C-685989CA1786}"/>
    <cellStyle name="Normal 4 3 3 2 2 6 5" xfId="28818" xr:uid="{AEC2922C-C45B-4251-9F5E-2079930EC124}"/>
    <cellStyle name="Normal 4 3 3 2 2 7" xfId="4750" xr:uid="{00000000-0005-0000-0000-000072140000}"/>
    <cellStyle name="Normal 4 3 3 2 2 7 2" xfId="14076" xr:uid="{B971F771-6D2D-4B2C-A860-87AA7A8C847D}"/>
    <cellStyle name="Normal 4 3 3 2 2 7 3" xfId="22523" xr:uid="{A3445CBC-F33B-4B1C-953F-D015A676DBF2}"/>
    <cellStyle name="Normal 4 3 3 2 2 7 4" xfId="30970" xr:uid="{0FF2C3E6-A834-47BD-91F9-215EE5D5B459}"/>
    <cellStyle name="Normal 4 3 3 2 2 8" xfId="9131" xr:uid="{D7BA3B10-6765-4B57-99D1-3AF7343772F8}"/>
    <cellStyle name="Normal 4 3 3 2 2 9" xfId="9859" xr:uid="{AFEA1E46-7121-407A-B5ED-B33B36C26D41}"/>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16633" xr:uid="{1233BCF3-6C1C-46EF-B380-7527807B7626}"/>
    <cellStyle name="Normal 4 3 3 2 3 2 2 3" xfId="25080" xr:uid="{CF468B83-1905-4604-AF7D-06205676ADB2}"/>
    <cellStyle name="Normal 4 3 3 2 3 2 2 4" xfId="33527" xr:uid="{6871F961-42FA-4A1A-A09A-5D64E5C3A401}"/>
    <cellStyle name="Normal 4 3 3 2 3 2 3" xfId="12416" xr:uid="{C629E4C3-615B-450F-B857-4DD647063BD2}"/>
    <cellStyle name="Normal 4 3 3 2 3 2 4" xfId="20863" xr:uid="{F01AAF61-2A05-434F-B5D6-C70C77E89BC3}"/>
    <cellStyle name="Normal 4 3 3 2 3 2 5" xfId="29310" xr:uid="{49A7EF71-5E5C-4EE5-A901-1C143DFCCF02}"/>
    <cellStyle name="Normal 4 3 3 2 3 3" xfId="5162" xr:uid="{00000000-0005-0000-0000-000076140000}"/>
    <cellStyle name="Normal 4 3 3 2 3 3 2" xfId="14488" xr:uid="{DE233BD2-B3F3-437B-A2AC-16D188CB0DA7}"/>
    <cellStyle name="Normal 4 3 3 2 3 3 3" xfId="22935" xr:uid="{3891BF22-78FB-44CE-B3D2-96AB4AC1EEF5}"/>
    <cellStyle name="Normal 4 3 3 2 3 3 4" xfId="31382" xr:uid="{56D02298-9863-4E41-8303-C751D399E324}"/>
    <cellStyle name="Normal 4 3 3 2 3 4" xfId="9349" xr:uid="{E498700C-D7AE-42FC-8EB1-59BA2C1BA6B9}"/>
    <cellStyle name="Normal 4 3 3 2 3 5" xfId="10271" xr:uid="{71D1203F-7DD6-4BB2-9042-77AEB06E8CA6}"/>
    <cellStyle name="Normal 4 3 3 2 3 6" xfId="18718" xr:uid="{51D5EDD9-E952-4A16-9310-3DA33680FC24}"/>
    <cellStyle name="Normal 4 3 3 2 3 7" xfId="27165" xr:uid="{D253E223-55D6-49D9-88D1-27373B4437E0}"/>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17046" xr:uid="{4B3033F2-7037-4609-AA13-03F0E697C8F0}"/>
    <cellStyle name="Normal 4 3 3 2 4 2 2 3" xfId="25493" xr:uid="{9B760BDD-1991-47A0-8126-46DA9304EE72}"/>
    <cellStyle name="Normal 4 3 3 2 4 2 2 4" xfId="33940" xr:uid="{8FE95DC3-CBB9-4752-94BA-6D0FDCC4492C}"/>
    <cellStyle name="Normal 4 3 3 2 4 2 3" xfId="12829" xr:uid="{BDA1564A-22E5-4F4E-8748-ABB963DA1CDE}"/>
    <cellStyle name="Normal 4 3 3 2 4 2 4" xfId="21276" xr:uid="{C8C541D1-1669-4C10-A7EC-66EC9417EE7A}"/>
    <cellStyle name="Normal 4 3 3 2 4 2 5" xfId="29723" xr:uid="{A2EF72C3-24E4-4FF7-8DC6-E6A1CFBA4278}"/>
    <cellStyle name="Normal 4 3 3 2 4 3" xfId="5575" xr:uid="{00000000-0005-0000-0000-00007A140000}"/>
    <cellStyle name="Normal 4 3 3 2 4 3 2" xfId="14901" xr:uid="{8878C378-9DA5-4B50-B41F-EADEE1805E85}"/>
    <cellStyle name="Normal 4 3 3 2 4 3 3" xfId="23348" xr:uid="{9B7EE6B4-9986-4242-BD55-63192CE829B0}"/>
    <cellStyle name="Normal 4 3 3 2 4 3 4" xfId="31795" xr:uid="{9A0658EE-BCFD-4FC4-BCD2-0BC46E2EB725}"/>
    <cellStyle name="Normal 4 3 3 2 4 4" xfId="10684" xr:uid="{B8CBD535-79A3-40D1-89B6-31D6E2C7F9AB}"/>
    <cellStyle name="Normal 4 3 3 2 4 5" xfId="19131" xr:uid="{A833B4BB-1EED-4E78-AF33-41FC6E1A2641}"/>
    <cellStyle name="Normal 4 3 3 2 4 6" xfId="27578" xr:uid="{F68CDD40-2224-4A6F-B4A9-BB094B6F5327}"/>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17459" xr:uid="{124497C6-75CA-4ABB-9BDC-0E2A52990433}"/>
    <cellStyle name="Normal 4 3 3 2 5 2 2 3" xfId="25906" xr:uid="{0EA82F62-6854-4940-BF76-058ABC764E6A}"/>
    <cellStyle name="Normal 4 3 3 2 5 2 2 4" xfId="34353" xr:uid="{41914ED9-39DA-4997-9D2E-2FE999AB87E6}"/>
    <cellStyle name="Normal 4 3 3 2 5 2 3" xfId="13242" xr:uid="{271B1240-00C0-4B21-99F1-14C41E1454FA}"/>
    <cellStyle name="Normal 4 3 3 2 5 2 4" xfId="21689" xr:uid="{EA14A1C6-8FD6-45AC-9AE5-DBED0B648378}"/>
    <cellStyle name="Normal 4 3 3 2 5 2 5" xfId="30136" xr:uid="{15F421DC-1145-4BB4-99BC-D6E6F4B39A7C}"/>
    <cellStyle name="Normal 4 3 3 2 5 3" xfId="5988" xr:uid="{00000000-0005-0000-0000-00007E140000}"/>
    <cellStyle name="Normal 4 3 3 2 5 3 2" xfId="15314" xr:uid="{5E2301FB-8E53-462A-8E9D-450293C91551}"/>
    <cellStyle name="Normal 4 3 3 2 5 3 3" xfId="23761" xr:uid="{1AB9307F-8FBB-444E-B33A-7D75BC7DD0B2}"/>
    <cellStyle name="Normal 4 3 3 2 5 3 4" xfId="32208" xr:uid="{CAAA8475-4A43-453A-AE66-6A8B78524714}"/>
    <cellStyle name="Normal 4 3 3 2 5 4" xfId="11097" xr:uid="{06140C7F-A808-45B6-B272-C2BB1DD5AA77}"/>
    <cellStyle name="Normal 4 3 3 2 5 5" xfId="19544" xr:uid="{7A38B2FB-F42D-46A4-A310-9353D9919BB3}"/>
    <cellStyle name="Normal 4 3 3 2 5 6" xfId="27991" xr:uid="{58E44A93-C3BC-457F-80B7-C5AC24843288}"/>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17872" xr:uid="{0EDB0229-93A3-4872-908C-36E711EC0240}"/>
    <cellStyle name="Normal 4 3 3 2 6 2 2 3" xfId="26319" xr:uid="{282E2B8A-1956-420C-A12E-D6C687AF7EFC}"/>
    <cellStyle name="Normal 4 3 3 2 6 2 2 4" xfId="34766" xr:uid="{49E047A7-7619-41B8-B1C2-4895BC9006F6}"/>
    <cellStyle name="Normal 4 3 3 2 6 2 3" xfId="13655" xr:uid="{EE222761-9D5A-40F9-BDA0-F3D51FC3EF73}"/>
    <cellStyle name="Normal 4 3 3 2 6 2 4" xfId="22102" xr:uid="{085A6169-46AC-4AB2-AC24-E93086D6AF59}"/>
    <cellStyle name="Normal 4 3 3 2 6 2 5" xfId="30549" xr:uid="{0C138F66-C7EC-44C6-872F-8AC28C15D2BB}"/>
    <cellStyle name="Normal 4 3 3 2 6 3" xfId="6401" xr:uid="{00000000-0005-0000-0000-000082140000}"/>
    <cellStyle name="Normal 4 3 3 2 6 3 2" xfId="15727" xr:uid="{E393A422-B4A5-4BF4-9198-2BBD6AAE4CAD}"/>
    <cellStyle name="Normal 4 3 3 2 6 3 3" xfId="24174" xr:uid="{805CE0F9-1329-4802-B898-C625132D0F94}"/>
    <cellStyle name="Normal 4 3 3 2 6 3 4" xfId="32621" xr:uid="{E94FC2AC-5312-4A92-96AD-C5C46E492FE6}"/>
    <cellStyle name="Normal 4 3 3 2 6 4" xfId="11510" xr:uid="{BED47F69-36DC-429B-8A83-A3E856DCDF1C}"/>
    <cellStyle name="Normal 4 3 3 2 6 5" xfId="19957" xr:uid="{5C0A1F7D-9A59-453B-96FA-A1162979FA58}"/>
    <cellStyle name="Normal 4 3 3 2 6 6" xfId="28404" xr:uid="{8D3D6E3B-20A2-40BB-8524-99C104C2FEBB}"/>
    <cellStyle name="Normal 4 3 3 2 7" xfId="2531" xr:uid="{00000000-0005-0000-0000-000083140000}"/>
    <cellStyle name="Normal 4 3 3 2 7 2" xfId="6814" xr:uid="{00000000-0005-0000-0000-000084140000}"/>
    <cellStyle name="Normal 4 3 3 2 7 2 2" xfId="16140" xr:uid="{0A50654A-17CD-47D2-ABEC-6E8DD4931520}"/>
    <cellStyle name="Normal 4 3 3 2 7 2 3" xfId="24587" xr:uid="{D1CFF24C-FA5E-490D-86DE-54374989AD24}"/>
    <cellStyle name="Normal 4 3 3 2 7 2 4" xfId="33034" xr:uid="{3458A68D-679B-44AD-AE91-D1C0F301171D}"/>
    <cellStyle name="Normal 4 3 3 2 7 3" xfId="11923" xr:uid="{D071770E-23AB-4EA3-A1DB-094B26446F6E}"/>
    <cellStyle name="Normal 4 3 3 2 7 4" xfId="20370" xr:uid="{9C196A45-DC61-4D4B-9085-5346ABD90FB8}"/>
    <cellStyle name="Normal 4 3 3 2 7 5" xfId="28817" xr:uid="{0238CAF3-CC26-43EE-929A-5B99AFE4B2BE}"/>
    <cellStyle name="Normal 4 3 3 2 8" xfId="4749" xr:uid="{00000000-0005-0000-0000-000085140000}"/>
    <cellStyle name="Normal 4 3 3 2 8 2" xfId="14075" xr:uid="{FD42AEC8-0E15-48B4-8DEC-605FF0896EA1}"/>
    <cellStyle name="Normal 4 3 3 2 8 3" xfId="22522" xr:uid="{A88FC3B7-4B7E-48A9-AC33-4AEAF8C8F39E}"/>
    <cellStyle name="Normal 4 3 3 2 8 4" xfId="30969" xr:uid="{07E04BFA-5D9C-45E4-8FD2-6BCAF263A850}"/>
    <cellStyle name="Normal 4 3 3 2 9" xfId="8924" xr:uid="{F9E914C5-63E8-4CB8-8EA1-7427CE35C4AA}"/>
    <cellStyle name="Normal 4 3 3 3" xfId="377" xr:uid="{00000000-0005-0000-0000-000086140000}"/>
    <cellStyle name="Normal 4 3 3 3 10" xfId="18307" xr:uid="{2EB374F6-FD9A-480D-A5F4-D6E4781E5D01}"/>
    <cellStyle name="Normal 4 3 3 3 11" xfId="26754" xr:uid="{891549CD-D776-4356-96E8-CCF2512E3B1F}"/>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16635" xr:uid="{F3DDFD0D-1B18-4877-AF7F-B30700EFA6EE}"/>
    <cellStyle name="Normal 4 3 3 3 2 2 2 3" xfId="25082" xr:uid="{781DD476-E281-4059-9708-E7E2599D4783}"/>
    <cellStyle name="Normal 4 3 3 3 2 2 2 4" xfId="33529" xr:uid="{CD460613-A576-4B27-B656-B7FC666989B4}"/>
    <cellStyle name="Normal 4 3 3 3 2 2 3" xfId="12418" xr:uid="{C05461B5-AFCA-4792-ABB9-DD6EE1E0F711}"/>
    <cellStyle name="Normal 4 3 3 3 2 2 4" xfId="20865" xr:uid="{CA7DC2F8-8D3C-494E-89F4-9C79C3418330}"/>
    <cellStyle name="Normal 4 3 3 3 2 2 5" xfId="29312" xr:uid="{65D991CC-E095-4729-876E-C0A81F288827}"/>
    <cellStyle name="Normal 4 3 3 3 2 3" xfId="5164" xr:uid="{00000000-0005-0000-0000-00008A140000}"/>
    <cellStyle name="Normal 4 3 3 3 2 3 2" xfId="14490" xr:uid="{0943B1F7-754B-4E35-86C0-4C69AB78C783}"/>
    <cellStyle name="Normal 4 3 3 3 2 3 3" xfId="22937" xr:uid="{8FD8A7B9-C741-4C8D-A01A-47E28166EBCE}"/>
    <cellStyle name="Normal 4 3 3 3 2 3 4" xfId="31384" xr:uid="{11568F3D-05E0-455D-A767-D8462DDCFC19}"/>
    <cellStyle name="Normal 4 3 3 3 2 4" xfId="9453" xr:uid="{18D68920-503C-42C1-A733-EBE17DC6D008}"/>
    <cellStyle name="Normal 4 3 3 3 2 5" xfId="10273" xr:uid="{3456F6E3-48FC-4525-838E-8FD5EA8C42DC}"/>
    <cellStyle name="Normal 4 3 3 3 2 6" xfId="18720" xr:uid="{DF364683-BE51-47B1-BF14-8CD2EE96E72B}"/>
    <cellStyle name="Normal 4 3 3 3 2 7" xfId="27167" xr:uid="{5FBBC95C-D146-401D-AD81-D3249D2BAF0F}"/>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17048" xr:uid="{B092927C-9A2E-4E93-BC04-A19A10D63E28}"/>
    <cellStyle name="Normal 4 3 3 3 3 2 2 3" xfId="25495" xr:uid="{D14A651E-DAB5-485D-9C40-3D2B7637A5E1}"/>
    <cellStyle name="Normal 4 3 3 3 3 2 2 4" xfId="33942" xr:uid="{EA616C73-5120-47A0-AF22-2050231E1EB6}"/>
    <cellStyle name="Normal 4 3 3 3 3 2 3" xfId="12831" xr:uid="{D2BC0C7B-7D5B-4A32-A035-A19B6F622F17}"/>
    <cellStyle name="Normal 4 3 3 3 3 2 4" xfId="21278" xr:uid="{87D182DF-9489-412A-B543-F4FFD7EFF469}"/>
    <cellStyle name="Normal 4 3 3 3 3 2 5" xfId="29725" xr:uid="{D9F61CAB-CF2F-4EFA-ABCC-FC90BCF5A37E}"/>
    <cellStyle name="Normal 4 3 3 3 3 3" xfId="5577" xr:uid="{00000000-0005-0000-0000-00008E140000}"/>
    <cellStyle name="Normal 4 3 3 3 3 3 2" xfId="14903" xr:uid="{481F6578-B608-4B8D-82B4-1D01B7DE4B86}"/>
    <cellStyle name="Normal 4 3 3 3 3 3 3" xfId="23350" xr:uid="{E194DAE6-2A64-42A3-940A-FE109C097EEE}"/>
    <cellStyle name="Normal 4 3 3 3 3 3 4" xfId="31797" xr:uid="{2ADC2239-F5EF-4C79-9C8D-798120B6C8A6}"/>
    <cellStyle name="Normal 4 3 3 3 3 4" xfId="10686" xr:uid="{68BBD2DB-5218-4D5E-AF98-1A2A98378097}"/>
    <cellStyle name="Normal 4 3 3 3 3 5" xfId="19133" xr:uid="{89681587-9B61-45D6-8D58-BBE1D08C83A1}"/>
    <cellStyle name="Normal 4 3 3 3 3 6" xfId="27580" xr:uid="{85488B23-F50F-4CC0-BB5B-1E03EED28DAA}"/>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17461" xr:uid="{CECB16C1-C21D-4B5D-A25F-C6B244494EF7}"/>
    <cellStyle name="Normal 4 3 3 3 4 2 2 3" xfId="25908" xr:uid="{1662CC3E-5F38-4E25-9714-617F63A98B24}"/>
    <cellStyle name="Normal 4 3 3 3 4 2 2 4" xfId="34355" xr:uid="{94C4D219-67EF-4FAF-A077-8E1420FF870D}"/>
    <cellStyle name="Normal 4 3 3 3 4 2 3" xfId="13244" xr:uid="{4BCAA908-EE8A-426F-8FA2-6C9FB4B0AE50}"/>
    <cellStyle name="Normal 4 3 3 3 4 2 4" xfId="21691" xr:uid="{666DD0BB-7729-4ABC-B689-D483D3396745}"/>
    <cellStyle name="Normal 4 3 3 3 4 2 5" xfId="30138" xr:uid="{4BE86373-B76D-431B-9C4C-A3ACDAAFA64B}"/>
    <cellStyle name="Normal 4 3 3 3 4 3" xfId="5990" xr:uid="{00000000-0005-0000-0000-000092140000}"/>
    <cellStyle name="Normal 4 3 3 3 4 3 2" xfId="15316" xr:uid="{A6FAE1B7-52EB-4645-9A5A-50D0245A7DBC}"/>
    <cellStyle name="Normal 4 3 3 3 4 3 3" xfId="23763" xr:uid="{11618167-D5A2-45D2-AF00-0C41C1A7B5A5}"/>
    <cellStyle name="Normal 4 3 3 3 4 3 4" xfId="32210" xr:uid="{62BF5126-DFB5-4E1C-B170-3F81714712EC}"/>
    <cellStyle name="Normal 4 3 3 3 4 4" xfId="11099" xr:uid="{B08981E0-058D-4AF4-943A-0829560B2EF4}"/>
    <cellStyle name="Normal 4 3 3 3 4 5" xfId="19546" xr:uid="{978C8CD0-E250-4B25-8A2D-2EA10299D5EE}"/>
    <cellStyle name="Normal 4 3 3 3 4 6" xfId="27993" xr:uid="{871E8582-B556-4BED-8469-400698E2B02E}"/>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17874" xr:uid="{A26F6089-FF86-44D7-B691-F390FFB3D667}"/>
    <cellStyle name="Normal 4 3 3 3 5 2 2 3" xfId="26321" xr:uid="{F09A7D86-9B09-484D-9A71-E55AB0D91E97}"/>
    <cellStyle name="Normal 4 3 3 3 5 2 2 4" xfId="34768" xr:uid="{9FFB5D92-C701-4C39-930F-56A84AE12F4D}"/>
    <cellStyle name="Normal 4 3 3 3 5 2 3" xfId="13657" xr:uid="{70CF3CD0-A397-4638-9F4A-648D2F0E09BA}"/>
    <cellStyle name="Normal 4 3 3 3 5 2 4" xfId="22104" xr:uid="{F7D8BD22-2081-4760-B6A3-498143E46C1D}"/>
    <cellStyle name="Normal 4 3 3 3 5 2 5" xfId="30551" xr:uid="{C67259CE-D22A-4F16-BFDE-B03D280ACFDE}"/>
    <cellStyle name="Normal 4 3 3 3 5 3" xfId="6403" xr:uid="{00000000-0005-0000-0000-000096140000}"/>
    <cellStyle name="Normal 4 3 3 3 5 3 2" xfId="15729" xr:uid="{B8CB9930-6A87-4326-8D97-B1647DE7B735}"/>
    <cellStyle name="Normal 4 3 3 3 5 3 3" xfId="24176" xr:uid="{91F9E73B-78C9-4DD0-83D6-8EFEADE94E88}"/>
    <cellStyle name="Normal 4 3 3 3 5 3 4" xfId="32623" xr:uid="{EFCC0012-DAD1-4E3A-BCC3-46F907924BAA}"/>
    <cellStyle name="Normal 4 3 3 3 5 4" xfId="11512" xr:uid="{C54B713D-47F5-4E0D-95BB-66BB1D4CA653}"/>
    <cellStyle name="Normal 4 3 3 3 5 5" xfId="19959" xr:uid="{3271A736-6430-40C8-A1D1-15B1047BB863}"/>
    <cellStyle name="Normal 4 3 3 3 5 6" xfId="28406" xr:uid="{E613CF4F-01FC-4FF8-B971-9451994F677F}"/>
    <cellStyle name="Normal 4 3 3 3 6" xfId="2533" xr:uid="{00000000-0005-0000-0000-000097140000}"/>
    <cellStyle name="Normal 4 3 3 3 6 2" xfId="6816" xr:uid="{00000000-0005-0000-0000-000098140000}"/>
    <cellStyle name="Normal 4 3 3 3 6 2 2" xfId="16142" xr:uid="{8E0972E6-814F-4276-ABF7-4BF1CFA04E3B}"/>
    <cellStyle name="Normal 4 3 3 3 6 2 3" xfId="24589" xr:uid="{F41B4BCA-54B4-434A-8450-621D970C9C67}"/>
    <cellStyle name="Normal 4 3 3 3 6 2 4" xfId="33036" xr:uid="{23E3B18F-3E7B-44D7-95D2-890254A28DDE}"/>
    <cellStyle name="Normal 4 3 3 3 6 3" xfId="11925" xr:uid="{99858839-9539-4722-B0A4-B4D27CB3F6B6}"/>
    <cellStyle name="Normal 4 3 3 3 6 4" xfId="20372" xr:uid="{11DA6C93-5EFB-40BD-9846-93D79F790E1F}"/>
    <cellStyle name="Normal 4 3 3 3 6 5" xfId="28819" xr:uid="{E5DA891F-9DB5-4A86-89FA-60B87482DBC3}"/>
    <cellStyle name="Normal 4 3 3 3 7" xfId="4751" xr:uid="{00000000-0005-0000-0000-000099140000}"/>
    <cellStyle name="Normal 4 3 3 3 7 2" xfId="14077" xr:uid="{143BDCA8-7398-4B03-B287-90B7EEE131F1}"/>
    <cellStyle name="Normal 4 3 3 3 7 3" xfId="22524" xr:uid="{305D9850-9AF8-4182-97F9-6F1DE75DBC34}"/>
    <cellStyle name="Normal 4 3 3 3 7 4" xfId="30971" xr:uid="{878B54B7-D0EA-42EC-9C2F-B562E411319A}"/>
    <cellStyle name="Normal 4 3 3 3 8" xfId="9028" xr:uid="{A0BD85BE-0D8B-455E-B326-708B8FF8A8C8}"/>
    <cellStyle name="Normal 4 3 3 3 9" xfId="9860" xr:uid="{9AA09444-7B91-49C1-9D13-ED40B2124786}"/>
    <cellStyle name="Normal 4 3 3 4" xfId="849" xr:uid="{00000000-0005-0000-0000-00009A140000}"/>
    <cellStyle name="Normal 4 3 3 4 2" xfId="3084" xr:uid="{00000000-0005-0000-0000-00009B140000}"/>
    <cellStyle name="Normal 4 3 3 4 2 2" xfId="7306" xr:uid="{00000000-0005-0000-0000-00009C140000}"/>
    <cellStyle name="Normal 4 3 3 4 2 2 2" xfId="16632" xr:uid="{82A5D187-BB8F-4C4B-8583-BFB98BC3E00F}"/>
    <cellStyle name="Normal 4 3 3 4 2 2 3" xfId="25079" xr:uid="{EE69D136-5E77-4AE0-9476-C5230B03F51C}"/>
    <cellStyle name="Normal 4 3 3 4 2 2 4" xfId="33526" xr:uid="{2BED6598-423F-4B25-9402-E5D7A9E397E0}"/>
    <cellStyle name="Normal 4 3 3 4 2 3" xfId="12415" xr:uid="{F1880D6D-D9D3-4171-8F6B-B444C9B711C2}"/>
    <cellStyle name="Normal 4 3 3 4 2 4" xfId="20862" xr:uid="{1AC8D629-ED9B-4BF4-AF9A-2A0326E6C1C8}"/>
    <cellStyle name="Normal 4 3 3 4 2 5" xfId="29309" xr:uid="{5B39931B-B1BA-4BE6-B244-A7E867F8CFA5}"/>
    <cellStyle name="Normal 4 3 3 4 3" xfId="5161" xr:uid="{00000000-0005-0000-0000-00009D140000}"/>
    <cellStyle name="Normal 4 3 3 4 3 2" xfId="14487" xr:uid="{FD085D0E-22E7-4D94-9177-1D88E2217BE5}"/>
    <cellStyle name="Normal 4 3 3 4 3 3" xfId="22934" xr:uid="{06349FE1-CBE6-46ED-89B8-B3187A6D4D7A}"/>
    <cellStyle name="Normal 4 3 3 4 3 4" xfId="31381" xr:uid="{953725DE-97F7-4AEE-9613-BF07E552E68D}"/>
    <cellStyle name="Normal 4 3 3 4 4" xfId="9246" xr:uid="{E1107DA9-8F13-4216-80A2-CEA1D2EF57FC}"/>
    <cellStyle name="Normal 4 3 3 4 5" xfId="10270" xr:uid="{5CF8CD58-1745-470D-A924-F78E0523F995}"/>
    <cellStyle name="Normal 4 3 3 4 6" xfId="18717" xr:uid="{D27133BB-5B17-43FC-A312-75A6843609E9}"/>
    <cellStyle name="Normal 4 3 3 4 7" xfId="27164" xr:uid="{ABF0D1DE-61D6-4A52-8503-85CFF4B1E397}"/>
    <cellStyle name="Normal 4 3 3 5" xfId="1267" xr:uid="{00000000-0005-0000-0000-00009E140000}"/>
    <cellStyle name="Normal 4 3 3 5 2" xfId="3497" xr:uid="{00000000-0005-0000-0000-00009F140000}"/>
    <cellStyle name="Normal 4 3 3 5 2 2" xfId="7719" xr:uid="{00000000-0005-0000-0000-0000A0140000}"/>
    <cellStyle name="Normal 4 3 3 5 2 2 2" xfId="17045" xr:uid="{C4B74F3E-61BF-4CB6-985E-9A4E7964B2B7}"/>
    <cellStyle name="Normal 4 3 3 5 2 2 3" xfId="25492" xr:uid="{F326E753-11F1-4F12-A248-9D48721CCBC0}"/>
    <cellStyle name="Normal 4 3 3 5 2 2 4" xfId="33939" xr:uid="{75A26522-675F-48A0-8F98-3AB0562A785D}"/>
    <cellStyle name="Normal 4 3 3 5 2 3" xfId="12828" xr:uid="{D8929E49-7AB6-4ABA-A84A-07AC76F61C91}"/>
    <cellStyle name="Normal 4 3 3 5 2 4" xfId="21275" xr:uid="{63B00C30-72FE-4354-861B-C2774A98FB86}"/>
    <cellStyle name="Normal 4 3 3 5 2 5" xfId="29722" xr:uid="{9AD10292-4CEF-4B77-9E21-B6850CE4F7D1}"/>
    <cellStyle name="Normal 4 3 3 5 3" xfId="5574" xr:uid="{00000000-0005-0000-0000-0000A1140000}"/>
    <cellStyle name="Normal 4 3 3 5 3 2" xfId="14900" xr:uid="{F1039522-9493-428B-8DAC-4ABA98C895F8}"/>
    <cellStyle name="Normal 4 3 3 5 3 3" xfId="23347" xr:uid="{24D924B2-BE97-48F1-A417-E0B9B2A73287}"/>
    <cellStyle name="Normal 4 3 3 5 3 4" xfId="31794" xr:uid="{A874DF93-A6C5-40AB-BBD6-C4F67E3F5A18}"/>
    <cellStyle name="Normal 4 3 3 5 4" xfId="10683" xr:uid="{1649E9F1-5835-42C2-8B8D-DCC2AC192017}"/>
    <cellStyle name="Normal 4 3 3 5 5" xfId="19130" xr:uid="{96E63F8B-469A-4AE8-8CA4-0F6398C4A3E0}"/>
    <cellStyle name="Normal 4 3 3 5 6" xfId="27577" xr:uid="{2BAF0B1A-F33B-4DC6-8346-C90A13005AAB}"/>
    <cellStyle name="Normal 4 3 3 6" xfId="1680" xr:uid="{00000000-0005-0000-0000-0000A2140000}"/>
    <cellStyle name="Normal 4 3 3 6 2" xfId="3910" xr:uid="{00000000-0005-0000-0000-0000A3140000}"/>
    <cellStyle name="Normal 4 3 3 6 2 2" xfId="8132" xr:uid="{00000000-0005-0000-0000-0000A4140000}"/>
    <cellStyle name="Normal 4 3 3 6 2 2 2" xfId="17458" xr:uid="{C9D9803F-9240-439D-9C92-413E6DCCABEF}"/>
    <cellStyle name="Normal 4 3 3 6 2 2 3" xfId="25905" xr:uid="{1450CD64-92E4-4230-9CEF-D2219C710713}"/>
    <cellStyle name="Normal 4 3 3 6 2 2 4" xfId="34352" xr:uid="{8B00275D-7B30-4FBE-B57C-3EAFBB682BEF}"/>
    <cellStyle name="Normal 4 3 3 6 2 3" xfId="13241" xr:uid="{F9BFB648-B630-4D50-B706-43ED67B4D6B7}"/>
    <cellStyle name="Normal 4 3 3 6 2 4" xfId="21688" xr:uid="{74C32AEC-CDFE-4BBE-BB21-EA6F8551E4C3}"/>
    <cellStyle name="Normal 4 3 3 6 2 5" xfId="30135" xr:uid="{8CF1131F-E5FB-4539-894E-F8ECB86F0E80}"/>
    <cellStyle name="Normal 4 3 3 6 3" xfId="5987" xr:uid="{00000000-0005-0000-0000-0000A5140000}"/>
    <cellStyle name="Normal 4 3 3 6 3 2" xfId="15313" xr:uid="{DB986D42-8B80-4FC9-B6E9-2A3CF25B9506}"/>
    <cellStyle name="Normal 4 3 3 6 3 3" xfId="23760" xr:uid="{6DDCADB5-0AA6-4391-BCC2-2931C32C45CA}"/>
    <cellStyle name="Normal 4 3 3 6 3 4" xfId="32207" xr:uid="{DC069BCD-AD98-4B36-8E12-71F27CA2AAE5}"/>
    <cellStyle name="Normal 4 3 3 6 4" xfId="11096" xr:uid="{BA6FD072-F5F8-407A-95A6-F6DBE144813C}"/>
    <cellStyle name="Normal 4 3 3 6 5" xfId="19543" xr:uid="{3827C1BC-C12C-461F-9032-89F484861519}"/>
    <cellStyle name="Normal 4 3 3 6 6" xfId="27990" xr:uid="{B9D1E3CC-221D-498E-B4BB-F62846FE8C00}"/>
    <cellStyle name="Normal 4 3 3 7" xfId="2094" xr:uid="{00000000-0005-0000-0000-0000A6140000}"/>
    <cellStyle name="Normal 4 3 3 7 2" xfId="4323" xr:uid="{00000000-0005-0000-0000-0000A7140000}"/>
    <cellStyle name="Normal 4 3 3 7 2 2" xfId="8545" xr:uid="{00000000-0005-0000-0000-0000A8140000}"/>
    <cellStyle name="Normal 4 3 3 7 2 2 2" xfId="17871" xr:uid="{87C2C6E3-B3BC-43C4-9560-271DD5B467D2}"/>
    <cellStyle name="Normal 4 3 3 7 2 2 3" xfId="26318" xr:uid="{DA175B18-F462-40C7-BC12-74C2E5BE0784}"/>
    <cellStyle name="Normal 4 3 3 7 2 2 4" xfId="34765" xr:uid="{F308B20E-D952-4477-8BF0-70B9E02F3DB5}"/>
    <cellStyle name="Normal 4 3 3 7 2 3" xfId="13654" xr:uid="{F9CF8FD7-D17D-48E1-A141-91AF831EEF26}"/>
    <cellStyle name="Normal 4 3 3 7 2 4" xfId="22101" xr:uid="{07242687-0804-4BFD-B11B-51B0B1F7921C}"/>
    <cellStyle name="Normal 4 3 3 7 2 5" xfId="30548" xr:uid="{B389C654-F383-4CEC-9C06-28931E1C5141}"/>
    <cellStyle name="Normal 4 3 3 7 3" xfId="6400" xr:uid="{00000000-0005-0000-0000-0000A9140000}"/>
    <cellStyle name="Normal 4 3 3 7 3 2" xfId="15726" xr:uid="{57618AF7-0C9A-4CEC-84D5-F0D9B85510A5}"/>
    <cellStyle name="Normal 4 3 3 7 3 3" xfId="24173" xr:uid="{08A60919-BB0B-44AE-BD83-8CCF8FC706D8}"/>
    <cellStyle name="Normal 4 3 3 7 3 4" xfId="32620" xr:uid="{2E969F3A-CB0C-4386-AE99-FF8330F03E0F}"/>
    <cellStyle name="Normal 4 3 3 7 4" xfId="11509" xr:uid="{97D26ED1-68A8-4E7C-A7EB-5C3A5E15A220}"/>
    <cellStyle name="Normal 4 3 3 7 5" xfId="19956" xr:uid="{565DAD33-9090-4D5B-8340-C9EB16112AF3}"/>
    <cellStyle name="Normal 4 3 3 7 6" xfId="28403" xr:uid="{6AEB923F-9CEE-443C-9E7E-CC19B222D76B}"/>
    <cellStyle name="Normal 4 3 3 8" xfId="2530" xr:uid="{00000000-0005-0000-0000-0000AA140000}"/>
    <cellStyle name="Normal 4 3 3 8 2" xfId="6813" xr:uid="{00000000-0005-0000-0000-0000AB140000}"/>
    <cellStyle name="Normal 4 3 3 8 2 2" xfId="16139" xr:uid="{4A306E96-CA52-44C7-B288-2948D857EDF1}"/>
    <cellStyle name="Normal 4 3 3 8 2 3" xfId="24586" xr:uid="{D0E56C61-2FA2-44D2-8ED6-CE56A5025858}"/>
    <cellStyle name="Normal 4 3 3 8 2 4" xfId="33033" xr:uid="{48DF9178-9617-4262-8E51-C969DEB51164}"/>
    <cellStyle name="Normal 4 3 3 8 3" xfId="11922" xr:uid="{3A055F77-D41F-4107-9ECD-14C8BDB6DCAF}"/>
    <cellStyle name="Normal 4 3 3 8 4" xfId="20369" xr:uid="{4472B474-1650-4460-A10F-0ADCF584B656}"/>
    <cellStyle name="Normal 4 3 3 8 5" xfId="28816" xr:uid="{64E0FAC6-2FF7-46FA-A2BA-CE11861790AE}"/>
    <cellStyle name="Normal 4 3 3 9" xfId="4748" xr:uid="{00000000-0005-0000-0000-0000AC140000}"/>
    <cellStyle name="Normal 4 3 3 9 2" xfId="14074" xr:uid="{E62ACC8E-AEFC-466C-B428-321D31512FF9}"/>
    <cellStyle name="Normal 4 3 3 9 3" xfId="22521" xr:uid="{753A4662-6180-496D-B055-D08B57E17A9C}"/>
    <cellStyle name="Normal 4 3 3 9 4" xfId="30968" xr:uid="{0DB1977C-0454-480E-9C19-1DFDD9228BCC}"/>
    <cellStyle name="Normal 4 3 4" xfId="842" xr:uid="{00000000-0005-0000-0000-0000AD140000}"/>
    <cellStyle name="Normal 4 3 4 2" xfId="3079" xr:uid="{00000000-0005-0000-0000-0000AE140000}"/>
    <cellStyle name="Normal 4 3 4 2 2" xfId="7301" xr:uid="{00000000-0005-0000-0000-0000AF140000}"/>
    <cellStyle name="Normal 4 3 4 2 2 2" xfId="16627" xr:uid="{B864F103-9710-4CAD-919B-78E148DC0317}"/>
    <cellStyle name="Normal 4 3 4 2 2 3" xfId="25074" xr:uid="{154C9B27-5F11-4B71-B021-660907AE63C5}"/>
    <cellStyle name="Normal 4 3 4 2 2 4" xfId="33521" xr:uid="{48A935DB-E188-4BF3-9B4D-0B16929715DF}"/>
    <cellStyle name="Normal 4 3 4 2 3" xfId="12410" xr:uid="{61559881-5F17-42C8-BB33-0BB4C17DEA79}"/>
    <cellStyle name="Normal 4 3 4 2 4" xfId="20857" xr:uid="{43BB8EFE-B7A3-472E-B032-7193CA08FD32}"/>
    <cellStyle name="Normal 4 3 4 2 5" xfId="29304" xr:uid="{1F8611A0-5F4E-4FA1-ABD5-8B0E09D93C1C}"/>
    <cellStyle name="Normal 4 3 4 3" xfId="5156" xr:uid="{00000000-0005-0000-0000-0000B0140000}"/>
    <cellStyle name="Normal 4 3 4 3 2" xfId="14482" xr:uid="{B095E74A-BB03-49C2-AE55-4F443FE32054}"/>
    <cellStyle name="Normal 4 3 4 3 3" xfId="22929" xr:uid="{13BA8384-4B2F-460E-A044-97A80177F5DA}"/>
    <cellStyle name="Normal 4 3 4 3 4" xfId="31376" xr:uid="{F7FB5EB4-1574-4A1F-A578-DF463BBACB26}"/>
    <cellStyle name="Normal 4 3 4 4" xfId="9608" xr:uid="{C2EFFD2B-01D5-4B2B-BD85-BB4245D6A35E}"/>
    <cellStyle name="Normal 4 3 4 5" xfId="10265" xr:uid="{85D3FD13-57AA-41D5-998E-B04EB582DACA}"/>
    <cellStyle name="Normal 4 3 4 6" xfId="18712" xr:uid="{10AB4C07-9E3F-4643-8781-575DF9457EA0}"/>
    <cellStyle name="Normal 4 3 4 7" xfId="27159" xr:uid="{0BF8543B-94F2-448A-B1E4-46CD0D844DEB}"/>
    <cellStyle name="Normal 4 3 5" xfId="1262" xr:uid="{00000000-0005-0000-0000-0000B1140000}"/>
    <cellStyle name="Normal 4 3 5 2" xfId="3492" xr:uid="{00000000-0005-0000-0000-0000B2140000}"/>
    <cellStyle name="Normal 4 3 5 2 2" xfId="7714" xr:uid="{00000000-0005-0000-0000-0000B3140000}"/>
    <cellStyle name="Normal 4 3 5 2 2 2" xfId="17040" xr:uid="{1D04E0D1-FB22-4882-938C-C9E17C20D1C1}"/>
    <cellStyle name="Normal 4 3 5 2 2 3" xfId="25487" xr:uid="{D7142B30-AE2E-43F7-9C7F-40D37F3FB5DD}"/>
    <cellStyle name="Normal 4 3 5 2 2 4" xfId="33934" xr:uid="{9FE1AFAE-A7C4-4F3A-88E6-E26783F3D98C}"/>
    <cellStyle name="Normal 4 3 5 2 3" xfId="12823" xr:uid="{CB07EBD9-5A2E-43B0-A48E-F80F3AACB386}"/>
    <cellStyle name="Normal 4 3 5 2 4" xfId="21270" xr:uid="{5ED494D9-445C-4188-A496-52381A06E57A}"/>
    <cellStyle name="Normal 4 3 5 2 5" xfId="29717" xr:uid="{05C60124-505E-4355-94A6-A3667DFB8D81}"/>
    <cellStyle name="Normal 4 3 5 3" xfId="5569" xr:uid="{00000000-0005-0000-0000-0000B4140000}"/>
    <cellStyle name="Normal 4 3 5 3 2" xfId="14895" xr:uid="{2F39F8F8-B078-4C53-804F-08814FAFA554}"/>
    <cellStyle name="Normal 4 3 5 3 3" xfId="23342" xr:uid="{FB9E69DB-23D7-4053-BFFD-B3B973EEEF8C}"/>
    <cellStyle name="Normal 4 3 5 3 4" xfId="31789" xr:uid="{DC01BED7-9EC5-477E-92CD-32777C686C3D}"/>
    <cellStyle name="Normal 4 3 5 4" xfId="10678" xr:uid="{570A5DE5-3E79-4459-AC78-90C7D195594F}"/>
    <cellStyle name="Normal 4 3 5 5" xfId="19125" xr:uid="{71244D2F-4CCB-423C-A182-53D56EB4397E}"/>
    <cellStyle name="Normal 4 3 5 6" xfId="27572" xr:uid="{78B8DA65-E8D6-4E4E-A267-90A2E5E65CDA}"/>
    <cellStyle name="Normal 4 3 6" xfId="1675" xr:uid="{00000000-0005-0000-0000-0000B5140000}"/>
    <cellStyle name="Normal 4 3 6 2" xfId="3905" xr:uid="{00000000-0005-0000-0000-0000B6140000}"/>
    <cellStyle name="Normal 4 3 6 2 2" xfId="8127" xr:uid="{00000000-0005-0000-0000-0000B7140000}"/>
    <cellStyle name="Normal 4 3 6 2 2 2" xfId="17453" xr:uid="{2C78CA8A-EFC1-45A7-81F9-CD697D30337A}"/>
    <cellStyle name="Normal 4 3 6 2 2 3" xfId="25900" xr:uid="{4856A5C4-1EC5-4DB9-BC69-A27578903492}"/>
    <cellStyle name="Normal 4 3 6 2 2 4" xfId="34347" xr:uid="{5CC8EDBD-4118-4491-A2F2-48BA6F4C33FE}"/>
    <cellStyle name="Normal 4 3 6 2 3" xfId="13236" xr:uid="{779A1285-ECD3-419F-9693-366AFC560EAD}"/>
    <cellStyle name="Normal 4 3 6 2 4" xfId="21683" xr:uid="{46B5240E-EB0A-43A6-BB0B-1D21368743AE}"/>
    <cellStyle name="Normal 4 3 6 2 5" xfId="30130" xr:uid="{7E9C24A6-1154-4C62-AA39-0EE8CECB4D3E}"/>
    <cellStyle name="Normal 4 3 6 3" xfId="5982" xr:uid="{00000000-0005-0000-0000-0000B8140000}"/>
    <cellStyle name="Normal 4 3 6 3 2" xfId="15308" xr:uid="{AC642FF1-BBA4-41B0-A983-6380C24CB828}"/>
    <cellStyle name="Normal 4 3 6 3 3" xfId="23755" xr:uid="{399EA982-4786-4156-B31D-5A0BD048EC47}"/>
    <cellStyle name="Normal 4 3 6 3 4" xfId="32202" xr:uid="{40BFEDD6-45F1-43B1-990A-F1FB36B230DC}"/>
    <cellStyle name="Normal 4 3 6 4" xfId="11091" xr:uid="{D9CA3FEC-6D35-420F-B0BE-1C58ABD74097}"/>
    <cellStyle name="Normal 4 3 6 5" xfId="19538" xr:uid="{C1938A3C-30A5-488E-94E1-8D59D8B3D3A8}"/>
    <cellStyle name="Normal 4 3 6 6" xfId="27985" xr:uid="{96332376-8E6C-4670-BBF3-E36F216F67E8}"/>
    <cellStyle name="Normal 4 3 7" xfId="2089" xr:uid="{00000000-0005-0000-0000-0000B9140000}"/>
    <cellStyle name="Normal 4 3 7 2" xfId="4318" xr:uid="{00000000-0005-0000-0000-0000BA140000}"/>
    <cellStyle name="Normal 4 3 7 2 2" xfId="8540" xr:uid="{00000000-0005-0000-0000-0000BB140000}"/>
    <cellStyle name="Normal 4 3 7 2 2 2" xfId="17866" xr:uid="{FADFAED3-98B1-49BB-8CC6-2CF7040C0E51}"/>
    <cellStyle name="Normal 4 3 7 2 2 3" xfId="26313" xr:uid="{1BB50F5B-E6A4-4EE7-8AF9-A6039390F70D}"/>
    <cellStyle name="Normal 4 3 7 2 2 4" xfId="34760" xr:uid="{B2CAE8C6-9E7C-44D1-B15B-F7785080C62A}"/>
    <cellStyle name="Normal 4 3 7 2 3" xfId="13649" xr:uid="{4E043534-2800-4FC0-AD3D-0B1059EDBFDA}"/>
    <cellStyle name="Normal 4 3 7 2 4" xfId="22096" xr:uid="{16BEBA91-BD9C-4BDA-8888-F910D197189B}"/>
    <cellStyle name="Normal 4 3 7 2 5" xfId="30543" xr:uid="{0CD74FF8-FAFF-40C6-9615-F7830D20A765}"/>
    <cellStyle name="Normal 4 3 7 3" xfId="6395" xr:uid="{00000000-0005-0000-0000-0000BC140000}"/>
    <cellStyle name="Normal 4 3 7 3 2" xfId="15721" xr:uid="{023E830C-1298-4C0A-8B24-B611BD5C482F}"/>
    <cellStyle name="Normal 4 3 7 3 3" xfId="24168" xr:uid="{37697925-8635-4C97-99D2-A507F3296BB7}"/>
    <cellStyle name="Normal 4 3 7 3 4" xfId="32615" xr:uid="{5A586A24-D956-4553-AB38-DB906499B158}"/>
    <cellStyle name="Normal 4 3 7 4" xfId="11504" xr:uid="{FEAC9726-9C47-4E10-A6AC-BFF8C5829EAD}"/>
    <cellStyle name="Normal 4 3 7 5" xfId="19951" xr:uid="{305A54C2-563F-40A7-ADC4-140A8E789B0A}"/>
    <cellStyle name="Normal 4 3 7 6" xfId="28398" xr:uid="{C905C785-ACCE-4C7B-92C9-A39E0D758B7B}"/>
    <cellStyle name="Normal 4 3 8" xfId="2525" xr:uid="{00000000-0005-0000-0000-0000BD140000}"/>
    <cellStyle name="Normal 4 3 8 2" xfId="6808" xr:uid="{00000000-0005-0000-0000-0000BE140000}"/>
    <cellStyle name="Normal 4 3 8 2 2" xfId="16134" xr:uid="{360FBC71-EFAB-4AC5-88D0-98DD1BECBC1B}"/>
    <cellStyle name="Normal 4 3 8 2 3" xfId="24581" xr:uid="{64D82B52-3659-4536-88D7-4019D6677F3B}"/>
    <cellStyle name="Normal 4 3 8 2 4" xfId="33028" xr:uid="{049E3498-FE1F-4DBD-8068-2D9FB25BE876}"/>
    <cellStyle name="Normal 4 3 8 3" xfId="11917" xr:uid="{A790EE5F-D1F6-4974-9279-5FC0237A95C0}"/>
    <cellStyle name="Normal 4 3 8 4" xfId="20364" xr:uid="{EF2F8463-0E1D-465C-B1BB-E7DF1325798B}"/>
    <cellStyle name="Normal 4 3 8 5" xfId="28811" xr:uid="{A50D8A8A-C82E-4B62-B72B-A9C78724354D}"/>
    <cellStyle name="Normal 4 3 9" xfId="4743" xr:uid="{00000000-0005-0000-0000-0000BF140000}"/>
    <cellStyle name="Normal 4 3 9 2" xfId="14069" xr:uid="{1EE22C20-7EC8-48E8-9520-279C2ECDBD5A}"/>
    <cellStyle name="Normal 4 3 9 3" xfId="22516" xr:uid="{CBF763EF-CA91-401A-9B10-B9E19383C18A}"/>
    <cellStyle name="Normal 4 3 9 4" xfId="30963" xr:uid="{11BEC42A-31BE-4F37-B8A4-2C75BD3D6E4C}"/>
    <cellStyle name="Normal 4 4" xfId="378" xr:uid="{00000000-0005-0000-0000-0000C0140000}"/>
    <cellStyle name="Normal 4 4 10" xfId="2534" xr:uid="{00000000-0005-0000-0000-0000C1140000}"/>
    <cellStyle name="Normal 4 4 10 2" xfId="6817" xr:uid="{00000000-0005-0000-0000-0000C2140000}"/>
    <cellStyle name="Normal 4 4 10 2 2" xfId="16143" xr:uid="{954787E0-CA97-49DA-B136-EC0A0AE275C0}"/>
    <cellStyle name="Normal 4 4 10 2 3" xfId="24590" xr:uid="{4EB7437B-AB03-4606-A194-B4E028B525D4}"/>
    <cellStyle name="Normal 4 4 10 2 4" xfId="33037" xr:uid="{82630E69-CC76-4DE3-82C9-1BB9DB6AB2B3}"/>
    <cellStyle name="Normal 4 4 10 3" xfId="11926" xr:uid="{F8D447F0-5DBC-4A1C-9C94-97FAC75A2AB8}"/>
    <cellStyle name="Normal 4 4 10 4" xfId="20373" xr:uid="{6600D2BD-9AF6-4EFB-A772-87B13EB91C30}"/>
    <cellStyle name="Normal 4 4 10 5" xfId="28820" xr:uid="{E856A3DE-BF78-4C53-8916-3087E2FCAA5A}"/>
    <cellStyle name="Normal 4 4 11" xfId="4752" xr:uid="{00000000-0005-0000-0000-0000C3140000}"/>
    <cellStyle name="Normal 4 4 11 2" xfId="14078" xr:uid="{41AAA50F-713A-42F4-BBDD-E7268C187507}"/>
    <cellStyle name="Normal 4 4 11 3" xfId="22525" xr:uid="{6D042DA4-7A6E-43B7-B612-D4D082E2D719}"/>
    <cellStyle name="Normal 4 4 11 4" xfId="30972" xr:uid="{531B3528-678B-4EEF-9D71-210960B0AB61}"/>
    <cellStyle name="Normal 4 4 12" xfId="8749" xr:uid="{A91736B6-873D-4B1A-8B29-18DC69E5E65F}"/>
    <cellStyle name="Normal 4 4 13" xfId="9861" xr:uid="{8DE23041-5ACC-4D6F-ACF2-9CE664D143A9}"/>
    <cellStyle name="Normal 4 4 14" xfId="18308" xr:uid="{48D96961-24BE-4544-8F9D-C7EB8D029C05}"/>
    <cellStyle name="Normal 4 4 15" xfId="26755" xr:uid="{81BDB0D3-310D-4732-B26B-9D75983BAE42}"/>
    <cellStyle name="Normal 4 4 2" xfId="379" xr:uid="{00000000-0005-0000-0000-0000C4140000}"/>
    <cellStyle name="Normal 4 4 2 10" xfId="4753" xr:uid="{00000000-0005-0000-0000-0000C5140000}"/>
    <cellStyle name="Normal 4 4 2 10 2" xfId="14079" xr:uid="{B33BB51B-766F-41C5-A108-9A1A350D611D}"/>
    <cellStyle name="Normal 4 4 2 10 3" xfId="22526" xr:uid="{1A6A1E3F-9006-4884-8C3A-BADC70E1C127}"/>
    <cellStyle name="Normal 4 4 2 10 4" xfId="30973" xr:uid="{76018FA2-DA09-4F62-808A-0C6FEA1EBA85}"/>
    <cellStyle name="Normal 4 4 2 11" xfId="8781" xr:uid="{12B8F0AD-1EB8-4D0A-9CAD-21DEEFEDAE41}"/>
    <cellStyle name="Normal 4 4 2 12" xfId="9862" xr:uid="{FA12147A-E15D-4149-B432-586A92F27A6B}"/>
    <cellStyle name="Normal 4 4 2 13" xfId="18309" xr:uid="{4F8A7F21-47EE-4289-8325-52D4C2983884}"/>
    <cellStyle name="Normal 4 4 2 14" xfId="26756" xr:uid="{C251E45C-F030-4951-9A6F-7CC064B09586}"/>
    <cellStyle name="Normal 4 4 2 2" xfId="380" xr:uid="{00000000-0005-0000-0000-0000C6140000}"/>
    <cellStyle name="Normal 4 4 2 2 10" xfId="8824" xr:uid="{FF218EA8-00A9-476B-AA88-FBBBBED2D06B}"/>
    <cellStyle name="Normal 4 4 2 2 11" xfId="9863" xr:uid="{A21B5B09-760D-438D-8D74-FC7FFF79E1ED}"/>
    <cellStyle name="Normal 4 4 2 2 12" xfId="18310" xr:uid="{6811AFFA-5A03-451A-A3AF-FE9417A93F04}"/>
    <cellStyle name="Normal 4 4 2 2 13" xfId="26757" xr:uid="{9C055485-47ED-45F0-9405-6AF2CC4FFF10}"/>
    <cellStyle name="Normal 4 4 2 2 2" xfId="381" xr:uid="{00000000-0005-0000-0000-0000C7140000}"/>
    <cellStyle name="Normal 4 4 2 2 2 10" xfId="9864" xr:uid="{196F7B27-CFCC-408C-8486-2AC2CAD7731D}"/>
    <cellStyle name="Normal 4 4 2 2 2 11" xfId="18311" xr:uid="{E5A3A3AD-0C25-4B1F-B02B-5A893346F1A6}"/>
    <cellStyle name="Normal 4 4 2 2 2 12" xfId="26758" xr:uid="{C7C4E6E1-E7CE-4D1E-B1F4-4AE4C542F56E}"/>
    <cellStyle name="Normal 4 4 2 2 2 2" xfId="382" xr:uid="{00000000-0005-0000-0000-0000C8140000}"/>
    <cellStyle name="Normal 4 4 2 2 2 2 10" xfId="18312" xr:uid="{DE5D6EB5-5110-42CC-8B78-3AA5F82D5C8F}"/>
    <cellStyle name="Normal 4 4 2 2 2 2 11" xfId="26759" xr:uid="{327237F7-979B-471F-AC15-8349A7241018}"/>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16640" xr:uid="{144F1ED4-1CF1-4A7F-A73F-9BF98EDF889F}"/>
    <cellStyle name="Normal 4 4 2 2 2 2 2 2 2 3" xfId="25087" xr:uid="{9F88C060-AA3F-4C46-9CE0-6E4297BA42E7}"/>
    <cellStyle name="Normal 4 4 2 2 2 2 2 2 2 4" xfId="33534" xr:uid="{C441B30D-F2E6-475E-BC25-39606AB0BF96}"/>
    <cellStyle name="Normal 4 4 2 2 2 2 2 2 3" xfId="12423" xr:uid="{C58E54A6-2625-404C-A26F-3C6FD2E3DA6A}"/>
    <cellStyle name="Normal 4 4 2 2 2 2 2 2 4" xfId="20870" xr:uid="{29427A58-320A-4FD9-999B-A8B4077ECFC9}"/>
    <cellStyle name="Normal 4 4 2 2 2 2 2 2 5" xfId="29317" xr:uid="{F41EAA42-264D-4809-8AE2-5C4DEE76487F}"/>
    <cellStyle name="Normal 4 4 2 2 2 2 2 3" xfId="5169" xr:uid="{00000000-0005-0000-0000-0000CC140000}"/>
    <cellStyle name="Normal 4 4 2 2 2 2 2 3 2" xfId="14495" xr:uid="{2A23CC3C-62D7-4A59-A0F5-C288DDCB1B31}"/>
    <cellStyle name="Normal 4 4 2 2 2 2 2 3 3" xfId="22942" xr:uid="{7CED4372-773B-44CF-95ED-319100589C16}"/>
    <cellStyle name="Normal 4 4 2 2 2 2 2 3 4" xfId="31389" xr:uid="{832A2E4A-D933-459A-83AE-E3277B38154F}"/>
    <cellStyle name="Normal 4 4 2 2 2 2 2 4" xfId="9559" xr:uid="{6E5E886C-D83F-47E6-AD2B-552CC2A98FD0}"/>
    <cellStyle name="Normal 4 4 2 2 2 2 2 5" xfId="10278" xr:uid="{47D220B1-3216-4325-9AA7-E6D9C44CA7D1}"/>
    <cellStyle name="Normal 4 4 2 2 2 2 2 6" xfId="18725" xr:uid="{99A65F4A-306C-4893-B4B5-53BBEDB3ACB8}"/>
    <cellStyle name="Normal 4 4 2 2 2 2 2 7" xfId="27172" xr:uid="{898F0B2C-B244-463A-B353-0AEEB2288284}"/>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17053" xr:uid="{05CDCC93-63D8-45B4-9CB8-FE38B51D6F9B}"/>
    <cellStyle name="Normal 4 4 2 2 2 2 3 2 2 3" xfId="25500" xr:uid="{E53B5F70-55DD-4E47-8DA6-CCD59BE07200}"/>
    <cellStyle name="Normal 4 4 2 2 2 2 3 2 2 4" xfId="33947" xr:uid="{E3A7AD89-CEC0-4E6A-979D-8BEC4F26F09E}"/>
    <cellStyle name="Normal 4 4 2 2 2 2 3 2 3" xfId="12836" xr:uid="{EB570C3C-D109-48CB-99F7-8FFCF2E0CD08}"/>
    <cellStyle name="Normal 4 4 2 2 2 2 3 2 4" xfId="21283" xr:uid="{17F740A6-BA70-4E2A-9D9F-1D72C6927353}"/>
    <cellStyle name="Normal 4 4 2 2 2 2 3 2 5" xfId="29730" xr:uid="{489C0BE7-1D8A-4073-8BC2-61AA107127D9}"/>
    <cellStyle name="Normal 4 4 2 2 2 2 3 3" xfId="5582" xr:uid="{00000000-0005-0000-0000-0000D0140000}"/>
    <cellStyle name="Normal 4 4 2 2 2 2 3 3 2" xfId="14908" xr:uid="{F9347E30-0F93-4388-91E2-C304969D0EE3}"/>
    <cellStyle name="Normal 4 4 2 2 2 2 3 3 3" xfId="23355" xr:uid="{4BC11E01-BD86-4811-83FF-D9A24C1E4909}"/>
    <cellStyle name="Normal 4 4 2 2 2 2 3 3 4" xfId="31802" xr:uid="{4547E5F2-56C6-473B-947B-C7C39480CF44}"/>
    <cellStyle name="Normal 4 4 2 2 2 2 3 4" xfId="10691" xr:uid="{39548622-09B4-482E-BDEA-BA7F726FA22F}"/>
    <cellStyle name="Normal 4 4 2 2 2 2 3 5" xfId="19138" xr:uid="{CE94CECD-9490-448F-A86B-28375B382D83}"/>
    <cellStyle name="Normal 4 4 2 2 2 2 3 6" xfId="27585" xr:uid="{AB88DC7E-71F3-4440-8707-6AB781B3037E}"/>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17466" xr:uid="{25EDFCC5-A76B-46D9-AAE8-ABB2134B944B}"/>
    <cellStyle name="Normal 4 4 2 2 2 2 4 2 2 3" xfId="25913" xr:uid="{6522465C-E789-485A-85C0-E8F2339B219C}"/>
    <cellStyle name="Normal 4 4 2 2 2 2 4 2 2 4" xfId="34360" xr:uid="{183183AC-9FFD-40B1-A114-8D29590BDDAD}"/>
    <cellStyle name="Normal 4 4 2 2 2 2 4 2 3" xfId="13249" xr:uid="{7B3DCC5E-633B-444B-B5F8-254ECD9BD193}"/>
    <cellStyle name="Normal 4 4 2 2 2 2 4 2 4" xfId="21696" xr:uid="{AF157566-29E9-48C3-8D05-E15E33FC6FA2}"/>
    <cellStyle name="Normal 4 4 2 2 2 2 4 2 5" xfId="30143" xr:uid="{AEB05142-8994-4193-B327-C337918070A7}"/>
    <cellStyle name="Normal 4 4 2 2 2 2 4 3" xfId="5995" xr:uid="{00000000-0005-0000-0000-0000D4140000}"/>
    <cellStyle name="Normal 4 4 2 2 2 2 4 3 2" xfId="15321" xr:uid="{9867D5D9-ED57-4652-8E1D-44C5486692F1}"/>
    <cellStyle name="Normal 4 4 2 2 2 2 4 3 3" xfId="23768" xr:uid="{F813DD65-66BB-4869-AFC0-2EB306456750}"/>
    <cellStyle name="Normal 4 4 2 2 2 2 4 3 4" xfId="32215" xr:uid="{2971A946-0FC4-4DEA-8E62-57DC227F4601}"/>
    <cellStyle name="Normal 4 4 2 2 2 2 4 4" xfId="11104" xr:uid="{00DE1427-6B39-48DE-9E58-7B0C4B28E678}"/>
    <cellStyle name="Normal 4 4 2 2 2 2 4 5" xfId="19551" xr:uid="{CDE1F1CE-2910-4E94-9D9B-4E09BA484865}"/>
    <cellStyle name="Normal 4 4 2 2 2 2 4 6" xfId="27998" xr:uid="{562214E6-AE4B-4A38-84CC-0177D85AD0BE}"/>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17879" xr:uid="{51B6AA10-D8E7-4CDD-8D6E-3A6BBD6B23A0}"/>
    <cellStyle name="Normal 4 4 2 2 2 2 5 2 2 3" xfId="26326" xr:uid="{CA1FF6B6-69A7-440E-89DB-D82A544418F7}"/>
    <cellStyle name="Normal 4 4 2 2 2 2 5 2 2 4" xfId="34773" xr:uid="{9F3EE641-9267-444E-BFB9-26D303C56639}"/>
    <cellStyle name="Normal 4 4 2 2 2 2 5 2 3" xfId="13662" xr:uid="{0C9AF344-F965-4FE8-AA26-4EB3D3C4AF79}"/>
    <cellStyle name="Normal 4 4 2 2 2 2 5 2 4" xfId="22109" xr:uid="{26E81AAC-2801-48E7-A691-A4067C9B191A}"/>
    <cellStyle name="Normal 4 4 2 2 2 2 5 2 5" xfId="30556" xr:uid="{41F97C9A-0920-456D-9485-DDCE2A942F19}"/>
    <cellStyle name="Normal 4 4 2 2 2 2 5 3" xfId="6408" xr:uid="{00000000-0005-0000-0000-0000D8140000}"/>
    <cellStyle name="Normal 4 4 2 2 2 2 5 3 2" xfId="15734" xr:uid="{2059E9DC-C503-4A8D-9C8E-3301127DB078}"/>
    <cellStyle name="Normal 4 4 2 2 2 2 5 3 3" xfId="24181" xr:uid="{B21A4AF6-AA68-4B63-ADBC-923E4BAEA433}"/>
    <cellStyle name="Normal 4 4 2 2 2 2 5 3 4" xfId="32628" xr:uid="{9B4A8D5E-644C-42D3-8F7F-A273759A8298}"/>
    <cellStyle name="Normal 4 4 2 2 2 2 5 4" xfId="11517" xr:uid="{5CED5DD9-3B93-4B47-ADC2-70AEE6CAE704}"/>
    <cellStyle name="Normal 4 4 2 2 2 2 5 5" xfId="19964" xr:uid="{FFC23145-0C65-4A26-8906-0E8F6A3E2B6E}"/>
    <cellStyle name="Normal 4 4 2 2 2 2 5 6" xfId="28411" xr:uid="{8EC462DE-25D0-46C3-BE93-0634688B8677}"/>
    <cellStyle name="Normal 4 4 2 2 2 2 6" xfId="2538" xr:uid="{00000000-0005-0000-0000-0000D9140000}"/>
    <cellStyle name="Normal 4 4 2 2 2 2 6 2" xfId="6821" xr:uid="{00000000-0005-0000-0000-0000DA140000}"/>
    <cellStyle name="Normal 4 4 2 2 2 2 6 2 2" xfId="16147" xr:uid="{84A6F0B9-4003-4D15-93D8-C64E8F3F6F63}"/>
    <cellStyle name="Normal 4 4 2 2 2 2 6 2 3" xfId="24594" xr:uid="{EB155AF4-B621-4BD4-A606-57C77824D685}"/>
    <cellStyle name="Normal 4 4 2 2 2 2 6 2 4" xfId="33041" xr:uid="{1A89CCA5-EB9A-4A18-86CB-CFD92CE8239A}"/>
    <cellStyle name="Normal 4 4 2 2 2 2 6 3" xfId="11930" xr:uid="{C67E1B61-696F-4962-8749-D65C99E4E931}"/>
    <cellStyle name="Normal 4 4 2 2 2 2 6 4" xfId="20377" xr:uid="{1920C9F2-C9AE-4BBB-B753-13B5221F775F}"/>
    <cellStyle name="Normal 4 4 2 2 2 2 6 5" xfId="28824" xr:uid="{591A3EBF-697F-44AC-B7A5-A205A41C08CC}"/>
    <cellStyle name="Normal 4 4 2 2 2 2 7" xfId="4756" xr:uid="{00000000-0005-0000-0000-0000DB140000}"/>
    <cellStyle name="Normal 4 4 2 2 2 2 7 2" xfId="14082" xr:uid="{DBC0718C-60FB-4B60-8145-2392F7955DBD}"/>
    <cellStyle name="Normal 4 4 2 2 2 2 7 3" xfId="22529" xr:uid="{D88004E3-9241-4A51-A674-1B342C3577A4}"/>
    <cellStyle name="Normal 4 4 2 2 2 2 7 4" xfId="30976" xr:uid="{1C6DB406-6AE6-46BA-9417-4F2306BCEFF3}"/>
    <cellStyle name="Normal 4 4 2 2 2 2 8" xfId="9134" xr:uid="{B37D4C66-6754-4A5E-BFF7-77694E4355C2}"/>
    <cellStyle name="Normal 4 4 2 2 2 2 9" xfId="9865" xr:uid="{1D3CF330-148F-4F25-9DD9-CA19599B03BF}"/>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16639" xr:uid="{159DA6A1-17F7-4F83-9731-02CDE454C35C}"/>
    <cellStyle name="Normal 4 4 2 2 2 3 2 2 3" xfId="25086" xr:uid="{2EF97CCA-AD51-431C-87D1-3DB933D4B490}"/>
    <cellStyle name="Normal 4 4 2 2 2 3 2 2 4" xfId="33533" xr:uid="{53972956-9336-47B3-869F-C628AB849479}"/>
    <cellStyle name="Normal 4 4 2 2 2 3 2 3" xfId="12422" xr:uid="{BBE86BE0-5925-4E88-8268-C1503BE134B8}"/>
    <cellStyle name="Normal 4 4 2 2 2 3 2 4" xfId="20869" xr:uid="{824BD160-6E61-4E25-99A3-8183EF6AFE02}"/>
    <cellStyle name="Normal 4 4 2 2 2 3 2 5" xfId="29316" xr:uid="{F9ABB274-F2E5-4B30-8F9D-E92DF1D34A7B}"/>
    <cellStyle name="Normal 4 4 2 2 2 3 3" xfId="5168" xr:uid="{00000000-0005-0000-0000-0000DF140000}"/>
    <cellStyle name="Normal 4 4 2 2 2 3 3 2" xfId="14494" xr:uid="{5F1C7D42-6883-4C44-93AF-19DDBA21134A}"/>
    <cellStyle name="Normal 4 4 2 2 2 3 3 3" xfId="22941" xr:uid="{A25FA6B7-18E2-4F88-9474-451AC3466F9A}"/>
    <cellStyle name="Normal 4 4 2 2 2 3 3 4" xfId="31388" xr:uid="{94ED9CBC-418E-4DBB-AACF-F93813BEE7CA}"/>
    <cellStyle name="Normal 4 4 2 2 2 3 4" xfId="9352" xr:uid="{76F31DA2-44D0-447F-BA9C-6271BA6AAE96}"/>
    <cellStyle name="Normal 4 4 2 2 2 3 5" xfId="10277" xr:uid="{BADFB072-757D-461E-9625-F79510216CF8}"/>
    <cellStyle name="Normal 4 4 2 2 2 3 6" xfId="18724" xr:uid="{1ED6100F-C4B1-4EA4-8144-D3DA167B8493}"/>
    <cellStyle name="Normal 4 4 2 2 2 3 7" xfId="27171" xr:uid="{2325E480-5FC1-4E45-887B-FFCF856DB95D}"/>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17052" xr:uid="{60F15B6D-0F58-499B-90B8-EAFEB5E4BAD6}"/>
    <cellStyle name="Normal 4 4 2 2 2 4 2 2 3" xfId="25499" xr:uid="{9156C7D9-0109-4929-887F-2C071499E977}"/>
    <cellStyle name="Normal 4 4 2 2 2 4 2 2 4" xfId="33946" xr:uid="{B736E247-51E8-4B04-9593-471DEA1F6751}"/>
    <cellStyle name="Normal 4 4 2 2 2 4 2 3" xfId="12835" xr:uid="{23EFB87B-7A4E-40A1-BEE5-B840862E1FB6}"/>
    <cellStyle name="Normal 4 4 2 2 2 4 2 4" xfId="21282" xr:uid="{86C81651-DC8E-4DA3-8EF3-281DE5020333}"/>
    <cellStyle name="Normal 4 4 2 2 2 4 2 5" xfId="29729" xr:uid="{530ED899-52CC-4987-8695-4425ABCF424C}"/>
    <cellStyle name="Normal 4 4 2 2 2 4 3" xfId="5581" xr:uid="{00000000-0005-0000-0000-0000E3140000}"/>
    <cellStyle name="Normal 4 4 2 2 2 4 3 2" xfId="14907" xr:uid="{C7C575FB-D608-471C-9F62-D6B6708B9D18}"/>
    <cellStyle name="Normal 4 4 2 2 2 4 3 3" xfId="23354" xr:uid="{40C87565-73F5-4634-8F7E-D5EF960DAD3D}"/>
    <cellStyle name="Normal 4 4 2 2 2 4 3 4" xfId="31801" xr:uid="{47D957B4-A5AD-49DA-AF89-1BB519FAAE11}"/>
    <cellStyle name="Normal 4 4 2 2 2 4 4" xfId="10690" xr:uid="{7FD776CD-CAB8-44FE-ABEB-D0CAA1661F4C}"/>
    <cellStyle name="Normal 4 4 2 2 2 4 5" xfId="19137" xr:uid="{F8360899-E4D1-4F78-98EB-B47B5B9A0F00}"/>
    <cellStyle name="Normal 4 4 2 2 2 4 6" xfId="27584" xr:uid="{A902077D-EC85-4351-A7EA-679F161CB9EB}"/>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17465" xr:uid="{1DA478FD-EAED-4CA2-8987-CB6DC4E949C9}"/>
    <cellStyle name="Normal 4 4 2 2 2 5 2 2 3" xfId="25912" xr:uid="{EAA05712-068A-4881-811C-E39166C84777}"/>
    <cellStyle name="Normal 4 4 2 2 2 5 2 2 4" xfId="34359" xr:uid="{51085F40-B8F4-4FA4-994A-3450E41038C5}"/>
    <cellStyle name="Normal 4 4 2 2 2 5 2 3" xfId="13248" xr:uid="{B3ED13D4-876C-4B7B-8FD3-ABEBFC9042D2}"/>
    <cellStyle name="Normal 4 4 2 2 2 5 2 4" xfId="21695" xr:uid="{4C5CED4D-5170-426A-8C01-5536C7ADAA91}"/>
    <cellStyle name="Normal 4 4 2 2 2 5 2 5" xfId="30142" xr:uid="{7C9DED75-7139-43A7-BA08-A769EE9CF914}"/>
    <cellStyle name="Normal 4 4 2 2 2 5 3" xfId="5994" xr:uid="{00000000-0005-0000-0000-0000E7140000}"/>
    <cellStyle name="Normal 4 4 2 2 2 5 3 2" xfId="15320" xr:uid="{D8198404-8479-4EB8-8DCC-FBCEE7F194DD}"/>
    <cellStyle name="Normal 4 4 2 2 2 5 3 3" xfId="23767" xr:uid="{DF21DB77-E746-4C7C-88A7-D886B66DF479}"/>
    <cellStyle name="Normal 4 4 2 2 2 5 3 4" xfId="32214" xr:uid="{2D06BC4E-228A-4329-9A92-F56FB86268E9}"/>
    <cellStyle name="Normal 4 4 2 2 2 5 4" xfId="11103" xr:uid="{EE61BF20-978B-4F7E-8FB4-41E48A46533D}"/>
    <cellStyle name="Normal 4 4 2 2 2 5 5" xfId="19550" xr:uid="{18F8603F-A2AC-4B83-A83B-D8B591EA42CE}"/>
    <cellStyle name="Normal 4 4 2 2 2 5 6" xfId="27997" xr:uid="{76F53C39-3433-4C29-8ABB-3068DEFD9857}"/>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17878" xr:uid="{FF8C373B-D634-4473-BE93-1193974062DD}"/>
    <cellStyle name="Normal 4 4 2 2 2 6 2 2 3" xfId="26325" xr:uid="{3342C0B5-14F5-41CC-98E3-709D905F714B}"/>
    <cellStyle name="Normal 4 4 2 2 2 6 2 2 4" xfId="34772" xr:uid="{1B49EEBC-2D69-4AA0-A715-C9F648D3EC5F}"/>
    <cellStyle name="Normal 4 4 2 2 2 6 2 3" xfId="13661" xr:uid="{3C8F9A3B-A057-4896-A60B-26BAA3160117}"/>
    <cellStyle name="Normal 4 4 2 2 2 6 2 4" xfId="22108" xr:uid="{35110D89-6AFC-4935-8CBB-B63A7C5773EA}"/>
    <cellStyle name="Normal 4 4 2 2 2 6 2 5" xfId="30555" xr:uid="{B8F93B04-1629-4C06-BA09-C096716C351F}"/>
    <cellStyle name="Normal 4 4 2 2 2 6 3" xfId="6407" xr:uid="{00000000-0005-0000-0000-0000EB140000}"/>
    <cellStyle name="Normal 4 4 2 2 2 6 3 2" xfId="15733" xr:uid="{CC195CBB-AA5F-4126-AF1B-3A1CC072BB87}"/>
    <cellStyle name="Normal 4 4 2 2 2 6 3 3" xfId="24180" xr:uid="{AB3D541A-619A-4267-A90C-94B6CC662111}"/>
    <cellStyle name="Normal 4 4 2 2 2 6 3 4" xfId="32627" xr:uid="{6F646EC0-578C-43E2-B1D1-7B93B41719EF}"/>
    <cellStyle name="Normal 4 4 2 2 2 6 4" xfId="11516" xr:uid="{17D3EF9A-5C78-488A-BD1B-C3AA9E5E2767}"/>
    <cellStyle name="Normal 4 4 2 2 2 6 5" xfId="19963" xr:uid="{EE56EE59-ABD0-45E7-8BD8-F4658069C2D0}"/>
    <cellStyle name="Normal 4 4 2 2 2 6 6" xfId="28410" xr:uid="{2FEF38D6-4188-4E56-8FD6-A23B4053D61D}"/>
    <cellStyle name="Normal 4 4 2 2 2 7" xfId="2537" xr:uid="{00000000-0005-0000-0000-0000EC140000}"/>
    <cellStyle name="Normal 4 4 2 2 2 7 2" xfId="6820" xr:uid="{00000000-0005-0000-0000-0000ED140000}"/>
    <cellStyle name="Normal 4 4 2 2 2 7 2 2" xfId="16146" xr:uid="{6620B133-3EF1-44E8-9265-21DB2A77F839}"/>
    <cellStyle name="Normal 4 4 2 2 2 7 2 3" xfId="24593" xr:uid="{0005F3C9-630C-45DD-88FD-AAA84BCA0E30}"/>
    <cellStyle name="Normal 4 4 2 2 2 7 2 4" xfId="33040" xr:uid="{1856E860-71B4-4C10-800E-5EC52BDFF1A0}"/>
    <cellStyle name="Normal 4 4 2 2 2 7 3" xfId="11929" xr:uid="{2946BB7E-290B-44E5-AF0D-8D5D572D809B}"/>
    <cellStyle name="Normal 4 4 2 2 2 7 4" xfId="20376" xr:uid="{8A08729F-7BBB-457A-A461-06F0D955A7C1}"/>
    <cellStyle name="Normal 4 4 2 2 2 7 5" xfId="28823" xr:uid="{B080E85A-18CA-4B9E-BB67-F5010A4062AD}"/>
    <cellStyle name="Normal 4 4 2 2 2 8" xfId="4755" xr:uid="{00000000-0005-0000-0000-0000EE140000}"/>
    <cellStyle name="Normal 4 4 2 2 2 8 2" xfId="14081" xr:uid="{2C453FA6-D0BF-4F74-B42C-21FAB7832E3C}"/>
    <cellStyle name="Normal 4 4 2 2 2 8 3" xfId="22528" xr:uid="{27D3DEEE-CAEE-44AF-99D3-875ACC537964}"/>
    <cellStyle name="Normal 4 4 2 2 2 8 4" xfId="30975" xr:uid="{BD2FADEF-6ECD-4733-B05B-E86B0FCFDD00}"/>
    <cellStyle name="Normal 4 4 2 2 2 9" xfId="8927" xr:uid="{195B9197-F273-4D3B-B7A6-9CBAA360D528}"/>
    <cellStyle name="Normal 4 4 2 2 3" xfId="383" xr:uid="{00000000-0005-0000-0000-0000EF140000}"/>
    <cellStyle name="Normal 4 4 2 2 3 10" xfId="18313" xr:uid="{2120CEB3-DFFB-4D3C-BAA5-971669E1E20F}"/>
    <cellStyle name="Normal 4 4 2 2 3 11" xfId="26760" xr:uid="{5FC0B072-0B89-435B-80EA-F93FA2311249}"/>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16641" xr:uid="{DDBF44BE-E536-427C-8522-6619A90F8710}"/>
    <cellStyle name="Normal 4 4 2 2 3 2 2 2 3" xfId="25088" xr:uid="{58EC87A6-E885-43E5-9E65-827997AF8ADB}"/>
    <cellStyle name="Normal 4 4 2 2 3 2 2 2 4" xfId="33535" xr:uid="{849202A8-55A9-4039-B5A2-346CD097F772}"/>
    <cellStyle name="Normal 4 4 2 2 3 2 2 3" xfId="12424" xr:uid="{5C859259-5194-4EB2-858D-25527996D3EA}"/>
    <cellStyle name="Normal 4 4 2 2 3 2 2 4" xfId="20871" xr:uid="{0C78BBA0-4BF6-4872-84C3-D0EA9637094E}"/>
    <cellStyle name="Normal 4 4 2 2 3 2 2 5" xfId="29318" xr:uid="{BC96450A-6C59-4350-9243-3D332950D7C6}"/>
    <cellStyle name="Normal 4 4 2 2 3 2 3" xfId="5170" xr:uid="{00000000-0005-0000-0000-0000F3140000}"/>
    <cellStyle name="Normal 4 4 2 2 3 2 3 2" xfId="14496" xr:uid="{6D31F70B-3F66-4C85-862C-B7E499629D74}"/>
    <cellStyle name="Normal 4 4 2 2 3 2 3 3" xfId="22943" xr:uid="{E997DC16-997F-48C4-8977-4324C6418EB2}"/>
    <cellStyle name="Normal 4 4 2 2 3 2 3 4" xfId="31390" xr:uid="{A6FF110C-351D-4A85-99C7-B5C6356CD857}"/>
    <cellStyle name="Normal 4 4 2 2 3 2 4" xfId="9456" xr:uid="{7CB0B972-68D8-4A2C-A3A7-1D2BD109E44A}"/>
    <cellStyle name="Normal 4 4 2 2 3 2 5" xfId="10279" xr:uid="{4C9C1C26-BD1E-4604-88CA-A69725D94EAE}"/>
    <cellStyle name="Normal 4 4 2 2 3 2 6" xfId="18726" xr:uid="{570B172C-C4D9-4CF8-A731-B5A837D6C8F9}"/>
    <cellStyle name="Normal 4 4 2 2 3 2 7" xfId="27173" xr:uid="{8A45DBA9-0BA9-44B2-AD44-2F881CE63044}"/>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17054" xr:uid="{F3DC8452-DE1E-483A-BF71-19B9DD66E680}"/>
    <cellStyle name="Normal 4 4 2 2 3 3 2 2 3" xfId="25501" xr:uid="{10F2BDDB-27B9-4A7A-8CC8-0149FF8D6C18}"/>
    <cellStyle name="Normal 4 4 2 2 3 3 2 2 4" xfId="33948" xr:uid="{8E37306A-5C76-41A4-ACCB-196C83D5FE99}"/>
    <cellStyle name="Normal 4 4 2 2 3 3 2 3" xfId="12837" xr:uid="{57C994A9-AA71-4AE3-AFCD-AC9184DF9BC4}"/>
    <cellStyle name="Normal 4 4 2 2 3 3 2 4" xfId="21284" xr:uid="{1855F5B6-1899-41F0-8FD4-7CD840D6E51F}"/>
    <cellStyle name="Normal 4 4 2 2 3 3 2 5" xfId="29731" xr:uid="{1BF981BE-3979-4250-87B4-7EAFCBB14CEF}"/>
    <cellStyle name="Normal 4 4 2 2 3 3 3" xfId="5583" xr:uid="{00000000-0005-0000-0000-0000F7140000}"/>
    <cellStyle name="Normal 4 4 2 2 3 3 3 2" xfId="14909" xr:uid="{8478E4EB-E9C5-4A75-8666-47D2EEDA6448}"/>
    <cellStyle name="Normal 4 4 2 2 3 3 3 3" xfId="23356" xr:uid="{8C2B0F17-C1C6-4DAE-82C7-B7579E8C976C}"/>
    <cellStyle name="Normal 4 4 2 2 3 3 3 4" xfId="31803" xr:uid="{5AB26665-D7E6-42A8-A37E-86C0DE41F99B}"/>
    <cellStyle name="Normal 4 4 2 2 3 3 4" xfId="10692" xr:uid="{6FBC167B-7160-4D36-BE58-4DA671FB6020}"/>
    <cellStyle name="Normal 4 4 2 2 3 3 5" xfId="19139" xr:uid="{DB6C34FD-C9BB-45CC-85ED-A17853C02E69}"/>
    <cellStyle name="Normal 4 4 2 2 3 3 6" xfId="27586" xr:uid="{94123E81-A077-4A78-9B34-18F61ECC467B}"/>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17467" xr:uid="{1B885629-BBA9-435E-B271-0A4AFB929A88}"/>
    <cellStyle name="Normal 4 4 2 2 3 4 2 2 3" xfId="25914" xr:uid="{9C440720-8C94-4C2F-9AF5-D76DC52C86D0}"/>
    <cellStyle name="Normal 4 4 2 2 3 4 2 2 4" xfId="34361" xr:uid="{084EDB24-2EE2-4D66-8A2A-2E858F0ACB1F}"/>
    <cellStyle name="Normal 4 4 2 2 3 4 2 3" xfId="13250" xr:uid="{809FB5EA-7713-45BD-B976-A6315EA3F9D2}"/>
    <cellStyle name="Normal 4 4 2 2 3 4 2 4" xfId="21697" xr:uid="{85BFD406-8113-4335-8AFA-7C37466B8A41}"/>
    <cellStyle name="Normal 4 4 2 2 3 4 2 5" xfId="30144" xr:uid="{CDF78913-0783-4D97-8B49-B1EEE62897A2}"/>
    <cellStyle name="Normal 4 4 2 2 3 4 3" xfId="5996" xr:uid="{00000000-0005-0000-0000-0000FB140000}"/>
    <cellStyle name="Normal 4 4 2 2 3 4 3 2" xfId="15322" xr:uid="{6A86833C-219A-400C-939C-C1F495E8507E}"/>
    <cellStyle name="Normal 4 4 2 2 3 4 3 3" xfId="23769" xr:uid="{EF084955-FC9A-47CB-B10B-105AB6534FDD}"/>
    <cellStyle name="Normal 4 4 2 2 3 4 3 4" xfId="32216" xr:uid="{61AA9A92-5FF2-4E6E-BBC3-F116357E26F5}"/>
    <cellStyle name="Normal 4 4 2 2 3 4 4" xfId="11105" xr:uid="{334142C1-F0D8-45A7-AFCC-2861E788BDFE}"/>
    <cellStyle name="Normal 4 4 2 2 3 4 5" xfId="19552" xr:uid="{DEC5D48B-5B6B-47E3-B4FC-23357B96FF75}"/>
    <cellStyle name="Normal 4 4 2 2 3 4 6" xfId="27999" xr:uid="{F96E0047-15E9-41F1-B80F-29357033DCD8}"/>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17880" xr:uid="{C324D398-EECF-487A-99C1-03C23B5ED004}"/>
    <cellStyle name="Normal 4 4 2 2 3 5 2 2 3" xfId="26327" xr:uid="{720BD8BA-ADDA-4ADA-90A7-FC61E5EA23BA}"/>
    <cellStyle name="Normal 4 4 2 2 3 5 2 2 4" xfId="34774" xr:uid="{52A85AD2-3A25-458B-9DD2-38897A70DE7C}"/>
    <cellStyle name="Normal 4 4 2 2 3 5 2 3" xfId="13663" xr:uid="{F2D8D671-2197-40E6-9721-5BB8E29F1587}"/>
    <cellStyle name="Normal 4 4 2 2 3 5 2 4" xfId="22110" xr:uid="{3DB84DDD-B667-4E64-A796-16F1704A4F6B}"/>
    <cellStyle name="Normal 4 4 2 2 3 5 2 5" xfId="30557" xr:uid="{864594C2-8F73-4DDD-BA92-87403FA546B5}"/>
    <cellStyle name="Normal 4 4 2 2 3 5 3" xfId="6409" xr:uid="{00000000-0005-0000-0000-0000FF140000}"/>
    <cellStyle name="Normal 4 4 2 2 3 5 3 2" xfId="15735" xr:uid="{BCC3C889-87C5-42CC-B9A9-D3401D43121F}"/>
    <cellStyle name="Normal 4 4 2 2 3 5 3 3" xfId="24182" xr:uid="{6E9A6462-CB5C-480D-A831-8B454911A848}"/>
    <cellStyle name="Normal 4 4 2 2 3 5 3 4" xfId="32629" xr:uid="{970C2645-20E2-4527-AD10-D23C5AB37A7E}"/>
    <cellStyle name="Normal 4 4 2 2 3 5 4" xfId="11518" xr:uid="{4B4517AD-FC2D-47E8-95C1-75529314D558}"/>
    <cellStyle name="Normal 4 4 2 2 3 5 5" xfId="19965" xr:uid="{B01AB97B-EA9E-46AB-8C8C-4705EF5EC8F5}"/>
    <cellStyle name="Normal 4 4 2 2 3 5 6" xfId="28412" xr:uid="{C17CBF31-3B7D-4FEE-88C4-0DA09FD7D883}"/>
    <cellStyle name="Normal 4 4 2 2 3 6" xfId="2539" xr:uid="{00000000-0005-0000-0000-000000150000}"/>
    <cellStyle name="Normal 4 4 2 2 3 6 2" xfId="6822" xr:uid="{00000000-0005-0000-0000-000001150000}"/>
    <cellStyle name="Normal 4 4 2 2 3 6 2 2" xfId="16148" xr:uid="{03712034-DE39-4222-97DD-DE8CC3502EF5}"/>
    <cellStyle name="Normal 4 4 2 2 3 6 2 3" xfId="24595" xr:uid="{A714113B-9CC9-4F00-8B4C-DA221E31D8C9}"/>
    <cellStyle name="Normal 4 4 2 2 3 6 2 4" xfId="33042" xr:uid="{6D71224C-E80A-4ED5-809C-7AF161F7F240}"/>
    <cellStyle name="Normal 4 4 2 2 3 6 3" xfId="11931" xr:uid="{407DAB93-C6C2-4933-BD23-236DB90819F4}"/>
    <cellStyle name="Normal 4 4 2 2 3 6 4" xfId="20378" xr:uid="{2AB7EE95-9207-48DB-B239-C6AC348C332D}"/>
    <cellStyle name="Normal 4 4 2 2 3 6 5" xfId="28825" xr:uid="{840E25D9-B62C-4343-9FD9-7E81DD81FA1D}"/>
    <cellStyle name="Normal 4 4 2 2 3 7" xfId="4757" xr:uid="{00000000-0005-0000-0000-000002150000}"/>
    <cellStyle name="Normal 4 4 2 2 3 7 2" xfId="14083" xr:uid="{8779E12E-7EA0-459F-8F09-C9F98F35DFDF}"/>
    <cellStyle name="Normal 4 4 2 2 3 7 3" xfId="22530" xr:uid="{75CE5A90-F81A-4DD1-B69E-97FE817ECF10}"/>
    <cellStyle name="Normal 4 4 2 2 3 7 4" xfId="30977" xr:uid="{14544F07-E668-4953-81CA-F05E41A227CF}"/>
    <cellStyle name="Normal 4 4 2 2 3 8" xfId="9031" xr:uid="{F1B59444-328A-4279-8A0A-A9F7E26061D5}"/>
    <cellStyle name="Normal 4 4 2 2 3 9" xfId="9866" xr:uid="{43BB7340-E790-4761-A627-6F12660FDF44}"/>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16638" xr:uid="{49479F3B-E710-4340-85D1-036296C71B07}"/>
    <cellStyle name="Normal 4 4 2 2 4 2 2 3" xfId="25085" xr:uid="{95675634-EC87-4A4A-89E5-2E7CAF222C4B}"/>
    <cellStyle name="Normal 4 4 2 2 4 2 2 4" xfId="33532" xr:uid="{FD02FF89-38F8-4E4C-B304-B547AAEB0B59}"/>
    <cellStyle name="Normal 4 4 2 2 4 2 3" xfId="12421" xr:uid="{74247A74-926D-4610-B662-44469A0492C1}"/>
    <cellStyle name="Normal 4 4 2 2 4 2 4" xfId="20868" xr:uid="{2BE5B02D-4A87-44C1-B972-C9A8984D43EE}"/>
    <cellStyle name="Normal 4 4 2 2 4 2 5" xfId="29315" xr:uid="{03DEEF04-310F-41A8-845B-8B5C49A6013D}"/>
    <cellStyle name="Normal 4 4 2 2 4 3" xfId="5167" xr:uid="{00000000-0005-0000-0000-000006150000}"/>
    <cellStyle name="Normal 4 4 2 2 4 3 2" xfId="14493" xr:uid="{40A9409B-FF68-4F43-898C-C966889B4A37}"/>
    <cellStyle name="Normal 4 4 2 2 4 3 3" xfId="22940" xr:uid="{11E0B6C3-E2FE-4885-81DB-2867FF1C00FE}"/>
    <cellStyle name="Normal 4 4 2 2 4 3 4" xfId="31387" xr:uid="{29F0019C-21B2-479E-9157-051F581A5D21}"/>
    <cellStyle name="Normal 4 4 2 2 4 4" xfId="9249" xr:uid="{7E4CA7C7-738D-4CFA-907A-40590344548A}"/>
    <cellStyle name="Normal 4 4 2 2 4 5" xfId="10276" xr:uid="{0FBAF93E-DC8A-44E1-9656-636CDB0D4486}"/>
    <cellStyle name="Normal 4 4 2 2 4 6" xfId="18723" xr:uid="{57A18813-19F0-4A23-B5C1-4395F44E5198}"/>
    <cellStyle name="Normal 4 4 2 2 4 7" xfId="27170" xr:uid="{013DB9B5-5FE9-4693-B71B-7CC3A69EC025}"/>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17051" xr:uid="{CEA1AF84-3DDF-4DF0-8A0E-D66126566B8A}"/>
    <cellStyle name="Normal 4 4 2 2 5 2 2 3" xfId="25498" xr:uid="{BDBE7BC9-C2F8-4707-82CD-D25993DF3376}"/>
    <cellStyle name="Normal 4 4 2 2 5 2 2 4" xfId="33945" xr:uid="{EEA91FA2-ABFA-4781-8426-6B35727F7049}"/>
    <cellStyle name="Normal 4 4 2 2 5 2 3" xfId="12834" xr:uid="{0BACFF84-977A-47DA-AF07-73A868D157EC}"/>
    <cellStyle name="Normal 4 4 2 2 5 2 4" xfId="21281" xr:uid="{8151090E-69BE-4040-AFA4-A5D0B2F14B6B}"/>
    <cellStyle name="Normal 4 4 2 2 5 2 5" xfId="29728" xr:uid="{B4475485-359C-42B8-B8C3-BDE5A55C503D}"/>
    <cellStyle name="Normal 4 4 2 2 5 3" xfId="5580" xr:uid="{00000000-0005-0000-0000-00000A150000}"/>
    <cellStyle name="Normal 4 4 2 2 5 3 2" xfId="14906" xr:uid="{0B224664-E4D5-4E70-A59D-FA195A484F27}"/>
    <cellStyle name="Normal 4 4 2 2 5 3 3" xfId="23353" xr:uid="{3A4D6CE4-33C1-4478-AE4B-D56364EA1824}"/>
    <cellStyle name="Normal 4 4 2 2 5 3 4" xfId="31800" xr:uid="{911E918B-3848-489B-B5D9-7FD498D6F9C4}"/>
    <cellStyle name="Normal 4 4 2 2 5 4" xfId="10689" xr:uid="{AC220840-1970-4C4C-B84D-842A78E0E077}"/>
    <cellStyle name="Normal 4 4 2 2 5 5" xfId="19136" xr:uid="{5D42D826-DBF5-4E40-BCC6-CF9D0CEFFEF6}"/>
    <cellStyle name="Normal 4 4 2 2 5 6" xfId="27583" xr:uid="{C243AA0D-BCA5-4878-9E10-C432232829F4}"/>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17464" xr:uid="{5510E327-8CB9-469E-B5D7-D1CC944FF711}"/>
    <cellStyle name="Normal 4 4 2 2 6 2 2 3" xfId="25911" xr:uid="{F74CDCEF-D5A1-4B1B-89FE-6090CF1AA2F8}"/>
    <cellStyle name="Normal 4 4 2 2 6 2 2 4" xfId="34358" xr:uid="{EF280DF2-B84E-44AA-9A75-15444554FD8C}"/>
    <cellStyle name="Normal 4 4 2 2 6 2 3" xfId="13247" xr:uid="{C6ACD41A-D24B-4076-8FA2-F8F015E9CD94}"/>
    <cellStyle name="Normal 4 4 2 2 6 2 4" xfId="21694" xr:uid="{65E7D284-7955-4F25-A029-4E6145DCC817}"/>
    <cellStyle name="Normal 4 4 2 2 6 2 5" xfId="30141" xr:uid="{ECD0A05D-2EE4-4DA7-B22B-B3D5219A8ECB}"/>
    <cellStyle name="Normal 4 4 2 2 6 3" xfId="5993" xr:uid="{00000000-0005-0000-0000-00000E150000}"/>
    <cellStyle name="Normal 4 4 2 2 6 3 2" xfId="15319" xr:uid="{22C840FF-2D1E-49B5-8472-56B388B486CB}"/>
    <cellStyle name="Normal 4 4 2 2 6 3 3" xfId="23766" xr:uid="{F2B19201-F57A-45A3-B62E-C3748766A9A1}"/>
    <cellStyle name="Normal 4 4 2 2 6 3 4" xfId="32213" xr:uid="{AD76AB15-79B9-4E94-91E6-1F37D367E370}"/>
    <cellStyle name="Normal 4 4 2 2 6 4" xfId="11102" xr:uid="{7C5C06E6-8CDE-4025-B241-541D72C9D0AD}"/>
    <cellStyle name="Normal 4 4 2 2 6 5" xfId="19549" xr:uid="{B80730A7-DAC8-4D53-9803-4F91395254A7}"/>
    <cellStyle name="Normal 4 4 2 2 6 6" xfId="27996" xr:uid="{9BEDAEB2-BC1D-437A-A7BC-592419088D17}"/>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17877" xr:uid="{697E9B6C-60AB-4C0F-921E-FBE1D8138065}"/>
    <cellStyle name="Normal 4 4 2 2 7 2 2 3" xfId="26324" xr:uid="{B94A6E2A-DA41-42C7-8863-E4B69E67026A}"/>
    <cellStyle name="Normal 4 4 2 2 7 2 2 4" xfId="34771" xr:uid="{CF59A246-CA11-439A-8D7E-861DD79F9F9B}"/>
    <cellStyle name="Normal 4 4 2 2 7 2 3" xfId="13660" xr:uid="{78888B76-BD9C-468B-914E-618D179B7259}"/>
    <cellStyle name="Normal 4 4 2 2 7 2 4" xfId="22107" xr:uid="{7C433A9D-4B55-47E9-8AA5-1D2C4FCA74CE}"/>
    <cellStyle name="Normal 4 4 2 2 7 2 5" xfId="30554" xr:uid="{0FF93EB4-04D0-4F6E-B2DC-5E7EAC6DD989}"/>
    <cellStyle name="Normal 4 4 2 2 7 3" xfId="6406" xr:uid="{00000000-0005-0000-0000-000012150000}"/>
    <cellStyle name="Normal 4 4 2 2 7 3 2" xfId="15732" xr:uid="{59957B61-6193-46FA-BBB4-2BCB0C685DA2}"/>
    <cellStyle name="Normal 4 4 2 2 7 3 3" xfId="24179" xr:uid="{E61B4E48-8E61-4722-A854-CFF1694BD839}"/>
    <cellStyle name="Normal 4 4 2 2 7 3 4" xfId="32626" xr:uid="{7B048CDC-17D8-47EE-B9C6-0FD3D34397EA}"/>
    <cellStyle name="Normal 4 4 2 2 7 4" xfId="11515" xr:uid="{4E55B3CF-20C4-489B-BB4E-6BC73F82498C}"/>
    <cellStyle name="Normal 4 4 2 2 7 5" xfId="19962" xr:uid="{BF6D39B0-666D-4A03-8583-3DC89AE4E540}"/>
    <cellStyle name="Normal 4 4 2 2 7 6" xfId="28409" xr:uid="{8793FAF6-FB67-4DDD-82DC-2281DA073F56}"/>
    <cellStyle name="Normal 4 4 2 2 8" xfId="2536" xr:uid="{00000000-0005-0000-0000-000013150000}"/>
    <cellStyle name="Normal 4 4 2 2 8 2" xfId="6819" xr:uid="{00000000-0005-0000-0000-000014150000}"/>
    <cellStyle name="Normal 4 4 2 2 8 2 2" xfId="16145" xr:uid="{856DFD9A-7193-48C4-B6BB-69D94E25CE40}"/>
    <cellStyle name="Normal 4 4 2 2 8 2 3" xfId="24592" xr:uid="{FA35BE41-9A11-4977-829B-DB90FE505BE7}"/>
    <cellStyle name="Normal 4 4 2 2 8 2 4" xfId="33039" xr:uid="{909E6CD6-A24C-4C64-8119-576734971886}"/>
    <cellStyle name="Normal 4 4 2 2 8 3" xfId="11928" xr:uid="{C4538622-EC85-429C-BB88-5EAF4D31BBB9}"/>
    <cellStyle name="Normal 4 4 2 2 8 4" xfId="20375" xr:uid="{5F24A246-2629-4CDF-A008-95E9EFB581C7}"/>
    <cellStyle name="Normal 4 4 2 2 8 5" xfId="28822" xr:uid="{21808EF8-5A04-464C-8F9F-672196687F4D}"/>
    <cellStyle name="Normal 4 4 2 2 9" xfId="4754" xr:uid="{00000000-0005-0000-0000-000015150000}"/>
    <cellStyle name="Normal 4 4 2 2 9 2" xfId="14080" xr:uid="{05B0C9C9-7F4C-4810-9221-7909705C002A}"/>
    <cellStyle name="Normal 4 4 2 2 9 3" xfId="22527" xr:uid="{A96C472F-E8A2-4773-B193-3F8C3C61F542}"/>
    <cellStyle name="Normal 4 4 2 2 9 4" xfId="30974" xr:uid="{00BF6407-7C82-4BF8-8A1C-6CBF5C6D3937}"/>
    <cellStyle name="Normal 4 4 2 3" xfId="384" xr:uid="{00000000-0005-0000-0000-000016150000}"/>
    <cellStyle name="Normal 4 4 2 3 10" xfId="9867" xr:uid="{EECE1FE0-6C34-4EF2-A103-19361BFE08BE}"/>
    <cellStyle name="Normal 4 4 2 3 11" xfId="18314" xr:uid="{75270B25-D012-4AA0-8A4A-96B9BA075376}"/>
    <cellStyle name="Normal 4 4 2 3 12" xfId="26761" xr:uid="{9D800463-B92C-4FBD-8152-58A1BB2A3E18}"/>
    <cellStyle name="Normal 4 4 2 3 2" xfId="385" xr:uid="{00000000-0005-0000-0000-000017150000}"/>
    <cellStyle name="Normal 4 4 2 3 2 10" xfId="18315" xr:uid="{63B237EB-C199-45BB-A004-5C8E8450F2F3}"/>
    <cellStyle name="Normal 4 4 2 3 2 11" xfId="26762" xr:uid="{3C600D63-A23E-4CEF-B56E-BA86B21BD58D}"/>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16643" xr:uid="{F8B41F59-54A1-4648-910A-C06E09F54C2F}"/>
    <cellStyle name="Normal 4 4 2 3 2 2 2 2 3" xfId="25090" xr:uid="{F937E557-A572-403D-BE0D-8599D91FE3C9}"/>
    <cellStyle name="Normal 4 4 2 3 2 2 2 2 4" xfId="33537" xr:uid="{B7974252-F78F-4CFE-814B-1DCEE3761C09}"/>
    <cellStyle name="Normal 4 4 2 3 2 2 2 3" xfId="12426" xr:uid="{C2C8CF86-1070-49C7-A04A-C6EAD8C21265}"/>
    <cellStyle name="Normal 4 4 2 3 2 2 2 4" xfId="20873" xr:uid="{9E9BC822-0829-4EAC-BA71-CACEC3175093}"/>
    <cellStyle name="Normal 4 4 2 3 2 2 2 5" xfId="29320" xr:uid="{34114C41-4C7D-44FC-8888-8C6583F50A2D}"/>
    <cellStyle name="Normal 4 4 2 3 2 2 3" xfId="5172" xr:uid="{00000000-0005-0000-0000-00001B150000}"/>
    <cellStyle name="Normal 4 4 2 3 2 2 3 2" xfId="14498" xr:uid="{0CD59596-FC4C-403B-BBD9-0C2F79FB52AF}"/>
    <cellStyle name="Normal 4 4 2 3 2 2 3 3" xfId="22945" xr:uid="{1AB5A2A8-4D02-4398-ACF3-42E313C1A90E}"/>
    <cellStyle name="Normal 4 4 2 3 2 2 3 4" xfId="31392" xr:uid="{B8D6F93C-4AD7-4A5E-BB9A-715E6B1AA368}"/>
    <cellStyle name="Normal 4 4 2 3 2 2 4" xfId="9516" xr:uid="{93008D3B-5827-4778-B167-5B518B5BF56F}"/>
    <cellStyle name="Normal 4 4 2 3 2 2 5" xfId="10281" xr:uid="{DA729DE9-9D38-4690-A091-3E8DD9865461}"/>
    <cellStyle name="Normal 4 4 2 3 2 2 6" xfId="18728" xr:uid="{84E3D966-E0F8-4ED9-8C20-9CB2AD172B44}"/>
    <cellStyle name="Normal 4 4 2 3 2 2 7" xfId="27175" xr:uid="{614F723B-B46A-4D87-8E26-208627DA0EB1}"/>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17056" xr:uid="{90EB3208-A199-4DF4-81E7-7581A2287797}"/>
    <cellStyle name="Normal 4 4 2 3 2 3 2 2 3" xfId="25503" xr:uid="{F3EB1763-79F4-4DE0-B108-915778543C88}"/>
    <cellStyle name="Normal 4 4 2 3 2 3 2 2 4" xfId="33950" xr:uid="{8BEB97B9-208D-4FE4-84D1-2570BB4E506D}"/>
    <cellStyle name="Normal 4 4 2 3 2 3 2 3" xfId="12839" xr:uid="{F2B356A0-B3B5-4109-9BB7-67962CD703B0}"/>
    <cellStyle name="Normal 4 4 2 3 2 3 2 4" xfId="21286" xr:uid="{F5A2A98C-92F7-4394-A929-DEB42103BE9C}"/>
    <cellStyle name="Normal 4 4 2 3 2 3 2 5" xfId="29733" xr:uid="{604A6147-6F74-41D9-9979-7E34DAB46524}"/>
    <cellStyle name="Normal 4 4 2 3 2 3 3" xfId="5585" xr:uid="{00000000-0005-0000-0000-00001F150000}"/>
    <cellStyle name="Normal 4 4 2 3 2 3 3 2" xfId="14911" xr:uid="{2A48B31C-D36B-41E3-BA11-000D0BB6DC63}"/>
    <cellStyle name="Normal 4 4 2 3 2 3 3 3" xfId="23358" xr:uid="{81EE358C-4478-4D9E-9F06-357CCD6D6D14}"/>
    <cellStyle name="Normal 4 4 2 3 2 3 3 4" xfId="31805" xr:uid="{FAC36A59-5C69-4B3E-B764-88A629093C72}"/>
    <cellStyle name="Normal 4 4 2 3 2 3 4" xfId="10694" xr:uid="{311C6675-CCAF-4561-B447-6CE87D9FAABA}"/>
    <cellStyle name="Normal 4 4 2 3 2 3 5" xfId="19141" xr:uid="{E1224E17-D460-4E18-9FB1-2F3D07D27ACF}"/>
    <cellStyle name="Normal 4 4 2 3 2 3 6" xfId="27588" xr:uid="{E994F800-6952-49C4-91D2-D69F87AA48EF}"/>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17469" xr:uid="{CD78E34D-878C-40D6-AF13-5DC87A3C3F11}"/>
    <cellStyle name="Normal 4 4 2 3 2 4 2 2 3" xfId="25916" xr:uid="{3BD3277E-2BD4-45C9-ADCB-553BB0378EDE}"/>
    <cellStyle name="Normal 4 4 2 3 2 4 2 2 4" xfId="34363" xr:uid="{EFD99D3D-A5FA-4F8E-A56B-C4376553E536}"/>
    <cellStyle name="Normal 4 4 2 3 2 4 2 3" xfId="13252" xr:uid="{FA0E3B35-3EDC-4E6B-9397-AA164B8103C0}"/>
    <cellStyle name="Normal 4 4 2 3 2 4 2 4" xfId="21699" xr:uid="{BF90E95B-A674-426F-8E82-A05C76C0A968}"/>
    <cellStyle name="Normal 4 4 2 3 2 4 2 5" xfId="30146" xr:uid="{77858982-3C63-4CE7-8119-C0F974E9D04F}"/>
    <cellStyle name="Normal 4 4 2 3 2 4 3" xfId="5998" xr:uid="{00000000-0005-0000-0000-000023150000}"/>
    <cellStyle name="Normal 4 4 2 3 2 4 3 2" xfId="15324" xr:uid="{F66F0C7D-44CF-44CA-AD92-40AD13CAE589}"/>
    <cellStyle name="Normal 4 4 2 3 2 4 3 3" xfId="23771" xr:uid="{27BBD65D-82EF-42CD-9DB6-AE023599E095}"/>
    <cellStyle name="Normal 4 4 2 3 2 4 3 4" xfId="32218" xr:uid="{74F71FDF-5A3C-42DB-B951-18A561A311A6}"/>
    <cellStyle name="Normal 4 4 2 3 2 4 4" xfId="11107" xr:uid="{4BCCA285-4EE5-4862-A121-9EE733CFF6D2}"/>
    <cellStyle name="Normal 4 4 2 3 2 4 5" xfId="19554" xr:uid="{9CD15576-9A9E-4215-BED8-FE6DB1193A8F}"/>
    <cellStyle name="Normal 4 4 2 3 2 4 6" xfId="28001" xr:uid="{B3CF1883-F23F-4F3B-9CDB-D7392E31413C}"/>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17882" xr:uid="{44D60B7B-0256-43A5-B13F-5907D6DDF08C}"/>
    <cellStyle name="Normal 4 4 2 3 2 5 2 2 3" xfId="26329" xr:uid="{A8663F56-78CF-44A0-A78E-F99CFD9678C6}"/>
    <cellStyle name="Normal 4 4 2 3 2 5 2 2 4" xfId="34776" xr:uid="{74E37D20-844C-4523-A959-ED60874C1833}"/>
    <cellStyle name="Normal 4 4 2 3 2 5 2 3" xfId="13665" xr:uid="{7FB1C3DD-E1E0-4595-A191-EF42B4771C88}"/>
    <cellStyle name="Normal 4 4 2 3 2 5 2 4" xfId="22112" xr:uid="{3A422AA7-1EA8-43CE-8A94-F20FE8FD8DD7}"/>
    <cellStyle name="Normal 4 4 2 3 2 5 2 5" xfId="30559" xr:uid="{35DD6ACF-4E52-45BE-94E8-8C0B1CC64492}"/>
    <cellStyle name="Normal 4 4 2 3 2 5 3" xfId="6411" xr:uid="{00000000-0005-0000-0000-000027150000}"/>
    <cellStyle name="Normal 4 4 2 3 2 5 3 2" xfId="15737" xr:uid="{CA5F2EC9-9FE8-4262-9392-32465CE80FF9}"/>
    <cellStyle name="Normal 4 4 2 3 2 5 3 3" xfId="24184" xr:uid="{8388249E-5ADA-4E10-A8DE-7DF888BB7202}"/>
    <cellStyle name="Normal 4 4 2 3 2 5 3 4" xfId="32631" xr:uid="{A6446D8C-D24F-4B91-867A-3154AFCABEA1}"/>
    <cellStyle name="Normal 4 4 2 3 2 5 4" xfId="11520" xr:uid="{A8C726AC-AAE9-4551-8B51-10994484AFBF}"/>
    <cellStyle name="Normal 4 4 2 3 2 5 5" xfId="19967" xr:uid="{3993F290-86D7-4363-8B72-19234CF019E6}"/>
    <cellStyle name="Normal 4 4 2 3 2 5 6" xfId="28414" xr:uid="{4CB453DF-3307-4D75-9CE5-849E78F9A804}"/>
    <cellStyle name="Normal 4 4 2 3 2 6" xfId="2541" xr:uid="{00000000-0005-0000-0000-000028150000}"/>
    <cellStyle name="Normal 4 4 2 3 2 6 2" xfId="6824" xr:uid="{00000000-0005-0000-0000-000029150000}"/>
    <cellStyle name="Normal 4 4 2 3 2 6 2 2" xfId="16150" xr:uid="{F6CCC805-9D9E-478C-8B5A-55384B8AFCED}"/>
    <cellStyle name="Normal 4 4 2 3 2 6 2 3" xfId="24597" xr:uid="{0C728D2C-5651-482E-8A77-3F5E6A833DF8}"/>
    <cellStyle name="Normal 4 4 2 3 2 6 2 4" xfId="33044" xr:uid="{36BAF81F-9D6C-463D-A529-8763BE2E1131}"/>
    <cellStyle name="Normal 4 4 2 3 2 6 3" xfId="11933" xr:uid="{BEE465D8-315B-4E04-98AC-E536CAF7759C}"/>
    <cellStyle name="Normal 4 4 2 3 2 6 4" xfId="20380" xr:uid="{E963750B-4DAF-4F6F-8B50-F115C19B1FC4}"/>
    <cellStyle name="Normal 4 4 2 3 2 6 5" xfId="28827" xr:uid="{7A253485-D459-46D6-9AF7-69430AFF3E97}"/>
    <cellStyle name="Normal 4 4 2 3 2 7" xfId="4759" xr:uid="{00000000-0005-0000-0000-00002A150000}"/>
    <cellStyle name="Normal 4 4 2 3 2 7 2" xfId="14085" xr:uid="{1D9C0BCC-97E0-4349-A87C-0E4E975258C4}"/>
    <cellStyle name="Normal 4 4 2 3 2 7 3" xfId="22532" xr:uid="{440FABC6-7C0E-4215-BD73-A75874A58202}"/>
    <cellStyle name="Normal 4 4 2 3 2 7 4" xfId="30979" xr:uid="{F95ED6DF-B1A3-4FA5-B9B5-275324BC1075}"/>
    <cellStyle name="Normal 4 4 2 3 2 8" xfId="9091" xr:uid="{9DBAED0A-05EE-4674-B1B7-8D03DBB53301}"/>
    <cellStyle name="Normal 4 4 2 3 2 9" xfId="9868" xr:uid="{E1B01834-5F9D-402F-8E07-801D2C93B764}"/>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16642" xr:uid="{14782689-778C-4D45-AC78-85F46B388CA4}"/>
    <cellStyle name="Normal 4 4 2 3 3 2 2 3" xfId="25089" xr:uid="{A7194FA2-EDF9-4F42-868C-980FFD13CA9C}"/>
    <cellStyle name="Normal 4 4 2 3 3 2 2 4" xfId="33536" xr:uid="{02431906-9033-439A-B232-FFAFC1CB3B83}"/>
    <cellStyle name="Normal 4 4 2 3 3 2 3" xfId="12425" xr:uid="{1333015A-A6BC-4DA1-B898-74EF36CC3D11}"/>
    <cellStyle name="Normal 4 4 2 3 3 2 4" xfId="20872" xr:uid="{5536CF88-35B1-4E72-8F00-62C256B943E1}"/>
    <cellStyle name="Normal 4 4 2 3 3 2 5" xfId="29319" xr:uid="{476FE2D2-34A0-455E-AD09-05D2D970F044}"/>
    <cellStyle name="Normal 4 4 2 3 3 3" xfId="5171" xr:uid="{00000000-0005-0000-0000-00002E150000}"/>
    <cellStyle name="Normal 4 4 2 3 3 3 2" xfId="14497" xr:uid="{BA40FA5C-EB49-403D-895D-DF8FA57D7275}"/>
    <cellStyle name="Normal 4 4 2 3 3 3 3" xfId="22944" xr:uid="{EB8FACBF-94E3-481F-9427-41B1365241A3}"/>
    <cellStyle name="Normal 4 4 2 3 3 3 4" xfId="31391" xr:uid="{F89ECF69-77A1-4614-AA5A-8607316FC66B}"/>
    <cellStyle name="Normal 4 4 2 3 3 4" xfId="9309" xr:uid="{73E912F6-92AF-449E-AE53-1DEDEF686C0F}"/>
    <cellStyle name="Normal 4 4 2 3 3 5" xfId="10280" xr:uid="{3BD5324A-E554-449B-B78F-575C1DD587EA}"/>
    <cellStyle name="Normal 4 4 2 3 3 6" xfId="18727" xr:uid="{2063ED8F-FCA8-4A32-89E5-DE5320A06361}"/>
    <cellStyle name="Normal 4 4 2 3 3 7" xfId="27174" xr:uid="{0D70E6F5-E1DD-4413-BDA9-5CDD4ABA5E13}"/>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17055" xr:uid="{FDA1F5CC-0954-4D57-B345-4AEFF1E66ED1}"/>
    <cellStyle name="Normal 4 4 2 3 4 2 2 3" xfId="25502" xr:uid="{3F269BFE-7D13-413C-8E18-BB0839CED8AB}"/>
    <cellStyle name="Normal 4 4 2 3 4 2 2 4" xfId="33949" xr:uid="{81737419-2B51-4B3C-89CA-C615D34A062B}"/>
    <cellStyle name="Normal 4 4 2 3 4 2 3" xfId="12838" xr:uid="{5AAB8922-4129-447D-B0A2-AD637E404F45}"/>
    <cellStyle name="Normal 4 4 2 3 4 2 4" xfId="21285" xr:uid="{00491E3B-4233-42C8-B0CB-2E5081A4414B}"/>
    <cellStyle name="Normal 4 4 2 3 4 2 5" xfId="29732" xr:uid="{7DB78937-3465-4068-9CEE-0FE5087A4F61}"/>
    <cellStyle name="Normal 4 4 2 3 4 3" xfId="5584" xr:uid="{00000000-0005-0000-0000-000032150000}"/>
    <cellStyle name="Normal 4 4 2 3 4 3 2" xfId="14910" xr:uid="{331EA6BA-9CCE-492D-AB32-AC66791DD983}"/>
    <cellStyle name="Normal 4 4 2 3 4 3 3" xfId="23357" xr:uid="{43BC8966-2603-4C93-9AFF-80F3FEA3361F}"/>
    <cellStyle name="Normal 4 4 2 3 4 3 4" xfId="31804" xr:uid="{D08A35F0-D188-49A2-895E-321032E07464}"/>
    <cellStyle name="Normal 4 4 2 3 4 4" xfId="10693" xr:uid="{983DA228-748F-4608-97E7-7C7DCF6BCC37}"/>
    <cellStyle name="Normal 4 4 2 3 4 5" xfId="19140" xr:uid="{FE17627E-EB5C-4682-8684-34EB5EBE02CB}"/>
    <cellStyle name="Normal 4 4 2 3 4 6" xfId="27587" xr:uid="{200409A9-87D4-4942-89F4-5F8A6880B2E2}"/>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17468" xr:uid="{4D3ECE76-6A1B-4CBA-A7FC-7894B18C900F}"/>
    <cellStyle name="Normal 4 4 2 3 5 2 2 3" xfId="25915" xr:uid="{F2D59CE3-A344-4116-B01D-15C4B28AC7A4}"/>
    <cellStyle name="Normal 4 4 2 3 5 2 2 4" xfId="34362" xr:uid="{4C3D11E2-C817-4E8A-AC6F-0D83CE938530}"/>
    <cellStyle name="Normal 4 4 2 3 5 2 3" xfId="13251" xr:uid="{8330AF31-DA17-4396-B910-CB50FA7B4168}"/>
    <cellStyle name="Normal 4 4 2 3 5 2 4" xfId="21698" xr:uid="{C1B8EDB8-5DC2-4B7A-B303-26B8096AF12E}"/>
    <cellStyle name="Normal 4 4 2 3 5 2 5" xfId="30145" xr:uid="{9F8E93BA-0E70-4CDA-AD4D-B3429B6A9005}"/>
    <cellStyle name="Normal 4 4 2 3 5 3" xfId="5997" xr:uid="{00000000-0005-0000-0000-000036150000}"/>
    <cellStyle name="Normal 4 4 2 3 5 3 2" xfId="15323" xr:uid="{54A727E9-780C-49FA-B616-F9F43C16E53F}"/>
    <cellStyle name="Normal 4 4 2 3 5 3 3" xfId="23770" xr:uid="{B431EF62-AE27-4191-A06B-1BD207FE27FA}"/>
    <cellStyle name="Normal 4 4 2 3 5 3 4" xfId="32217" xr:uid="{BDA2A468-B767-47A5-84C8-45590E194718}"/>
    <cellStyle name="Normal 4 4 2 3 5 4" xfId="11106" xr:uid="{73565AA9-88AB-45E8-8CF8-9427BFD4230A}"/>
    <cellStyle name="Normal 4 4 2 3 5 5" xfId="19553" xr:uid="{A73D4F53-3567-4C7F-B942-DCB70FFE520B}"/>
    <cellStyle name="Normal 4 4 2 3 5 6" xfId="28000" xr:uid="{784D79F9-6342-4CFE-B6ED-68FBBE615AF6}"/>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17881" xr:uid="{DC09EF6C-9354-4E40-AB9E-48B0D3BA975F}"/>
    <cellStyle name="Normal 4 4 2 3 6 2 2 3" xfId="26328" xr:uid="{25F0B543-7507-4CCB-8763-2C96973B9114}"/>
    <cellStyle name="Normal 4 4 2 3 6 2 2 4" xfId="34775" xr:uid="{9DC1698E-0230-478D-AE8D-B91673BD1ABD}"/>
    <cellStyle name="Normal 4 4 2 3 6 2 3" xfId="13664" xr:uid="{AF3AC0F2-9C46-439A-9036-F32F06CEC5AB}"/>
    <cellStyle name="Normal 4 4 2 3 6 2 4" xfId="22111" xr:uid="{635882F4-5862-48D2-94A6-F3005EEA79F0}"/>
    <cellStyle name="Normal 4 4 2 3 6 2 5" xfId="30558" xr:uid="{7A04BA56-EAC3-4265-AEE4-4C0EFE49C763}"/>
    <cellStyle name="Normal 4 4 2 3 6 3" xfId="6410" xr:uid="{00000000-0005-0000-0000-00003A150000}"/>
    <cellStyle name="Normal 4 4 2 3 6 3 2" xfId="15736" xr:uid="{07A36E67-4A94-466C-B73E-02F500118A29}"/>
    <cellStyle name="Normal 4 4 2 3 6 3 3" xfId="24183" xr:uid="{9229037B-0607-4FC0-8CED-AEDFF0FBCFE2}"/>
    <cellStyle name="Normal 4 4 2 3 6 3 4" xfId="32630" xr:uid="{5AACCF37-D762-4934-B56A-6BA230E57397}"/>
    <cellStyle name="Normal 4 4 2 3 6 4" xfId="11519" xr:uid="{F5EF05A8-65FB-4125-BDE9-A50ABE563D15}"/>
    <cellStyle name="Normal 4 4 2 3 6 5" xfId="19966" xr:uid="{B9C45E4E-BF01-46E4-8825-6A2BADC8A660}"/>
    <cellStyle name="Normal 4 4 2 3 6 6" xfId="28413" xr:uid="{3C44C7A1-F605-4716-A3CD-A514B755A9CF}"/>
    <cellStyle name="Normal 4 4 2 3 7" xfId="2540" xr:uid="{00000000-0005-0000-0000-00003B150000}"/>
    <cellStyle name="Normal 4 4 2 3 7 2" xfId="6823" xr:uid="{00000000-0005-0000-0000-00003C150000}"/>
    <cellStyle name="Normal 4 4 2 3 7 2 2" xfId="16149" xr:uid="{40D26C29-4345-4965-ABAE-BD54EA8C18F7}"/>
    <cellStyle name="Normal 4 4 2 3 7 2 3" xfId="24596" xr:uid="{BB0EA0B8-F12B-45DA-853F-CEDF5C4362E1}"/>
    <cellStyle name="Normal 4 4 2 3 7 2 4" xfId="33043" xr:uid="{471B5233-98D1-4F52-96E6-35CA67F89A55}"/>
    <cellStyle name="Normal 4 4 2 3 7 3" xfId="11932" xr:uid="{EAA50FBC-A528-4868-A51B-2031D8644E5C}"/>
    <cellStyle name="Normal 4 4 2 3 7 4" xfId="20379" xr:uid="{B9E33D88-46DB-47EC-937F-9FFD297BEF19}"/>
    <cellStyle name="Normal 4 4 2 3 7 5" xfId="28826" xr:uid="{31145B07-8724-423D-A3E4-75526D9F86EE}"/>
    <cellStyle name="Normal 4 4 2 3 8" xfId="4758" xr:uid="{00000000-0005-0000-0000-00003D150000}"/>
    <cellStyle name="Normal 4 4 2 3 8 2" xfId="14084" xr:uid="{8AA4D2B4-BF24-4824-AAA5-A31EA0B6B742}"/>
    <cellStyle name="Normal 4 4 2 3 8 3" xfId="22531" xr:uid="{29C61989-A2EC-4657-AD82-DD15C9E1F9EB}"/>
    <cellStyle name="Normal 4 4 2 3 8 4" xfId="30978" xr:uid="{03559B5D-7C51-4DE2-B473-260E2BDCAFE9}"/>
    <cellStyle name="Normal 4 4 2 3 9" xfId="8884" xr:uid="{CBA8CCC0-D2E2-46C8-AC83-39734599F615}"/>
    <cellStyle name="Normal 4 4 2 4" xfId="386" xr:uid="{00000000-0005-0000-0000-00003E150000}"/>
    <cellStyle name="Normal 4 4 2 4 10" xfId="18316" xr:uid="{2C9244AB-43B2-47BA-9B2F-E21E8E3F82DE}"/>
    <cellStyle name="Normal 4 4 2 4 11" xfId="26763" xr:uid="{D72D58BF-3459-4405-BBC9-88167A68E5D0}"/>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16644" xr:uid="{660403FC-31CA-403C-B12B-C84BD22EA955}"/>
    <cellStyle name="Normal 4 4 2 4 2 2 2 3" xfId="25091" xr:uid="{4A9AC995-92AD-4E8D-A4B8-D5F23BD6A3F5}"/>
    <cellStyle name="Normal 4 4 2 4 2 2 2 4" xfId="33538" xr:uid="{599CABA7-300B-4862-9A08-F7BD0C8FC150}"/>
    <cellStyle name="Normal 4 4 2 4 2 2 3" xfId="12427" xr:uid="{CDAC0AD2-B9FA-4A7B-BE6F-8FC8B59EA2B0}"/>
    <cellStyle name="Normal 4 4 2 4 2 2 4" xfId="20874" xr:uid="{7455DA48-D545-4D8F-A930-4825B623AE98}"/>
    <cellStyle name="Normal 4 4 2 4 2 2 5" xfId="29321" xr:uid="{587857A7-6A34-420E-907B-2B92A59C86C6}"/>
    <cellStyle name="Normal 4 4 2 4 2 3" xfId="5173" xr:uid="{00000000-0005-0000-0000-000042150000}"/>
    <cellStyle name="Normal 4 4 2 4 2 3 2" xfId="14499" xr:uid="{4EDA56C2-3DBE-4969-9388-AC7CAD1C977C}"/>
    <cellStyle name="Normal 4 4 2 4 2 3 3" xfId="22946" xr:uid="{71BFDEF3-44DF-490D-92A3-3516AC77A70F}"/>
    <cellStyle name="Normal 4 4 2 4 2 3 4" xfId="31393" xr:uid="{4D3666D1-8416-4069-BA54-5D31CF5DA611}"/>
    <cellStyle name="Normal 4 4 2 4 2 4" xfId="9413" xr:uid="{4DC092EA-7C69-4E02-9FE8-33F62D070F54}"/>
    <cellStyle name="Normal 4 4 2 4 2 5" xfId="10282" xr:uid="{0487E90A-4A76-42D7-9703-205FDCFC31D3}"/>
    <cellStyle name="Normal 4 4 2 4 2 6" xfId="18729" xr:uid="{B6E9EAFC-0542-471F-B764-60322341D77A}"/>
    <cellStyle name="Normal 4 4 2 4 2 7" xfId="27176" xr:uid="{42454853-0074-49E7-8704-7A79502A19DB}"/>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17057" xr:uid="{8F3B6671-CA6F-4FF6-9250-8AB715939112}"/>
    <cellStyle name="Normal 4 4 2 4 3 2 2 3" xfId="25504" xr:uid="{42FFC19B-D416-4C3D-A1D6-6A80577AD603}"/>
    <cellStyle name="Normal 4 4 2 4 3 2 2 4" xfId="33951" xr:uid="{7C38441A-E573-4FEE-BCF5-CAA55B3C40C4}"/>
    <cellStyle name="Normal 4 4 2 4 3 2 3" xfId="12840" xr:uid="{D54A1281-5302-446D-8284-1D31CBF6ED06}"/>
    <cellStyle name="Normal 4 4 2 4 3 2 4" xfId="21287" xr:uid="{8F93A2EE-132A-4202-A8CC-AFA138D9D9F1}"/>
    <cellStyle name="Normal 4 4 2 4 3 2 5" xfId="29734" xr:uid="{E19B9A64-F491-4C72-919A-AC61CEF71AB0}"/>
    <cellStyle name="Normal 4 4 2 4 3 3" xfId="5586" xr:uid="{00000000-0005-0000-0000-000046150000}"/>
    <cellStyle name="Normal 4 4 2 4 3 3 2" xfId="14912" xr:uid="{D63A5123-A10C-4F12-8F31-0022651A680B}"/>
    <cellStyle name="Normal 4 4 2 4 3 3 3" xfId="23359" xr:uid="{9954EB72-FFAA-497D-9CF2-1971621452A3}"/>
    <cellStyle name="Normal 4 4 2 4 3 3 4" xfId="31806" xr:uid="{BF15B620-7C3C-4803-A69A-C7AE59DF5BD9}"/>
    <cellStyle name="Normal 4 4 2 4 3 4" xfId="10695" xr:uid="{D50F004D-9B01-4A35-A1F2-ABEBCA9A7A18}"/>
    <cellStyle name="Normal 4 4 2 4 3 5" xfId="19142" xr:uid="{82652641-F428-4E3F-8CEE-6E23F9012F74}"/>
    <cellStyle name="Normal 4 4 2 4 3 6" xfId="27589" xr:uid="{4C6925D4-D870-4101-9149-63811865F712}"/>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17470" xr:uid="{174BCAFF-215E-4BD8-A22E-442105AFCA3B}"/>
    <cellStyle name="Normal 4 4 2 4 4 2 2 3" xfId="25917" xr:uid="{CEFBF757-E5CF-4260-BA4B-44B68479345A}"/>
    <cellStyle name="Normal 4 4 2 4 4 2 2 4" xfId="34364" xr:uid="{66E9A304-DC37-4BE6-B8E4-3DCB6EDF7BB2}"/>
    <cellStyle name="Normal 4 4 2 4 4 2 3" xfId="13253" xr:uid="{B325203A-2DFD-4604-9328-A92BA725516F}"/>
    <cellStyle name="Normal 4 4 2 4 4 2 4" xfId="21700" xr:uid="{8F946379-6909-4566-B0CC-8E3E0FEADED8}"/>
    <cellStyle name="Normal 4 4 2 4 4 2 5" xfId="30147" xr:uid="{9E9EE3B0-26F6-42C4-9AD7-611BDDC5869C}"/>
    <cellStyle name="Normal 4 4 2 4 4 3" xfId="5999" xr:uid="{00000000-0005-0000-0000-00004A150000}"/>
    <cellStyle name="Normal 4 4 2 4 4 3 2" xfId="15325" xr:uid="{09786F4C-18A5-4EE3-BAD0-439AD820D7FB}"/>
    <cellStyle name="Normal 4 4 2 4 4 3 3" xfId="23772" xr:uid="{39EA98A5-12C7-433C-AED1-B71E8B0F9D57}"/>
    <cellStyle name="Normal 4 4 2 4 4 3 4" xfId="32219" xr:uid="{28D7FAA5-F9EA-4633-A471-BD8C0B5C8FD3}"/>
    <cellStyle name="Normal 4 4 2 4 4 4" xfId="11108" xr:uid="{E0FAE7E5-ECE0-467D-8AA7-462B0C4BBD63}"/>
    <cellStyle name="Normal 4 4 2 4 4 5" xfId="19555" xr:uid="{41DE1C25-469C-4E7D-BD36-B67FC9D4EC63}"/>
    <cellStyle name="Normal 4 4 2 4 4 6" xfId="28002" xr:uid="{6E44E98A-58E0-4ECE-BA0D-8AF5E3B97EFA}"/>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17883" xr:uid="{0D5656BB-8540-4466-BDDB-B17821AC0FDA}"/>
    <cellStyle name="Normal 4 4 2 4 5 2 2 3" xfId="26330" xr:uid="{D00ED7F4-68BA-41A2-95E3-619A7B129C88}"/>
    <cellStyle name="Normal 4 4 2 4 5 2 2 4" xfId="34777" xr:uid="{3F350F39-F5CD-47C4-8F0A-DC0AADB04260}"/>
    <cellStyle name="Normal 4 4 2 4 5 2 3" xfId="13666" xr:uid="{DCE32BD0-3C84-4031-ACA9-36C349D496E3}"/>
    <cellStyle name="Normal 4 4 2 4 5 2 4" xfId="22113" xr:uid="{4516408D-B096-4843-9F80-B8B2C876C8D6}"/>
    <cellStyle name="Normal 4 4 2 4 5 2 5" xfId="30560" xr:uid="{1569BC22-35DE-4FDF-92DB-54112FBBC75D}"/>
    <cellStyle name="Normal 4 4 2 4 5 3" xfId="6412" xr:uid="{00000000-0005-0000-0000-00004E150000}"/>
    <cellStyle name="Normal 4 4 2 4 5 3 2" xfId="15738" xr:uid="{D3CAB2D6-E29F-4064-939F-2AB3E651EF0F}"/>
    <cellStyle name="Normal 4 4 2 4 5 3 3" xfId="24185" xr:uid="{79315726-D754-4727-B723-3B29192869FF}"/>
    <cellStyle name="Normal 4 4 2 4 5 3 4" xfId="32632" xr:uid="{8BD3CD98-4036-4031-B651-253381CAD37D}"/>
    <cellStyle name="Normal 4 4 2 4 5 4" xfId="11521" xr:uid="{6D555A8C-69E6-4D42-98C8-8EF3E18FDEFE}"/>
    <cellStyle name="Normal 4 4 2 4 5 5" xfId="19968" xr:uid="{0B542FF8-64D1-4245-A709-1BF51E393A50}"/>
    <cellStyle name="Normal 4 4 2 4 5 6" xfId="28415" xr:uid="{1EC33328-D207-426B-AECB-C92DCB1F6F26}"/>
    <cellStyle name="Normal 4 4 2 4 6" xfId="2542" xr:uid="{00000000-0005-0000-0000-00004F150000}"/>
    <cellStyle name="Normal 4 4 2 4 6 2" xfId="6825" xr:uid="{00000000-0005-0000-0000-000050150000}"/>
    <cellStyle name="Normal 4 4 2 4 6 2 2" xfId="16151" xr:uid="{9C47BAEE-C803-4707-85C7-92A660D99BF7}"/>
    <cellStyle name="Normal 4 4 2 4 6 2 3" xfId="24598" xr:uid="{F318BEA8-109C-4D3D-B17A-C8A460B89A31}"/>
    <cellStyle name="Normal 4 4 2 4 6 2 4" xfId="33045" xr:uid="{697E16C1-BE67-4CDA-ACD4-736D76FC23FF}"/>
    <cellStyle name="Normal 4 4 2 4 6 3" xfId="11934" xr:uid="{F67E7FEA-BE8C-440E-92E6-DA1D17F64166}"/>
    <cellStyle name="Normal 4 4 2 4 6 4" xfId="20381" xr:uid="{8D01EF2B-D419-4057-B4C2-4E62350B48A4}"/>
    <cellStyle name="Normal 4 4 2 4 6 5" xfId="28828" xr:uid="{83F48B7B-23DF-4187-B4EB-2E767E876EB6}"/>
    <cellStyle name="Normal 4 4 2 4 7" xfId="4760" xr:uid="{00000000-0005-0000-0000-000051150000}"/>
    <cellStyle name="Normal 4 4 2 4 7 2" xfId="14086" xr:uid="{1F897A5A-A88A-4002-A716-3D14325006E4}"/>
    <cellStyle name="Normal 4 4 2 4 7 3" xfId="22533" xr:uid="{4C981177-5D48-4B7E-9C55-48614875EA9A}"/>
    <cellStyle name="Normal 4 4 2 4 7 4" xfId="30980" xr:uid="{54E497E1-6BF6-43BC-A195-AEC5E6E3A5FC}"/>
    <cellStyle name="Normal 4 4 2 4 8" xfId="8988" xr:uid="{F852E7B0-7ACD-4401-B3B6-BE989A5C8AD5}"/>
    <cellStyle name="Normal 4 4 2 4 9" xfId="9869" xr:uid="{DC712752-38B1-4FC8-8808-53203BF4340C}"/>
    <cellStyle name="Normal 4 4 2 5" xfId="854" xr:uid="{00000000-0005-0000-0000-000052150000}"/>
    <cellStyle name="Normal 4 4 2 5 2" xfId="3089" xr:uid="{00000000-0005-0000-0000-000053150000}"/>
    <cellStyle name="Normal 4 4 2 5 2 2" xfId="7311" xr:uid="{00000000-0005-0000-0000-000054150000}"/>
    <cellStyle name="Normal 4 4 2 5 2 2 2" xfId="16637" xr:uid="{D3D4C509-6B12-43B5-8CAE-190B2FD32DF2}"/>
    <cellStyle name="Normal 4 4 2 5 2 2 3" xfId="25084" xr:uid="{F13E051D-860C-49E2-84C2-13115B61A893}"/>
    <cellStyle name="Normal 4 4 2 5 2 2 4" xfId="33531" xr:uid="{20D1F07F-5B94-487E-978E-2062B72FC59B}"/>
    <cellStyle name="Normal 4 4 2 5 2 3" xfId="12420" xr:uid="{57B9A61F-216B-469A-BD54-CEF2948ECFE0}"/>
    <cellStyle name="Normal 4 4 2 5 2 4" xfId="20867" xr:uid="{D21A3842-6076-4E25-ABD3-9AFD3BA88223}"/>
    <cellStyle name="Normal 4 4 2 5 2 5" xfId="29314" xr:uid="{E9AB002C-6A79-4100-AEC3-14CC424F4E6E}"/>
    <cellStyle name="Normal 4 4 2 5 3" xfId="5166" xr:uid="{00000000-0005-0000-0000-000055150000}"/>
    <cellStyle name="Normal 4 4 2 5 3 2" xfId="14492" xr:uid="{4E876039-A242-4EB2-BC82-93C10B101D63}"/>
    <cellStyle name="Normal 4 4 2 5 3 3" xfId="22939" xr:uid="{EAE99921-1796-4323-8F9D-2B827E6C08EE}"/>
    <cellStyle name="Normal 4 4 2 5 3 4" xfId="31386" xr:uid="{0B52115E-0C31-48FB-AFC6-5B9DEC4175D3}"/>
    <cellStyle name="Normal 4 4 2 5 4" xfId="9205" xr:uid="{A63DE01D-3EC8-40FC-A47E-E0EA001EED52}"/>
    <cellStyle name="Normal 4 4 2 5 5" xfId="10275" xr:uid="{55107282-54EF-47DB-A2AD-AF51AF6E35AC}"/>
    <cellStyle name="Normal 4 4 2 5 6" xfId="18722" xr:uid="{7B5C4D29-F085-4C07-9116-31BF0BC33116}"/>
    <cellStyle name="Normal 4 4 2 5 7" xfId="27169" xr:uid="{83421EE5-5D2B-4000-85E4-39B26866AC00}"/>
    <cellStyle name="Normal 4 4 2 6" xfId="1272" xr:uid="{00000000-0005-0000-0000-000056150000}"/>
    <cellStyle name="Normal 4 4 2 6 2" xfId="3502" xr:uid="{00000000-0005-0000-0000-000057150000}"/>
    <cellStyle name="Normal 4 4 2 6 2 2" xfId="7724" xr:uid="{00000000-0005-0000-0000-000058150000}"/>
    <cellStyle name="Normal 4 4 2 6 2 2 2" xfId="17050" xr:uid="{9C538BA7-FA49-43C9-A961-E771D024FCC9}"/>
    <cellStyle name="Normal 4 4 2 6 2 2 3" xfId="25497" xr:uid="{FF4A6C5A-58C5-4F8C-933E-A4864D05D85C}"/>
    <cellStyle name="Normal 4 4 2 6 2 2 4" xfId="33944" xr:uid="{9239B01C-33E9-4345-82FD-00D714213A4D}"/>
    <cellStyle name="Normal 4 4 2 6 2 3" xfId="12833" xr:uid="{BCFD344B-4B4B-413A-8151-8598EE4BD4A4}"/>
    <cellStyle name="Normal 4 4 2 6 2 4" xfId="21280" xr:uid="{095D1874-CE09-4929-A261-57ECFB6117FA}"/>
    <cellStyle name="Normal 4 4 2 6 2 5" xfId="29727" xr:uid="{548EA68A-E9D0-4619-BCE1-9CCA74FDE5A9}"/>
    <cellStyle name="Normal 4 4 2 6 3" xfId="5579" xr:uid="{00000000-0005-0000-0000-000059150000}"/>
    <cellStyle name="Normal 4 4 2 6 3 2" xfId="14905" xr:uid="{1E253FED-5032-4A13-9EA8-500E57ABB7C4}"/>
    <cellStyle name="Normal 4 4 2 6 3 3" xfId="23352" xr:uid="{6D4C301C-50AE-459D-8B9A-C05F70FA0614}"/>
    <cellStyle name="Normal 4 4 2 6 3 4" xfId="31799" xr:uid="{57CE7D6A-55CE-4A17-A463-61DEB154E0B7}"/>
    <cellStyle name="Normal 4 4 2 6 4" xfId="10688" xr:uid="{A1BE1271-CF1A-41FF-B86A-319EB731E27B}"/>
    <cellStyle name="Normal 4 4 2 6 5" xfId="19135" xr:uid="{B2DCB93A-FFDB-4D66-82F9-A1E13EDD03E3}"/>
    <cellStyle name="Normal 4 4 2 6 6" xfId="27582" xr:uid="{8A9948A8-D651-4898-87A5-4DE579FC4201}"/>
    <cellStyle name="Normal 4 4 2 7" xfId="1685" xr:uid="{00000000-0005-0000-0000-00005A150000}"/>
    <cellStyle name="Normal 4 4 2 7 2" xfId="3915" xr:uid="{00000000-0005-0000-0000-00005B150000}"/>
    <cellStyle name="Normal 4 4 2 7 2 2" xfId="8137" xr:uid="{00000000-0005-0000-0000-00005C150000}"/>
    <cellStyle name="Normal 4 4 2 7 2 2 2" xfId="17463" xr:uid="{7C574FAB-AACD-4610-A7D8-18F35E8C25D0}"/>
    <cellStyle name="Normal 4 4 2 7 2 2 3" xfId="25910" xr:uid="{468FE58C-AF06-4A9E-BD1F-A0CAF440C2BC}"/>
    <cellStyle name="Normal 4 4 2 7 2 2 4" xfId="34357" xr:uid="{8B31A279-1274-4C53-9714-BF508C0FB98B}"/>
    <cellStyle name="Normal 4 4 2 7 2 3" xfId="13246" xr:uid="{D3862708-5E13-460B-9127-379628F5B315}"/>
    <cellStyle name="Normal 4 4 2 7 2 4" xfId="21693" xr:uid="{7EA15F11-492F-4D53-9B54-01B633C84E2D}"/>
    <cellStyle name="Normal 4 4 2 7 2 5" xfId="30140" xr:uid="{38A58D75-3B7D-440B-9B9B-B6DE1DBA5D79}"/>
    <cellStyle name="Normal 4 4 2 7 3" xfId="5992" xr:uid="{00000000-0005-0000-0000-00005D150000}"/>
    <cellStyle name="Normal 4 4 2 7 3 2" xfId="15318" xr:uid="{698885FA-2314-4F48-A7D1-BE022FECF189}"/>
    <cellStyle name="Normal 4 4 2 7 3 3" xfId="23765" xr:uid="{B54992AB-0568-4C95-8B1C-2D5197D3D8FE}"/>
    <cellStyle name="Normal 4 4 2 7 3 4" xfId="32212" xr:uid="{A9E5002B-611B-446C-8742-548766A894AF}"/>
    <cellStyle name="Normal 4 4 2 7 4" xfId="11101" xr:uid="{F362EFAC-7D34-4FB7-A9C9-D84FCF094535}"/>
    <cellStyle name="Normal 4 4 2 7 5" xfId="19548" xr:uid="{FDC3BFCF-28D0-44ED-913C-F669EBD874B5}"/>
    <cellStyle name="Normal 4 4 2 7 6" xfId="27995" xr:uid="{CFB6ED4C-D9FC-4C85-8E4D-BD706D222F29}"/>
    <cellStyle name="Normal 4 4 2 8" xfId="2099" xr:uid="{00000000-0005-0000-0000-00005E150000}"/>
    <cellStyle name="Normal 4 4 2 8 2" xfId="4328" xr:uid="{00000000-0005-0000-0000-00005F150000}"/>
    <cellStyle name="Normal 4 4 2 8 2 2" xfId="8550" xr:uid="{00000000-0005-0000-0000-000060150000}"/>
    <cellStyle name="Normal 4 4 2 8 2 2 2" xfId="17876" xr:uid="{D2F8AB4B-9003-44A2-8E94-8E4A7DD7A97F}"/>
    <cellStyle name="Normal 4 4 2 8 2 2 3" xfId="26323" xr:uid="{F57400E1-F9DC-4417-B233-C7A8C59DF6CE}"/>
    <cellStyle name="Normal 4 4 2 8 2 2 4" xfId="34770" xr:uid="{ADACB357-939C-4CC2-8A5A-E80A29A4DF29}"/>
    <cellStyle name="Normal 4 4 2 8 2 3" xfId="13659" xr:uid="{1645BE1C-170D-4841-9FD5-7F7FC6394495}"/>
    <cellStyle name="Normal 4 4 2 8 2 4" xfId="22106" xr:uid="{42F3E0C9-2021-4B15-8EB7-2CEB4BBDF1A6}"/>
    <cellStyle name="Normal 4 4 2 8 2 5" xfId="30553" xr:uid="{2B8EA0AF-7734-4AEF-A7BB-592E89521C22}"/>
    <cellStyle name="Normal 4 4 2 8 3" xfId="6405" xr:uid="{00000000-0005-0000-0000-000061150000}"/>
    <cellStyle name="Normal 4 4 2 8 3 2" xfId="15731" xr:uid="{16B84C2A-E846-45A0-95DE-B321E6F62A8E}"/>
    <cellStyle name="Normal 4 4 2 8 3 3" xfId="24178" xr:uid="{1452AD46-82AA-41F2-BA2A-FB3C4625EB59}"/>
    <cellStyle name="Normal 4 4 2 8 3 4" xfId="32625" xr:uid="{2972E2EB-B315-49CD-B7F9-594C816C6B8A}"/>
    <cellStyle name="Normal 4 4 2 8 4" xfId="11514" xr:uid="{078BA5B1-2435-4556-A492-35331FE7F5FA}"/>
    <cellStyle name="Normal 4 4 2 8 5" xfId="19961" xr:uid="{25931CDD-D297-426A-B1CC-6918D1EA1790}"/>
    <cellStyle name="Normal 4 4 2 8 6" xfId="28408" xr:uid="{6D3D472E-3BCB-4352-980D-4EF25CCFB467}"/>
    <cellStyle name="Normal 4 4 2 9" xfId="2535" xr:uid="{00000000-0005-0000-0000-000062150000}"/>
    <cellStyle name="Normal 4 4 2 9 2" xfId="6818" xr:uid="{00000000-0005-0000-0000-000063150000}"/>
    <cellStyle name="Normal 4 4 2 9 2 2" xfId="16144" xr:uid="{AA62C1D0-AF67-4CE0-9C47-0DEBFB8825C5}"/>
    <cellStyle name="Normal 4 4 2 9 2 3" xfId="24591" xr:uid="{3A5818D5-B8EE-46B5-BC2B-B26D80728951}"/>
    <cellStyle name="Normal 4 4 2 9 2 4" xfId="33038" xr:uid="{B02F6495-53DA-4EFE-844B-4C212C2EC1C9}"/>
    <cellStyle name="Normal 4 4 2 9 3" xfId="11927" xr:uid="{4E15F31B-4A65-4CE7-83BE-F8A3B1D76680}"/>
    <cellStyle name="Normal 4 4 2 9 4" xfId="20374" xr:uid="{C817FAEB-A9FF-4AD2-A4B2-00E8196C96C9}"/>
    <cellStyle name="Normal 4 4 2 9 5" xfId="28821" xr:uid="{D7E68312-0C99-4EF2-BB18-02644BB984D5}"/>
    <cellStyle name="Normal 4 4 3" xfId="387" xr:uid="{00000000-0005-0000-0000-000064150000}"/>
    <cellStyle name="Normal 4 4 3 10" xfId="8823" xr:uid="{E623F102-F69B-4FD0-BEDA-A1480AF4D892}"/>
    <cellStyle name="Normal 4 4 3 11" xfId="9870" xr:uid="{8B6A6E86-542F-43AD-879E-9671374F3EC1}"/>
    <cellStyle name="Normal 4 4 3 12" xfId="18317" xr:uid="{B1FE6171-6DA9-471B-9EEB-68C2E35F0A87}"/>
    <cellStyle name="Normal 4 4 3 13" xfId="26764" xr:uid="{8304AC9A-7101-4264-926F-6248FD079071}"/>
    <cellStyle name="Normal 4 4 3 2" xfId="388" xr:uid="{00000000-0005-0000-0000-000065150000}"/>
    <cellStyle name="Normal 4 4 3 2 10" xfId="9871" xr:uid="{DF566D68-9882-4E4B-8BB3-6DCAC62D712C}"/>
    <cellStyle name="Normal 4 4 3 2 11" xfId="18318" xr:uid="{EB73A5A3-B262-4E8B-80B1-2E8AC0C42C92}"/>
    <cellStyle name="Normal 4 4 3 2 12" xfId="26765" xr:uid="{69CC41E8-D8A2-4F9A-9B01-EC880B62E907}"/>
    <cellStyle name="Normal 4 4 3 2 2" xfId="389" xr:uid="{00000000-0005-0000-0000-000066150000}"/>
    <cellStyle name="Normal 4 4 3 2 2 10" xfId="18319" xr:uid="{16C0915F-3AF8-41A6-83F4-8101B954A70E}"/>
    <cellStyle name="Normal 4 4 3 2 2 11" xfId="26766" xr:uid="{A2075AFC-DD58-45D8-BCEC-E306D1DC52B8}"/>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16647" xr:uid="{3A3214C1-515D-4E6D-AADE-87800EFF4909}"/>
    <cellStyle name="Normal 4 4 3 2 2 2 2 2 3" xfId="25094" xr:uid="{6D6BC498-0D4B-42AD-84DC-98BE2E3D0D1D}"/>
    <cellStyle name="Normal 4 4 3 2 2 2 2 2 4" xfId="33541" xr:uid="{7F89F067-7AEF-47A7-843C-C4AF1EB1AF02}"/>
    <cellStyle name="Normal 4 4 3 2 2 2 2 3" xfId="12430" xr:uid="{9605A350-B033-4334-8A04-C1F3E21C61F4}"/>
    <cellStyle name="Normal 4 4 3 2 2 2 2 4" xfId="20877" xr:uid="{349CF1C6-ACC9-47F5-94EF-A6362ACC4555}"/>
    <cellStyle name="Normal 4 4 3 2 2 2 2 5" xfId="29324" xr:uid="{7F0F642D-11C3-4360-AC6B-CB33A1C7BB0C}"/>
    <cellStyle name="Normal 4 4 3 2 2 2 3" xfId="5176" xr:uid="{00000000-0005-0000-0000-00006A150000}"/>
    <cellStyle name="Normal 4 4 3 2 2 2 3 2" xfId="14502" xr:uid="{A9DBB804-B58D-4A32-9C4D-E77EC3BC4446}"/>
    <cellStyle name="Normal 4 4 3 2 2 2 3 3" xfId="22949" xr:uid="{75C3AEAE-BED1-463A-9AB1-20852C9DA603}"/>
    <cellStyle name="Normal 4 4 3 2 2 2 3 4" xfId="31396" xr:uid="{2AFF331D-C102-4C7E-82AF-24C2C9E5FA7B}"/>
    <cellStyle name="Normal 4 4 3 2 2 2 4" xfId="9558" xr:uid="{8C9519E6-5920-473D-9749-EC61E4877632}"/>
    <cellStyle name="Normal 4 4 3 2 2 2 5" xfId="10285" xr:uid="{D691154C-B2F1-4316-8552-9A7212C5948F}"/>
    <cellStyle name="Normal 4 4 3 2 2 2 6" xfId="18732" xr:uid="{AE18420C-274A-4F68-AD8B-E12A72CB2080}"/>
    <cellStyle name="Normal 4 4 3 2 2 2 7" xfId="27179" xr:uid="{CC4594F6-FA0F-4821-AB74-603843090167}"/>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17060" xr:uid="{AEBF654F-2A41-48A5-9EAA-40D67ACF7F1F}"/>
    <cellStyle name="Normal 4 4 3 2 2 3 2 2 3" xfId="25507" xr:uid="{71E596C3-1BF2-4019-B77C-FE11B6613EAD}"/>
    <cellStyle name="Normal 4 4 3 2 2 3 2 2 4" xfId="33954" xr:uid="{AEE55AEC-887A-48E4-B4C8-432AF2843AE2}"/>
    <cellStyle name="Normal 4 4 3 2 2 3 2 3" xfId="12843" xr:uid="{53A8F00B-FE93-47D4-A1CE-ED85D38DD3AD}"/>
    <cellStyle name="Normal 4 4 3 2 2 3 2 4" xfId="21290" xr:uid="{EAD2E280-4AA0-4487-9686-00A3AD5F4695}"/>
    <cellStyle name="Normal 4 4 3 2 2 3 2 5" xfId="29737" xr:uid="{36BB701E-8F5B-4AFC-B274-7959C98E0715}"/>
    <cellStyle name="Normal 4 4 3 2 2 3 3" xfId="5589" xr:uid="{00000000-0005-0000-0000-00006E150000}"/>
    <cellStyle name="Normal 4 4 3 2 2 3 3 2" xfId="14915" xr:uid="{31DC538C-883F-459E-847F-1531A2C6DFA9}"/>
    <cellStyle name="Normal 4 4 3 2 2 3 3 3" xfId="23362" xr:uid="{D030F313-918F-45F6-9A1D-AE69A1EDA83C}"/>
    <cellStyle name="Normal 4 4 3 2 2 3 3 4" xfId="31809" xr:uid="{DB868826-BDC2-43B8-9AED-2D916F9830F0}"/>
    <cellStyle name="Normal 4 4 3 2 2 3 4" xfId="10698" xr:uid="{92D468FE-3548-4AEC-980C-BC5A491BCBDD}"/>
    <cellStyle name="Normal 4 4 3 2 2 3 5" xfId="19145" xr:uid="{D9ACA325-16F6-47A3-B746-17F3AE652D14}"/>
    <cellStyle name="Normal 4 4 3 2 2 3 6" xfId="27592" xr:uid="{5DF4FF97-481E-4E06-8E01-57CFCADD0288}"/>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17473" xr:uid="{235BC866-93B4-433B-B978-455C749EC9AA}"/>
    <cellStyle name="Normal 4 4 3 2 2 4 2 2 3" xfId="25920" xr:uid="{24A7EA6E-379D-474B-8147-4E8422E6A73C}"/>
    <cellStyle name="Normal 4 4 3 2 2 4 2 2 4" xfId="34367" xr:uid="{737941CE-7B69-41DE-AD90-5924B95F14BD}"/>
    <cellStyle name="Normal 4 4 3 2 2 4 2 3" xfId="13256" xr:uid="{8CDF81C2-0C19-4FAA-827B-CDD97E7C1D84}"/>
    <cellStyle name="Normal 4 4 3 2 2 4 2 4" xfId="21703" xr:uid="{5A34CE94-F283-41DF-9B7E-5F7E24718DBE}"/>
    <cellStyle name="Normal 4 4 3 2 2 4 2 5" xfId="30150" xr:uid="{419FCAFE-D182-402A-9FD8-A52FCA734DEC}"/>
    <cellStyle name="Normal 4 4 3 2 2 4 3" xfId="6002" xr:uid="{00000000-0005-0000-0000-000072150000}"/>
    <cellStyle name="Normal 4 4 3 2 2 4 3 2" xfId="15328" xr:uid="{9742DAD8-B253-4184-9BF2-7691169F1B34}"/>
    <cellStyle name="Normal 4 4 3 2 2 4 3 3" xfId="23775" xr:uid="{2993B7DF-2D07-45E0-BCC8-F93FF618BAC7}"/>
    <cellStyle name="Normal 4 4 3 2 2 4 3 4" xfId="32222" xr:uid="{A4CB8D7A-32A3-4D86-83D6-ACA5CB5A0707}"/>
    <cellStyle name="Normal 4 4 3 2 2 4 4" xfId="11111" xr:uid="{B824D086-51B6-405F-A970-603506C3C7E6}"/>
    <cellStyle name="Normal 4 4 3 2 2 4 5" xfId="19558" xr:uid="{0994CFB1-00FD-46F8-8438-5C7966E7C8C6}"/>
    <cellStyle name="Normal 4 4 3 2 2 4 6" xfId="28005" xr:uid="{43B67A32-10DA-430C-817B-D935B30C6948}"/>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17886" xr:uid="{FCD60E71-C907-461F-8A01-F1863A1223FF}"/>
    <cellStyle name="Normal 4 4 3 2 2 5 2 2 3" xfId="26333" xr:uid="{F2C9B58E-3ED6-4115-9955-742333FF12E6}"/>
    <cellStyle name="Normal 4 4 3 2 2 5 2 2 4" xfId="34780" xr:uid="{323999D1-3CA1-4370-93A6-8B30516FBA95}"/>
    <cellStyle name="Normal 4 4 3 2 2 5 2 3" xfId="13669" xr:uid="{9FBB8448-451C-4F12-B8E6-82D250EAB346}"/>
    <cellStyle name="Normal 4 4 3 2 2 5 2 4" xfId="22116" xr:uid="{5BB5F5A3-072B-40B4-B469-80E5764E77E2}"/>
    <cellStyle name="Normal 4 4 3 2 2 5 2 5" xfId="30563" xr:uid="{120BA4A0-B18B-43C6-9FCE-226A51328781}"/>
    <cellStyle name="Normal 4 4 3 2 2 5 3" xfId="6415" xr:uid="{00000000-0005-0000-0000-000076150000}"/>
    <cellStyle name="Normal 4 4 3 2 2 5 3 2" xfId="15741" xr:uid="{A0EFDBAA-8F3F-40FE-864C-3CAF57FC607A}"/>
    <cellStyle name="Normal 4 4 3 2 2 5 3 3" xfId="24188" xr:uid="{7DF2865A-1A08-43C1-B1F6-495B3DE83E49}"/>
    <cellStyle name="Normal 4 4 3 2 2 5 3 4" xfId="32635" xr:uid="{F12D1E0D-D32C-40F3-B767-811465C76D58}"/>
    <cellStyle name="Normal 4 4 3 2 2 5 4" xfId="11524" xr:uid="{829A20A8-3F83-40E6-8AB3-42B9BF37EAB2}"/>
    <cellStyle name="Normal 4 4 3 2 2 5 5" xfId="19971" xr:uid="{08DD399F-1679-4763-B6DC-02DEF2AC316F}"/>
    <cellStyle name="Normal 4 4 3 2 2 5 6" xfId="28418" xr:uid="{01E04F13-C6D0-4C72-91E8-2EB609AF3A5B}"/>
    <cellStyle name="Normal 4 4 3 2 2 6" xfId="2545" xr:uid="{00000000-0005-0000-0000-000077150000}"/>
    <cellStyle name="Normal 4 4 3 2 2 6 2" xfId="6828" xr:uid="{00000000-0005-0000-0000-000078150000}"/>
    <cellStyle name="Normal 4 4 3 2 2 6 2 2" xfId="16154" xr:uid="{16ACE24B-8F42-4D53-ABB7-ED0D48F0D151}"/>
    <cellStyle name="Normal 4 4 3 2 2 6 2 3" xfId="24601" xr:uid="{F350C594-9524-40D1-A005-D335E9414BF5}"/>
    <cellStyle name="Normal 4 4 3 2 2 6 2 4" xfId="33048" xr:uid="{8EEDB9E1-8FCF-46C4-85E6-8D0DBC6A5554}"/>
    <cellStyle name="Normal 4 4 3 2 2 6 3" xfId="11937" xr:uid="{D44CA37C-D32E-4667-A053-3904A9BD6ECD}"/>
    <cellStyle name="Normal 4 4 3 2 2 6 4" xfId="20384" xr:uid="{2EFE6128-3DF2-474F-B6A7-B8ADAE9AF654}"/>
    <cellStyle name="Normal 4 4 3 2 2 6 5" xfId="28831" xr:uid="{F17729E0-3472-4144-AD4C-713207D04196}"/>
    <cellStyle name="Normal 4 4 3 2 2 7" xfId="4763" xr:uid="{00000000-0005-0000-0000-000079150000}"/>
    <cellStyle name="Normal 4 4 3 2 2 7 2" xfId="14089" xr:uid="{2856AD3B-9FF4-48D8-9F01-6FB2024D261F}"/>
    <cellStyle name="Normal 4 4 3 2 2 7 3" xfId="22536" xr:uid="{79295C78-495A-45FF-A5A5-E95318517B88}"/>
    <cellStyle name="Normal 4 4 3 2 2 7 4" xfId="30983" xr:uid="{E869D11F-C7AC-4809-B7C4-22ED23C45325}"/>
    <cellStyle name="Normal 4 4 3 2 2 8" xfId="9133" xr:uid="{37002A66-D58A-4EF9-8D22-8F1A3EE99E08}"/>
    <cellStyle name="Normal 4 4 3 2 2 9" xfId="9872" xr:uid="{84084E29-C9E9-48B0-B8E9-82F39AAD4454}"/>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16646" xr:uid="{1BCBBFDE-3428-49C1-9408-A61D7BD85B81}"/>
    <cellStyle name="Normal 4 4 3 2 3 2 2 3" xfId="25093" xr:uid="{28C1DAD2-2326-4EBC-87CD-826592C8EFC2}"/>
    <cellStyle name="Normal 4 4 3 2 3 2 2 4" xfId="33540" xr:uid="{D372DE37-2575-4ABD-A690-7DCB204948A1}"/>
    <cellStyle name="Normal 4 4 3 2 3 2 3" xfId="12429" xr:uid="{F7EB4EBC-CFD9-4A41-BDDF-C0F1AF9244FE}"/>
    <cellStyle name="Normal 4 4 3 2 3 2 4" xfId="20876" xr:uid="{88A5E645-6705-439D-AD0D-D40B0A8CFFA7}"/>
    <cellStyle name="Normal 4 4 3 2 3 2 5" xfId="29323" xr:uid="{72B73BA7-1CE5-4418-BDE5-53FC9634F853}"/>
    <cellStyle name="Normal 4 4 3 2 3 3" xfId="5175" xr:uid="{00000000-0005-0000-0000-00007D150000}"/>
    <cellStyle name="Normal 4 4 3 2 3 3 2" xfId="14501" xr:uid="{0FFA85E1-2810-4137-BE2B-16F51A24C1F5}"/>
    <cellStyle name="Normal 4 4 3 2 3 3 3" xfId="22948" xr:uid="{842F7154-BD57-4567-8F87-FAE6A3A1DA62}"/>
    <cellStyle name="Normal 4 4 3 2 3 3 4" xfId="31395" xr:uid="{346734C6-D49D-4006-A3AD-4E70CB394B40}"/>
    <cellStyle name="Normal 4 4 3 2 3 4" xfId="9351" xr:uid="{51AD2B95-755A-411D-AA40-98381F5D8294}"/>
    <cellStyle name="Normal 4 4 3 2 3 5" xfId="10284" xr:uid="{D294375A-EED9-4D65-AE57-5664BBFFCB0B}"/>
    <cellStyle name="Normal 4 4 3 2 3 6" xfId="18731" xr:uid="{DC94FF18-C7F0-41EC-B07D-A67F203AA8E8}"/>
    <cellStyle name="Normal 4 4 3 2 3 7" xfId="27178" xr:uid="{911D1C8B-2729-4CFC-8A9C-EEC440435FBC}"/>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17059" xr:uid="{8CC38A2B-6B9E-49CF-AD31-6D225D491AA0}"/>
    <cellStyle name="Normal 4 4 3 2 4 2 2 3" xfId="25506" xr:uid="{5087E5AE-EC6E-4D19-B116-35F1F1ED8EE8}"/>
    <cellStyle name="Normal 4 4 3 2 4 2 2 4" xfId="33953" xr:uid="{B3CCFA7D-5562-4D4D-87DC-26D2C3A1BD61}"/>
    <cellStyle name="Normal 4 4 3 2 4 2 3" xfId="12842" xr:uid="{8995A665-C426-4335-8B77-3F48F9C55D1B}"/>
    <cellStyle name="Normal 4 4 3 2 4 2 4" xfId="21289" xr:uid="{52576F45-818B-4BC1-BCB1-743BD3BD6530}"/>
    <cellStyle name="Normal 4 4 3 2 4 2 5" xfId="29736" xr:uid="{DF086242-D4A1-40C2-AE5C-F6115C94825C}"/>
    <cellStyle name="Normal 4 4 3 2 4 3" xfId="5588" xr:uid="{00000000-0005-0000-0000-000081150000}"/>
    <cellStyle name="Normal 4 4 3 2 4 3 2" xfId="14914" xr:uid="{ACBBFA6D-2DC8-40D2-B72E-929082FAD9CE}"/>
    <cellStyle name="Normal 4 4 3 2 4 3 3" xfId="23361" xr:uid="{5EB87F0B-16B8-41E7-97E3-0FF1C5EECCCF}"/>
    <cellStyle name="Normal 4 4 3 2 4 3 4" xfId="31808" xr:uid="{88A94172-C7C1-43AD-AC1A-800BC33975CF}"/>
    <cellStyle name="Normal 4 4 3 2 4 4" xfId="10697" xr:uid="{A986F358-9FF0-4DB2-98A0-0DEA6D23285B}"/>
    <cellStyle name="Normal 4 4 3 2 4 5" xfId="19144" xr:uid="{3D8E5F6C-A691-4582-B6E8-19C8EAA294C2}"/>
    <cellStyle name="Normal 4 4 3 2 4 6" xfId="27591" xr:uid="{ADB03B6C-4FEA-4619-B007-F1E4356FA9D4}"/>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17472" xr:uid="{E814DBC7-25C9-4B97-90CC-41428FA93A03}"/>
    <cellStyle name="Normal 4 4 3 2 5 2 2 3" xfId="25919" xr:uid="{BB36A0F1-E518-4859-9EBE-845B64DD7151}"/>
    <cellStyle name="Normal 4 4 3 2 5 2 2 4" xfId="34366" xr:uid="{9212F29C-189B-4972-B617-74B30FF2CD30}"/>
    <cellStyle name="Normal 4 4 3 2 5 2 3" xfId="13255" xr:uid="{19650CAD-5D41-4A24-8116-015BD9319384}"/>
    <cellStyle name="Normal 4 4 3 2 5 2 4" xfId="21702" xr:uid="{E90F0307-9706-418D-8937-F04945F69DE4}"/>
    <cellStyle name="Normal 4 4 3 2 5 2 5" xfId="30149" xr:uid="{026FECC5-1AA2-45DF-A783-6E8DA39D0431}"/>
    <cellStyle name="Normal 4 4 3 2 5 3" xfId="6001" xr:uid="{00000000-0005-0000-0000-000085150000}"/>
    <cellStyle name="Normal 4 4 3 2 5 3 2" xfId="15327" xr:uid="{865311F7-FA69-47E0-90A1-1E7EC7B0B512}"/>
    <cellStyle name="Normal 4 4 3 2 5 3 3" xfId="23774" xr:uid="{A35FC552-3C1E-4A65-9CB8-57AFB88F0C80}"/>
    <cellStyle name="Normal 4 4 3 2 5 3 4" xfId="32221" xr:uid="{F7169E36-8C86-4A33-AD1E-47457F3F07BC}"/>
    <cellStyle name="Normal 4 4 3 2 5 4" xfId="11110" xr:uid="{CD94175F-8910-45BF-B99B-AB58AE2EACBD}"/>
    <cellStyle name="Normal 4 4 3 2 5 5" xfId="19557" xr:uid="{E5A025D1-DE82-47CB-9410-90B102A9BBD1}"/>
    <cellStyle name="Normal 4 4 3 2 5 6" xfId="28004" xr:uid="{D0138512-83E6-4DD7-B97C-80228111B1A4}"/>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17885" xr:uid="{FD6669A8-F727-4DA8-9BF7-6644A34B609A}"/>
    <cellStyle name="Normal 4 4 3 2 6 2 2 3" xfId="26332" xr:uid="{3AB44E0B-FDCE-49A0-82F2-4425BC6316AB}"/>
    <cellStyle name="Normal 4 4 3 2 6 2 2 4" xfId="34779" xr:uid="{7AB84347-59E3-46BE-A133-DC63A9F1377E}"/>
    <cellStyle name="Normal 4 4 3 2 6 2 3" xfId="13668" xr:uid="{BA60CC16-82A8-4E38-9751-FD45FD1E2CB4}"/>
    <cellStyle name="Normal 4 4 3 2 6 2 4" xfId="22115" xr:uid="{77DC815F-6D1D-4F94-BE76-06E03A1E2340}"/>
    <cellStyle name="Normal 4 4 3 2 6 2 5" xfId="30562" xr:uid="{1642A766-48C7-4A7E-A390-5758B93BB32C}"/>
    <cellStyle name="Normal 4 4 3 2 6 3" xfId="6414" xr:uid="{00000000-0005-0000-0000-000089150000}"/>
    <cellStyle name="Normal 4 4 3 2 6 3 2" xfId="15740" xr:uid="{94CC9711-9938-4E6F-B10F-8F5D62189076}"/>
    <cellStyle name="Normal 4 4 3 2 6 3 3" xfId="24187" xr:uid="{B07CDEED-71C0-40D5-8CC2-CC014FF48D91}"/>
    <cellStyle name="Normal 4 4 3 2 6 3 4" xfId="32634" xr:uid="{9B766882-9A18-499A-94EA-707614E509B0}"/>
    <cellStyle name="Normal 4 4 3 2 6 4" xfId="11523" xr:uid="{B1F157BA-9CA9-40F8-B78F-48367E8CA591}"/>
    <cellStyle name="Normal 4 4 3 2 6 5" xfId="19970" xr:uid="{57309C12-F7A9-47E7-8807-8CC28E34CAE6}"/>
    <cellStyle name="Normal 4 4 3 2 6 6" xfId="28417" xr:uid="{2B0E6A81-6AB4-4B34-91F3-2E89A05D6BED}"/>
    <cellStyle name="Normal 4 4 3 2 7" xfId="2544" xr:uid="{00000000-0005-0000-0000-00008A150000}"/>
    <cellStyle name="Normal 4 4 3 2 7 2" xfId="6827" xr:uid="{00000000-0005-0000-0000-00008B150000}"/>
    <cellStyle name="Normal 4 4 3 2 7 2 2" xfId="16153" xr:uid="{CB9E0748-F656-4926-8FD0-6D21BD71C047}"/>
    <cellStyle name="Normal 4 4 3 2 7 2 3" xfId="24600" xr:uid="{9C56DB77-5015-4098-8E89-A0900D543555}"/>
    <cellStyle name="Normal 4 4 3 2 7 2 4" xfId="33047" xr:uid="{E1604CC7-A4D2-4404-855A-2F15F0B60303}"/>
    <cellStyle name="Normal 4 4 3 2 7 3" xfId="11936" xr:uid="{0FAF5B0F-E672-42A7-9215-05C7932258C0}"/>
    <cellStyle name="Normal 4 4 3 2 7 4" xfId="20383" xr:uid="{3D585169-27D5-4B9B-8537-A1F3EC9885B4}"/>
    <cellStyle name="Normal 4 4 3 2 7 5" xfId="28830" xr:uid="{9B1048A2-2611-4EA0-8AA2-7A992433A5A2}"/>
    <cellStyle name="Normal 4 4 3 2 8" xfId="4762" xr:uid="{00000000-0005-0000-0000-00008C150000}"/>
    <cellStyle name="Normal 4 4 3 2 8 2" xfId="14088" xr:uid="{FFA3886F-78A0-4A20-8C56-8C6E46BEFD2E}"/>
    <cellStyle name="Normal 4 4 3 2 8 3" xfId="22535" xr:uid="{58D753DF-9B81-4BA4-96AE-1DB0D8E6AFBA}"/>
    <cellStyle name="Normal 4 4 3 2 8 4" xfId="30982" xr:uid="{2E10FFBD-0840-45ED-B1B1-76D3C541085E}"/>
    <cellStyle name="Normal 4 4 3 2 9" xfId="8926" xr:uid="{821D1F47-EF8D-4C64-BA70-5606A81A57B5}"/>
    <cellStyle name="Normal 4 4 3 3" xfId="390" xr:uid="{00000000-0005-0000-0000-00008D150000}"/>
    <cellStyle name="Normal 4 4 3 3 10" xfId="18320" xr:uid="{555C5C78-8CF8-457C-9C50-A5E857A76332}"/>
    <cellStyle name="Normal 4 4 3 3 11" xfId="26767" xr:uid="{E8FE414B-72F6-4897-A64E-F2DB994312C5}"/>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16648" xr:uid="{16BBC0F3-730C-437C-817B-BF6B219BBE60}"/>
    <cellStyle name="Normal 4 4 3 3 2 2 2 3" xfId="25095" xr:uid="{D6108F06-ABB9-46E6-A77A-B20D744E3C02}"/>
    <cellStyle name="Normal 4 4 3 3 2 2 2 4" xfId="33542" xr:uid="{C79E499E-D198-4BD5-8F01-FE6B3454241E}"/>
    <cellStyle name="Normal 4 4 3 3 2 2 3" xfId="12431" xr:uid="{87A23FF0-0472-4058-9863-9CE2179F608D}"/>
    <cellStyle name="Normal 4 4 3 3 2 2 4" xfId="20878" xr:uid="{57A30D00-5CC2-4DBE-8A19-B01FB524325E}"/>
    <cellStyle name="Normal 4 4 3 3 2 2 5" xfId="29325" xr:uid="{6FE9597B-D5E1-4C34-B3C6-0537538794E3}"/>
    <cellStyle name="Normal 4 4 3 3 2 3" xfId="5177" xr:uid="{00000000-0005-0000-0000-000091150000}"/>
    <cellStyle name="Normal 4 4 3 3 2 3 2" xfId="14503" xr:uid="{C6715A4B-7C52-4109-BCCC-2D91F87CFF6D}"/>
    <cellStyle name="Normal 4 4 3 3 2 3 3" xfId="22950" xr:uid="{F50B0F78-72DD-43A6-A1C1-544B198E0B88}"/>
    <cellStyle name="Normal 4 4 3 3 2 3 4" xfId="31397" xr:uid="{3A18DF98-E300-4AC5-AE2D-61EF44121DC7}"/>
    <cellStyle name="Normal 4 4 3 3 2 4" xfId="9455" xr:uid="{E39EB3A2-D99A-426C-AFEC-E4C90C85BE02}"/>
    <cellStyle name="Normal 4 4 3 3 2 5" xfId="10286" xr:uid="{F4D51CDA-F370-4083-8B2D-F5A9AAD39BFB}"/>
    <cellStyle name="Normal 4 4 3 3 2 6" xfId="18733" xr:uid="{1D684DEB-1357-4AD1-B8B5-16B3E4B5250F}"/>
    <cellStyle name="Normal 4 4 3 3 2 7" xfId="27180" xr:uid="{90D5C779-4DCB-4D53-BC31-37C3C963F3AC}"/>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17061" xr:uid="{DE1F4FB6-657C-4F93-85C5-57DD8D990572}"/>
    <cellStyle name="Normal 4 4 3 3 3 2 2 3" xfId="25508" xr:uid="{FE898C4F-B230-4DE8-BFD3-2E7C2BF000A8}"/>
    <cellStyle name="Normal 4 4 3 3 3 2 2 4" xfId="33955" xr:uid="{DA6F660B-3FFB-4BA5-A3B9-9E29D19A0C8B}"/>
    <cellStyle name="Normal 4 4 3 3 3 2 3" xfId="12844" xr:uid="{DD5352B0-520C-422F-B0B9-4831CC1935F7}"/>
    <cellStyle name="Normal 4 4 3 3 3 2 4" xfId="21291" xr:uid="{1CD24F6A-0987-451E-8AEB-379E532A6494}"/>
    <cellStyle name="Normal 4 4 3 3 3 2 5" xfId="29738" xr:uid="{FDBB735F-FF17-430F-B7C3-E6004EDD8FAF}"/>
    <cellStyle name="Normal 4 4 3 3 3 3" xfId="5590" xr:uid="{00000000-0005-0000-0000-000095150000}"/>
    <cellStyle name="Normal 4 4 3 3 3 3 2" xfId="14916" xr:uid="{88764A0D-BEBA-4D06-8595-CDCA56F1EF49}"/>
    <cellStyle name="Normal 4 4 3 3 3 3 3" xfId="23363" xr:uid="{F61D7636-C3DE-4A18-A632-8D4B33CEA7A2}"/>
    <cellStyle name="Normal 4 4 3 3 3 3 4" xfId="31810" xr:uid="{3BE7E796-F666-4EBF-880F-EF5AE12B817C}"/>
    <cellStyle name="Normal 4 4 3 3 3 4" xfId="10699" xr:uid="{58637503-C58B-4F58-ABB2-45AC8A89A3B6}"/>
    <cellStyle name="Normal 4 4 3 3 3 5" xfId="19146" xr:uid="{D9BD84F8-BF12-4FCA-8B52-E1FA5D5B3079}"/>
    <cellStyle name="Normal 4 4 3 3 3 6" xfId="27593" xr:uid="{7541274F-0960-4273-AB1D-0CB7FC76C353}"/>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17474" xr:uid="{EB44EF72-9B84-469B-9125-4496FED9270A}"/>
    <cellStyle name="Normal 4 4 3 3 4 2 2 3" xfId="25921" xr:uid="{93BD7D95-2EC9-4D70-8D86-E0E8319EA8B4}"/>
    <cellStyle name="Normal 4 4 3 3 4 2 2 4" xfId="34368" xr:uid="{A49246D2-5195-42BA-8C43-908AFBD5CDB1}"/>
    <cellStyle name="Normal 4 4 3 3 4 2 3" xfId="13257" xr:uid="{1914ECB0-6F1D-4BDB-AF2C-30443DA2A256}"/>
    <cellStyle name="Normal 4 4 3 3 4 2 4" xfId="21704" xr:uid="{F80C0F14-8D8D-4D8F-A4D1-6F0C50FE6ED1}"/>
    <cellStyle name="Normal 4 4 3 3 4 2 5" xfId="30151" xr:uid="{D3935CB7-511E-4096-8780-A53E178E86DD}"/>
    <cellStyle name="Normal 4 4 3 3 4 3" xfId="6003" xr:uid="{00000000-0005-0000-0000-000099150000}"/>
    <cellStyle name="Normal 4 4 3 3 4 3 2" xfId="15329" xr:uid="{B0D428A1-98F2-4CAD-8B95-9D05DB52E5DB}"/>
    <cellStyle name="Normal 4 4 3 3 4 3 3" xfId="23776" xr:uid="{C9D19214-31BA-46D6-B8AE-E29AD6F41720}"/>
    <cellStyle name="Normal 4 4 3 3 4 3 4" xfId="32223" xr:uid="{26AAAC6E-4C6F-44DB-A7EF-0117A85BB4DB}"/>
    <cellStyle name="Normal 4 4 3 3 4 4" xfId="11112" xr:uid="{2DFFB0C5-601C-4DEF-9A18-8996A66E7A89}"/>
    <cellStyle name="Normal 4 4 3 3 4 5" xfId="19559" xr:uid="{31FE0754-E276-4FFB-99F0-D89237A5B858}"/>
    <cellStyle name="Normal 4 4 3 3 4 6" xfId="28006" xr:uid="{373BEB01-7E6B-4765-B736-220274AA2E35}"/>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17887" xr:uid="{FD72A14A-2B6F-4A30-A9F9-B2D86D752200}"/>
    <cellStyle name="Normal 4 4 3 3 5 2 2 3" xfId="26334" xr:uid="{57041FE2-FDDE-4B60-8EB7-5D1E7CF57A12}"/>
    <cellStyle name="Normal 4 4 3 3 5 2 2 4" xfId="34781" xr:uid="{6C9A420F-F8D3-4C08-A8C6-6ADF6FE9CD74}"/>
    <cellStyle name="Normal 4 4 3 3 5 2 3" xfId="13670" xr:uid="{6395A47A-7E2E-4CB2-804F-B4A62F51A39B}"/>
    <cellStyle name="Normal 4 4 3 3 5 2 4" xfId="22117" xr:uid="{6AE4EC56-F661-4FC3-B703-94D5C0DF9BF0}"/>
    <cellStyle name="Normal 4 4 3 3 5 2 5" xfId="30564" xr:uid="{96B9ED89-5A92-4EC2-BF4B-5FCE3EE22424}"/>
    <cellStyle name="Normal 4 4 3 3 5 3" xfId="6416" xr:uid="{00000000-0005-0000-0000-00009D150000}"/>
    <cellStyle name="Normal 4 4 3 3 5 3 2" xfId="15742" xr:uid="{EB05EBEB-173D-4DCB-ADCC-D66EDEF95540}"/>
    <cellStyle name="Normal 4 4 3 3 5 3 3" xfId="24189" xr:uid="{C7F12565-BDA9-4BA3-AD70-8047C83D193E}"/>
    <cellStyle name="Normal 4 4 3 3 5 3 4" xfId="32636" xr:uid="{B50A310D-BF86-4C23-BA93-84FA559F2006}"/>
    <cellStyle name="Normal 4 4 3 3 5 4" xfId="11525" xr:uid="{D129BD45-9979-4B3A-88C3-AC28B90B1F9A}"/>
    <cellStyle name="Normal 4 4 3 3 5 5" xfId="19972" xr:uid="{9A7C06C6-6366-414A-8019-78116B171234}"/>
    <cellStyle name="Normal 4 4 3 3 5 6" xfId="28419" xr:uid="{1D5740C9-6B14-428C-90FD-DB784662AA53}"/>
    <cellStyle name="Normal 4 4 3 3 6" xfId="2546" xr:uid="{00000000-0005-0000-0000-00009E150000}"/>
    <cellStyle name="Normal 4 4 3 3 6 2" xfId="6829" xr:uid="{00000000-0005-0000-0000-00009F150000}"/>
    <cellStyle name="Normal 4 4 3 3 6 2 2" xfId="16155" xr:uid="{D0C3FA20-A72F-459D-8115-E7352649B25F}"/>
    <cellStyle name="Normal 4 4 3 3 6 2 3" xfId="24602" xr:uid="{382F235F-7BF0-4ADA-9676-139C071E39BE}"/>
    <cellStyle name="Normal 4 4 3 3 6 2 4" xfId="33049" xr:uid="{2AEDEBD8-A6B9-4DC6-ADE0-6DB6A879758D}"/>
    <cellStyle name="Normal 4 4 3 3 6 3" xfId="11938" xr:uid="{BAFF7AB9-8C5C-449D-84D5-52607C0B6203}"/>
    <cellStyle name="Normal 4 4 3 3 6 4" xfId="20385" xr:uid="{0E13353C-A0CF-4C0E-B35F-BF8409F488B5}"/>
    <cellStyle name="Normal 4 4 3 3 6 5" xfId="28832" xr:uid="{FE3867C9-71B3-403C-B661-3226BDC1825E}"/>
    <cellStyle name="Normal 4 4 3 3 7" xfId="4764" xr:uid="{00000000-0005-0000-0000-0000A0150000}"/>
    <cellStyle name="Normal 4 4 3 3 7 2" xfId="14090" xr:uid="{F9A1B83A-13F4-4634-B8A3-2293C9DBB474}"/>
    <cellStyle name="Normal 4 4 3 3 7 3" xfId="22537" xr:uid="{2A9291BC-04F3-4E21-A742-7320D7D4FFF0}"/>
    <cellStyle name="Normal 4 4 3 3 7 4" xfId="30984" xr:uid="{03E04E61-9979-411C-B433-1F560BAA21A2}"/>
    <cellStyle name="Normal 4 4 3 3 8" xfId="9030" xr:uid="{F975DAAD-4546-4770-9976-5C5C66DA227B}"/>
    <cellStyle name="Normal 4 4 3 3 9" xfId="9873" xr:uid="{640B27F4-EB0E-4FDA-AFCD-8D0A0687DCF2}"/>
    <cellStyle name="Normal 4 4 3 4" xfId="862" xr:uid="{00000000-0005-0000-0000-0000A1150000}"/>
    <cellStyle name="Normal 4 4 3 4 2" xfId="3097" xr:uid="{00000000-0005-0000-0000-0000A2150000}"/>
    <cellStyle name="Normal 4 4 3 4 2 2" xfId="7319" xr:uid="{00000000-0005-0000-0000-0000A3150000}"/>
    <cellStyle name="Normal 4 4 3 4 2 2 2" xfId="16645" xr:uid="{21826113-7CDC-4529-8AA6-27CD285D563C}"/>
    <cellStyle name="Normal 4 4 3 4 2 2 3" xfId="25092" xr:uid="{82B4E2D0-7D2A-4071-BEAC-B2F74E4CAC27}"/>
    <cellStyle name="Normal 4 4 3 4 2 2 4" xfId="33539" xr:uid="{328E565F-6949-42AF-A477-25265B7C1BBC}"/>
    <cellStyle name="Normal 4 4 3 4 2 3" xfId="12428" xr:uid="{503098C7-9711-49D0-881D-75538B35FAB7}"/>
    <cellStyle name="Normal 4 4 3 4 2 4" xfId="20875" xr:uid="{DF8A1706-8F4F-48C1-861A-F0C820D15901}"/>
    <cellStyle name="Normal 4 4 3 4 2 5" xfId="29322" xr:uid="{D3D9EA33-D140-4377-8008-FF8A73FF0D9E}"/>
    <cellStyle name="Normal 4 4 3 4 3" xfId="5174" xr:uid="{00000000-0005-0000-0000-0000A4150000}"/>
    <cellStyle name="Normal 4 4 3 4 3 2" xfId="14500" xr:uid="{17AC97E4-4915-4F32-B09B-68500EE4411C}"/>
    <cellStyle name="Normal 4 4 3 4 3 3" xfId="22947" xr:uid="{8E90E5F1-4B01-42C8-BA2B-F386CF5D2279}"/>
    <cellStyle name="Normal 4 4 3 4 3 4" xfId="31394" xr:uid="{0294C9FF-8451-40A5-8482-C017B1417071}"/>
    <cellStyle name="Normal 4 4 3 4 4" xfId="9248" xr:uid="{6C5F877B-48E6-47C2-B849-E53F373D5A86}"/>
    <cellStyle name="Normal 4 4 3 4 5" xfId="10283" xr:uid="{DA28DDB7-420E-413B-BCAD-7C78A3D4D1A6}"/>
    <cellStyle name="Normal 4 4 3 4 6" xfId="18730" xr:uid="{B6CEB3F3-538D-427F-8D7E-617CD9D06129}"/>
    <cellStyle name="Normal 4 4 3 4 7" xfId="27177" xr:uid="{E8B5CB77-01A3-4489-BC3B-631420A46E02}"/>
    <cellStyle name="Normal 4 4 3 5" xfId="1280" xr:uid="{00000000-0005-0000-0000-0000A5150000}"/>
    <cellStyle name="Normal 4 4 3 5 2" xfId="3510" xr:uid="{00000000-0005-0000-0000-0000A6150000}"/>
    <cellStyle name="Normal 4 4 3 5 2 2" xfId="7732" xr:uid="{00000000-0005-0000-0000-0000A7150000}"/>
    <cellStyle name="Normal 4 4 3 5 2 2 2" xfId="17058" xr:uid="{D5CFB36D-D4F2-453A-9ECB-CB43D982AAA6}"/>
    <cellStyle name="Normal 4 4 3 5 2 2 3" xfId="25505" xr:uid="{8AFB2953-7DD4-4E06-BF15-149D0E8EE8C9}"/>
    <cellStyle name="Normal 4 4 3 5 2 2 4" xfId="33952" xr:uid="{E7E79D49-48AF-45B6-91E1-48AFD3C4008F}"/>
    <cellStyle name="Normal 4 4 3 5 2 3" xfId="12841" xr:uid="{B7D7316F-4322-47E0-BE00-322FD2FB3C32}"/>
    <cellStyle name="Normal 4 4 3 5 2 4" xfId="21288" xr:uid="{AE216052-25AA-44AF-995B-4FF8A49A5E39}"/>
    <cellStyle name="Normal 4 4 3 5 2 5" xfId="29735" xr:uid="{16FE8695-3E10-4A0C-8581-15E61E09A557}"/>
    <cellStyle name="Normal 4 4 3 5 3" xfId="5587" xr:uid="{00000000-0005-0000-0000-0000A8150000}"/>
    <cellStyle name="Normal 4 4 3 5 3 2" xfId="14913" xr:uid="{7EFB9EDF-3104-497B-A95D-A96E94121FBD}"/>
    <cellStyle name="Normal 4 4 3 5 3 3" xfId="23360" xr:uid="{78546BBF-4EB8-4BBC-B0ED-3446A4B757E6}"/>
    <cellStyle name="Normal 4 4 3 5 3 4" xfId="31807" xr:uid="{13A8B53E-DF92-4911-914A-E104656F8602}"/>
    <cellStyle name="Normal 4 4 3 5 4" xfId="10696" xr:uid="{5DF8B72C-851B-43AB-82CF-6FBF8F9A3E33}"/>
    <cellStyle name="Normal 4 4 3 5 5" xfId="19143" xr:uid="{71EB41B7-BC6C-4B20-8AB9-090424546EAB}"/>
    <cellStyle name="Normal 4 4 3 5 6" xfId="27590" xr:uid="{105B62A2-7990-41FB-B38B-5A462E5A539C}"/>
    <cellStyle name="Normal 4 4 3 6" xfId="1693" xr:uid="{00000000-0005-0000-0000-0000A9150000}"/>
    <cellStyle name="Normal 4 4 3 6 2" xfId="3923" xr:uid="{00000000-0005-0000-0000-0000AA150000}"/>
    <cellStyle name="Normal 4 4 3 6 2 2" xfId="8145" xr:uid="{00000000-0005-0000-0000-0000AB150000}"/>
    <cellStyle name="Normal 4 4 3 6 2 2 2" xfId="17471" xr:uid="{637E2643-56B1-4CC9-9B4A-0105AE0A88FE}"/>
    <cellStyle name="Normal 4 4 3 6 2 2 3" xfId="25918" xr:uid="{01C0322A-B9B0-4D0A-8840-1E03C97AD56D}"/>
    <cellStyle name="Normal 4 4 3 6 2 2 4" xfId="34365" xr:uid="{0611155D-B05F-4942-A63C-4B7962334F25}"/>
    <cellStyle name="Normal 4 4 3 6 2 3" xfId="13254" xr:uid="{79C25020-8400-40F8-BE87-3CEE7C8AC087}"/>
    <cellStyle name="Normal 4 4 3 6 2 4" xfId="21701" xr:uid="{FC7236BD-7B8D-42DB-BB0E-09D40390F93B}"/>
    <cellStyle name="Normal 4 4 3 6 2 5" xfId="30148" xr:uid="{CA38C953-9F38-485D-B77F-B5E7AFF5A32D}"/>
    <cellStyle name="Normal 4 4 3 6 3" xfId="6000" xr:uid="{00000000-0005-0000-0000-0000AC150000}"/>
    <cellStyle name="Normal 4 4 3 6 3 2" xfId="15326" xr:uid="{FDDB8699-44F4-4095-833D-FA6D83998CC3}"/>
    <cellStyle name="Normal 4 4 3 6 3 3" xfId="23773" xr:uid="{A8E48DB0-B59A-43B9-A0A9-95B9E210D85F}"/>
    <cellStyle name="Normal 4 4 3 6 3 4" xfId="32220" xr:uid="{04C21CC5-B372-494A-906F-7A81665FE08C}"/>
    <cellStyle name="Normal 4 4 3 6 4" xfId="11109" xr:uid="{9083D580-A459-44DB-A8B5-E6F3F8728C53}"/>
    <cellStyle name="Normal 4 4 3 6 5" xfId="19556" xr:uid="{F364099F-000C-40C9-955A-B3DECC46CE87}"/>
    <cellStyle name="Normal 4 4 3 6 6" xfId="28003" xr:uid="{05AC6521-8A1D-4C08-A97A-6956B8495EA0}"/>
    <cellStyle name="Normal 4 4 3 7" xfId="2107" xr:uid="{00000000-0005-0000-0000-0000AD150000}"/>
    <cellStyle name="Normal 4 4 3 7 2" xfId="4336" xr:uid="{00000000-0005-0000-0000-0000AE150000}"/>
    <cellStyle name="Normal 4 4 3 7 2 2" xfId="8558" xr:uid="{00000000-0005-0000-0000-0000AF150000}"/>
    <cellStyle name="Normal 4 4 3 7 2 2 2" xfId="17884" xr:uid="{BD481BF6-3872-496C-8EF8-C856703076F9}"/>
    <cellStyle name="Normal 4 4 3 7 2 2 3" xfId="26331" xr:uid="{D5E5552B-CA1E-4460-9921-39EFA7C8AEA0}"/>
    <cellStyle name="Normal 4 4 3 7 2 2 4" xfId="34778" xr:uid="{0822D2C0-EA00-4C65-83CA-36C5D8A0CD60}"/>
    <cellStyle name="Normal 4 4 3 7 2 3" xfId="13667" xr:uid="{AA97A098-62B7-4CAA-93E6-18C218D1EC7C}"/>
    <cellStyle name="Normal 4 4 3 7 2 4" xfId="22114" xr:uid="{D9748F8B-231A-4A34-A353-DC114C6CDB2A}"/>
    <cellStyle name="Normal 4 4 3 7 2 5" xfId="30561" xr:uid="{D14539AC-AAC6-4FE0-8B2E-4E9C6E3E1296}"/>
    <cellStyle name="Normal 4 4 3 7 3" xfId="6413" xr:uid="{00000000-0005-0000-0000-0000B0150000}"/>
    <cellStyle name="Normal 4 4 3 7 3 2" xfId="15739" xr:uid="{23B15D9D-5FAD-4C29-9CAE-847A0F51B9CE}"/>
    <cellStyle name="Normal 4 4 3 7 3 3" xfId="24186" xr:uid="{4071682B-46C8-4173-866E-E6F597B72EC8}"/>
    <cellStyle name="Normal 4 4 3 7 3 4" xfId="32633" xr:uid="{AE2485BA-6FF8-4EC0-AC56-3B0F36611D9D}"/>
    <cellStyle name="Normal 4 4 3 7 4" xfId="11522" xr:uid="{D8A30C77-A6DE-450B-9D74-C0D8EA521B22}"/>
    <cellStyle name="Normal 4 4 3 7 5" xfId="19969" xr:uid="{351096F4-26BF-48BF-930B-DA6986050E9A}"/>
    <cellStyle name="Normal 4 4 3 7 6" xfId="28416" xr:uid="{BB2F8EED-5095-4743-AF3F-767D615B78A3}"/>
    <cellStyle name="Normal 4 4 3 8" xfId="2543" xr:uid="{00000000-0005-0000-0000-0000B1150000}"/>
    <cellStyle name="Normal 4 4 3 8 2" xfId="6826" xr:uid="{00000000-0005-0000-0000-0000B2150000}"/>
    <cellStyle name="Normal 4 4 3 8 2 2" xfId="16152" xr:uid="{C79A3F4A-49FB-481F-85B3-91F7A153FCCC}"/>
    <cellStyle name="Normal 4 4 3 8 2 3" xfId="24599" xr:uid="{FC7D53AB-012B-441A-9871-CFCEE774C282}"/>
    <cellStyle name="Normal 4 4 3 8 2 4" xfId="33046" xr:uid="{B1306515-628D-4612-AD03-FE26A5BFE269}"/>
    <cellStyle name="Normal 4 4 3 8 3" xfId="11935" xr:uid="{0DCC090B-86BF-4908-A757-09639998F519}"/>
    <cellStyle name="Normal 4 4 3 8 4" xfId="20382" xr:uid="{FD68FB9E-7F92-493A-93A7-A8A2EF7B6B1D}"/>
    <cellStyle name="Normal 4 4 3 8 5" xfId="28829" xr:uid="{B866D323-D0F7-46C9-AB4F-FC77630AB47C}"/>
    <cellStyle name="Normal 4 4 3 9" xfId="4761" xr:uid="{00000000-0005-0000-0000-0000B3150000}"/>
    <cellStyle name="Normal 4 4 3 9 2" xfId="14087" xr:uid="{25EAE520-3AC3-454A-AFD7-38057ECA66AE}"/>
    <cellStyle name="Normal 4 4 3 9 3" xfId="22534" xr:uid="{660BF2F2-1FF3-4654-8505-75303B3ACA38}"/>
    <cellStyle name="Normal 4 4 3 9 4" xfId="30981" xr:uid="{12471A1F-325B-4293-9DC4-2BB2FE935454}"/>
    <cellStyle name="Normal 4 4 4" xfId="391" xr:uid="{00000000-0005-0000-0000-0000B4150000}"/>
    <cellStyle name="Normal 4 4 4 10" xfId="9874" xr:uid="{006377CC-4C67-4B20-8DFB-A841FBAEDC23}"/>
    <cellStyle name="Normal 4 4 4 11" xfId="18321" xr:uid="{5A869BD5-BB31-4A7A-8C3F-EEBACF463654}"/>
    <cellStyle name="Normal 4 4 4 12" xfId="26768" xr:uid="{4B6216E5-DCE8-4F8A-AD6F-433E651D23A2}"/>
    <cellStyle name="Normal 4 4 4 2" xfId="392" xr:uid="{00000000-0005-0000-0000-0000B5150000}"/>
    <cellStyle name="Normal 4 4 4 2 10" xfId="18322" xr:uid="{8FE7E57D-E336-4D06-B0C3-A59624355F7B}"/>
    <cellStyle name="Normal 4 4 4 2 11" xfId="26769" xr:uid="{4D760195-FE9A-4C73-861A-96DCE64D11BA}"/>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16650" xr:uid="{997E8016-5F22-4847-A5E7-B1C423841A8B}"/>
    <cellStyle name="Normal 4 4 4 2 2 2 2 3" xfId="25097" xr:uid="{69199D12-8467-41B2-8932-26F060F7138F}"/>
    <cellStyle name="Normal 4 4 4 2 2 2 2 4" xfId="33544" xr:uid="{965459FC-2540-42CB-ACA0-0CE5ECFF79A2}"/>
    <cellStyle name="Normal 4 4 4 2 2 2 3" xfId="12433" xr:uid="{E5838FCA-7265-4052-924A-2F7125371508}"/>
    <cellStyle name="Normal 4 4 4 2 2 2 4" xfId="20880" xr:uid="{2F66D7FD-E55A-4DB5-AE00-3188CFC42235}"/>
    <cellStyle name="Normal 4 4 4 2 2 2 5" xfId="29327" xr:uid="{57BE5BFC-AE45-407F-9705-DED3A7FFC498}"/>
    <cellStyle name="Normal 4 4 4 2 2 3" xfId="5179" xr:uid="{00000000-0005-0000-0000-0000B9150000}"/>
    <cellStyle name="Normal 4 4 4 2 2 3 2" xfId="14505" xr:uid="{7400D10A-EE74-4DA0-B34E-E0FA486ABF50}"/>
    <cellStyle name="Normal 4 4 4 2 2 3 3" xfId="22952" xr:uid="{6A9D1C47-5A70-47A6-AE65-5CA7AB186CED}"/>
    <cellStyle name="Normal 4 4 4 2 2 3 4" xfId="31399" xr:uid="{0EBAFCDE-0B5A-4D41-94CF-6F435C5AE515}"/>
    <cellStyle name="Normal 4 4 4 2 2 4" xfId="9484" xr:uid="{69910E0C-08C8-41C5-A6FC-61B52F6CD538}"/>
    <cellStyle name="Normal 4 4 4 2 2 5" xfId="10288" xr:uid="{E63058F3-07F9-4D3D-BDEE-3505017A7E7E}"/>
    <cellStyle name="Normal 4 4 4 2 2 6" xfId="18735" xr:uid="{A6549334-2DE7-444B-BF8E-9ADDB5E90F6C}"/>
    <cellStyle name="Normal 4 4 4 2 2 7" xfId="27182" xr:uid="{4736BEA9-51A4-4FFC-968B-C867C49F1339}"/>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17063" xr:uid="{C9270FF6-0E38-4683-980B-A53E03A9C8F1}"/>
    <cellStyle name="Normal 4 4 4 2 3 2 2 3" xfId="25510" xr:uid="{400F8F6B-03B6-4E3A-B5A0-B19B19317E4C}"/>
    <cellStyle name="Normal 4 4 4 2 3 2 2 4" xfId="33957" xr:uid="{2DF24768-B638-41A4-B361-61AEACCF3EE5}"/>
    <cellStyle name="Normal 4 4 4 2 3 2 3" xfId="12846" xr:uid="{C9311CCF-5D34-40A8-A6B9-EC726401DAA1}"/>
    <cellStyle name="Normal 4 4 4 2 3 2 4" xfId="21293" xr:uid="{878D6D98-00E9-4EA7-9154-9B9CA3F6EE70}"/>
    <cellStyle name="Normal 4 4 4 2 3 2 5" xfId="29740" xr:uid="{E1CBD122-268D-40B7-8BF0-AC06DC9753D6}"/>
    <cellStyle name="Normal 4 4 4 2 3 3" xfId="5592" xr:uid="{00000000-0005-0000-0000-0000BD150000}"/>
    <cellStyle name="Normal 4 4 4 2 3 3 2" xfId="14918" xr:uid="{AF032994-6A08-455E-B651-C1391AD14163}"/>
    <cellStyle name="Normal 4 4 4 2 3 3 3" xfId="23365" xr:uid="{A9A64011-4A47-4082-953C-4D424D5D56FC}"/>
    <cellStyle name="Normal 4 4 4 2 3 3 4" xfId="31812" xr:uid="{BE1527A7-2B1D-4E16-B43E-495A1FFC8007}"/>
    <cellStyle name="Normal 4 4 4 2 3 4" xfId="10701" xr:uid="{07858418-C054-46EF-9743-76917B0D64E5}"/>
    <cellStyle name="Normal 4 4 4 2 3 5" xfId="19148" xr:uid="{4DFAA1AA-76EB-4686-98D2-6B801A1CA528}"/>
    <cellStyle name="Normal 4 4 4 2 3 6" xfId="27595" xr:uid="{1D1DABCB-47D9-4F27-929E-4341AD2E7397}"/>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17476" xr:uid="{8227C4B6-3900-480B-8507-49ABFF9B5A08}"/>
    <cellStyle name="Normal 4 4 4 2 4 2 2 3" xfId="25923" xr:uid="{F830095F-70D7-4EBC-85A5-42440A873103}"/>
    <cellStyle name="Normal 4 4 4 2 4 2 2 4" xfId="34370" xr:uid="{20080185-3F74-4F40-AA4E-2479E3231827}"/>
    <cellStyle name="Normal 4 4 4 2 4 2 3" xfId="13259" xr:uid="{519CBE73-0F0E-407D-919F-1D553DFDB25E}"/>
    <cellStyle name="Normal 4 4 4 2 4 2 4" xfId="21706" xr:uid="{0B147F8D-5B12-4A75-8D47-4AE3A74095F0}"/>
    <cellStyle name="Normal 4 4 4 2 4 2 5" xfId="30153" xr:uid="{ECA8189D-5938-4B2E-928D-E4BA7FF2A12E}"/>
    <cellStyle name="Normal 4 4 4 2 4 3" xfId="6005" xr:uid="{00000000-0005-0000-0000-0000C1150000}"/>
    <cellStyle name="Normal 4 4 4 2 4 3 2" xfId="15331" xr:uid="{9B9A54B3-A29D-44FC-829E-40D1CD65786A}"/>
    <cellStyle name="Normal 4 4 4 2 4 3 3" xfId="23778" xr:uid="{B70679CC-B758-46D5-A61F-E8E6DDC9B271}"/>
    <cellStyle name="Normal 4 4 4 2 4 3 4" xfId="32225" xr:uid="{D33E40AF-919D-4DDC-8177-5EF3B97D6B01}"/>
    <cellStyle name="Normal 4 4 4 2 4 4" xfId="11114" xr:uid="{8F60A8AA-E1DD-4ED0-BB9F-203D9644D5ED}"/>
    <cellStyle name="Normal 4 4 4 2 4 5" xfId="19561" xr:uid="{686EF480-C6F7-4912-BF6D-39AAA8C98FD1}"/>
    <cellStyle name="Normal 4 4 4 2 4 6" xfId="28008" xr:uid="{3E57DB62-D086-4D86-8831-F21A1930A468}"/>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17889" xr:uid="{56A170E6-05A3-4E91-B9D6-D3F5F7763637}"/>
    <cellStyle name="Normal 4 4 4 2 5 2 2 3" xfId="26336" xr:uid="{E16EBB56-6CA3-4A2C-9BCE-CC2CEC203098}"/>
    <cellStyle name="Normal 4 4 4 2 5 2 2 4" xfId="34783" xr:uid="{83F65F2A-D7CC-4ED5-A55A-92F96FA84658}"/>
    <cellStyle name="Normal 4 4 4 2 5 2 3" xfId="13672" xr:uid="{E614B68A-0A28-47AC-B120-0F8F4FC2FFB0}"/>
    <cellStyle name="Normal 4 4 4 2 5 2 4" xfId="22119" xr:uid="{910B9104-D6E7-41DE-B77E-8CF7675D65DD}"/>
    <cellStyle name="Normal 4 4 4 2 5 2 5" xfId="30566" xr:uid="{7587C078-CCFB-471C-9D4A-AA1FB9EE4539}"/>
    <cellStyle name="Normal 4 4 4 2 5 3" xfId="6418" xr:uid="{00000000-0005-0000-0000-0000C5150000}"/>
    <cellStyle name="Normal 4 4 4 2 5 3 2" xfId="15744" xr:uid="{EC50A75C-057A-4D10-8368-AC1CF49D4EBC}"/>
    <cellStyle name="Normal 4 4 4 2 5 3 3" xfId="24191" xr:uid="{631531A4-282B-48BE-A3EB-014FA9D9F7D4}"/>
    <cellStyle name="Normal 4 4 4 2 5 3 4" xfId="32638" xr:uid="{C255A733-5C96-4A7E-A313-DBEEB0C9F631}"/>
    <cellStyle name="Normal 4 4 4 2 5 4" xfId="11527" xr:uid="{6B3C986C-5D76-4D69-AD10-61751E9A1FDC}"/>
    <cellStyle name="Normal 4 4 4 2 5 5" xfId="19974" xr:uid="{DB72AA49-DD59-434E-ABC4-505BD86A1909}"/>
    <cellStyle name="Normal 4 4 4 2 5 6" xfId="28421" xr:uid="{F42F5524-7E34-4CBB-8DAF-40FD042EB446}"/>
    <cellStyle name="Normal 4 4 4 2 6" xfId="2548" xr:uid="{00000000-0005-0000-0000-0000C6150000}"/>
    <cellStyle name="Normal 4 4 4 2 6 2" xfId="6831" xr:uid="{00000000-0005-0000-0000-0000C7150000}"/>
    <cellStyle name="Normal 4 4 4 2 6 2 2" xfId="16157" xr:uid="{D337C851-1EA0-4968-85B3-94C68FFB2C89}"/>
    <cellStyle name="Normal 4 4 4 2 6 2 3" xfId="24604" xr:uid="{81425242-82F5-49BF-B653-7F33E9B3DE03}"/>
    <cellStyle name="Normal 4 4 4 2 6 2 4" xfId="33051" xr:uid="{1BBEC87A-E662-43BF-8CAC-1792AF4FFFC5}"/>
    <cellStyle name="Normal 4 4 4 2 6 3" xfId="11940" xr:uid="{1FF63B03-6BDB-4BC0-ACA8-B1118E8BE6A9}"/>
    <cellStyle name="Normal 4 4 4 2 6 4" xfId="20387" xr:uid="{6BCEA1E2-3E5B-47BA-83C7-689112196C6D}"/>
    <cellStyle name="Normal 4 4 4 2 6 5" xfId="28834" xr:uid="{B225F414-80D4-40F5-847F-4BB081A662C5}"/>
    <cellStyle name="Normal 4 4 4 2 7" xfId="4766" xr:uid="{00000000-0005-0000-0000-0000C8150000}"/>
    <cellStyle name="Normal 4 4 4 2 7 2" xfId="14092" xr:uid="{984FD9AB-050E-4742-B0EC-1860BE7B17FA}"/>
    <cellStyle name="Normal 4 4 4 2 7 3" xfId="22539" xr:uid="{CC8D9745-D2B8-4F8C-81A8-73E67DA9A3E1}"/>
    <cellStyle name="Normal 4 4 4 2 7 4" xfId="30986" xr:uid="{A550BEF0-C497-4FE8-80B0-2602EF599C0A}"/>
    <cellStyle name="Normal 4 4 4 2 8" xfId="9059" xr:uid="{76617FCA-DBA6-4291-BD32-6340A19903F7}"/>
    <cellStyle name="Normal 4 4 4 2 9" xfId="9875" xr:uid="{05A9110D-E53C-421A-8C05-45241E639F7C}"/>
    <cellStyle name="Normal 4 4 4 3" xfId="866" xr:uid="{00000000-0005-0000-0000-0000C9150000}"/>
    <cellStyle name="Normal 4 4 4 3 2" xfId="3101" xr:uid="{00000000-0005-0000-0000-0000CA150000}"/>
    <cellStyle name="Normal 4 4 4 3 2 2" xfId="7323" xr:uid="{00000000-0005-0000-0000-0000CB150000}"/>
    <cellStyle name="Normal 4 4 4 3 2 2 2" xfId="16649" xr:uid="{A88A9451-AC8A-45AE-9989-335AF7F78C26}"/>
    <cellStyle name="Normal 4 4 4 3 2 2 3" xfId="25096" xr:uid="{41FD8D62-D55E-4005-A188-3B562C4BD9A4}"/>
    <cellStyle name="Normal 4 4 4 3 2 2 4" xfId="33543" xr:uid="{63454457-E4FC-4819-8936-AFAC6259E3D5}"/>
    <cellStyle name="Normal 4 4 4 3 2 3" xfId="12432" xr:uid="{D9358229-6073-4ABB-9554-C1E7B4BA79A5}"/>
    <cellStyle name="Normal 4 4 4 3 2 4" xfId="20879" xr:uid="{6B56A1E4-F75B-4E92-80C7-2625762B92F7}"/>
    <cellStyle name="Normal 4 4 4 3 2 5" xfId="29326" xr:uid="{46E8707C-DFB4-4980-9FEA-3B48B82B1F02}"/>
    <cellStyle name="Normal 4 4 4 3 3" xfId="5178" xr:uid="{00000000-0005-0000-0000-0000CC150000}"/>
    <cellStyle name="Normal 4 4 4 3 3 2" xfId="14504" xr:uid="{A7BD739C-B85A-4F4F-A757-41FBBF3E7A6D}"/>
    <cellStyle name="Normal 4 4 4 3 3 3" xfId="22951" xr:uid="{D7EB89F5-C578-4125-BEFE-C0C329276D14}"/>
    <cellStyle name="Normal 4 4 4 3 3 4" xfId="31398" xr:uid="{ED8EA600-F53C-4F54-B93A-BB99BF771964}"/>
    <cellStyle name="Normal 4 4 4 3 4" xfId="9277" xr:uid="{DD01CD29-2559-4BCC-919C-99D1D75C445F}"/>
    <cellStyle name="Normal 4 4 4 3 5" xfId="10287" xr:uid="{1AFEE6DE-C5E6-4881-8DBE-C5B5B24891DD}"/>
    <cellStyle name="Normal 4 4 4 3 6" xfId="18734" xr:uid="{106014AC-0E23-4A3C-B70A-12DCF170595C}"/>
    <cellStyle name="Normal 4 4 4 3 7" xfId="27181" xr:uid="{10253A03-EEF6-43D8-9766-3AA6B7178792}"/>
    <cellStyle name="Normal 4 4 4 4" xfId="1284" xr:uid="{00000000-0005-0000-0000-0000CD150000}"/>
    <cellStyle name="Normal 4 4 4 4 2" xfId="3514" xr:uid="{00000000-0005-0000-0000-0000CE150000}"/>
    <cellStyle name="Normal 4 4 4 4 2 2" xfId="7736" xr:uid="{00000000-0005-0000-0000-0000CF150000}"/>
    <cellStyle name="Normal 4 4 4 4 2 2 2" xfId="17062" xr:uid="{7FFE1F88-A3D5-4DC5-9CD3-658E7E3135E0}"/>
    <cellStyle name="Normal 4 4 4 4 2 2 3" xfId="25509" xr:uid="{7C67F934-F177-409C-84C9-615BB0BAAF8D}"/>
    <cellStyle name="Normal 4 4 4 4 2 2 4" xfId="33956" xr:uid="{4F710C0E-FDDC-430F-BE96-9E5E1491A4BF}"/>
    <cellStyle name="Normal 4 4 4 4 2 3" xfId="12845" xr:uid="{585E0824-39ED-4A33-B9C6-5622ACE7B303}"/>
    <cellStyle name="Normal 4 4 4 4 2 4" xfId="21292" xr:uid="{850382FD-1050-4487-AAE2-51D5B19968F3}"/>
    <cellStyle name="Normal 4 4 4 4 2 5" xfId="29739" xr:uid="{7E05B0C4-5A0D-46A1-9C9A-ECFFF4162194}"/>
    <cellStyle name="Normal 4 4 4 4 3" xfId="5591" xr:uid="{00000000-0005-0000-0000-0000D0150000}"/>
    <cellStyle name="Normal 4 4 4 4 3 2" xfId="14917" xr:uid="{F45F3683-884F-44C5-ABE2-0BDA3E9C1BAB}"/>
    <cellStyle name="Normal 4 4 4 4 3 3" xfId="23364" xr:uid="{0C0E4972-E8A8-44FD-AD50-AE2E4C7CBCAE}"/>
    <cellStyle name="Normal 4 4 4 4 3 4" xfId="31811" xr:uid="{17516566-2CF5-419A-BF78-48EE9B13C8EC}"/>
    <cellStyle name="Normal 4 4 4 4 4" xfId="10700" xr:uid="{72DDDC6D-8483-4BF7-AE75-30C762AEE312}"/>
    <cellStyle name="Normal 4 4 4 4 5" xfId="19147" xr:uid="{B85C41CC-D7EC-4361-A9F3-29AD5861091A}"/>
    <cellStyle name="Normal 4 4 4 4 6" xfId="27594" xr:uid="{897D8F13-122E-47A5-9563-66535DC51EAC}"/>
    <cellStyle name="Normal 4 4 4 5" xfId="1697" xr:uid="{00000000-0005-0000-0000-0000D1150000}"/>
    <cellStyle name="Normal 4 4 4 5 2" xfId="3927" xr:uid="{00000000-0005-0000-0000-0000D2150000}"/>
    <cellStyle name="Normal 4 4 4 5 2 2" xfId="8149" xr:uid="{00000000-0005-0000-0000-0000D3150000}"/>
    <cellStyle name="Normal 4 4 4 5 2 2 2" xfId="17475" xr:uid="{B4E240F4-9ECE-4ECC-92FC-2430CCD7482A}"/>
    <cellStyle name="Normal 4 4 4 5 2 2 3" xfId="25922" xr:uid="{838070FC-E485-44C0-BE43-2BF71EBCA629}"/>
    <cellStyle name="Normal 4 4 4 5 2 2 4" xfId="34369" xr:uid="{7A671B31-E744-4E69-BD86-4C69BFC2C1A1}"/>
    <cellStyle name="Normal 4 4 4 5 2 3" xfId="13258" xr:uid="{16EF33AA-3FF3-4B7B-8399-30FCDFA0C908}"/>
    <cellStyle name="Normal 4 4 4 5 2 4" xfId="21705" xr:uid="{326FBAEC-BCE6-4006-8225-DB370D8903C3}"/>
    <cellStyle name="Normal 4 4 4 5 2 5" xfId="30152" xr:uid="{11BE9875-1F16-42E1-B512-5F397E346DB4}"/>
    <cellStyle name="Normal 4 4 4 5 3" xfId="6004" xr:uid="{00000000-0005-0000-0000-0000D4150000}"/>
    <cellStyle name="Normal 4 4 4 5 3 2" xfId="15330" xr:uid="{5F6DD2AA-AD80-4448-8C79-D8FFDFAEFAF2}"/>
    <cellStyle name="Normal 4 4 4 5 3 3" xfId="23777" xr:uid="{9D4EEDCF-7E6F-4C48-9621-5BB6D3A3E4A0}"/>
    <cellStyle name="Normal 4 4 4 5 3 4" xfId="32224" xr:uid="{8596B320-17A6-4945-8C41-EEB4A0B079AC}"/>
    <cellStyle name="Normal 4 4 4 5 4" xfId="11113" xr:uid="{F4F03DAD-9179-4A97-8759-13B61874C298}"/>
    <cellStyle name="Normal 4 4 4 5 5" xfId="19560" xr:uid="{4B3850A9-A93C-4F2D-8F9C-30D05EA0E20B}"/>
    <cellStyle name="Normal 4 4 4 5 6" xfId="28007" xr:uid="{B1852430-0EA6-47BC-A831-C600D797A7C9}"/>
    <cellStyle name="Normal 4 4 4 6" xfId="2111" xr:uid="{00000000-0005-0000-0000-0000D5150000}"/>
    <cellStyle name="Normal 4 4 4 6 2" xfId="4340" xr:uid="{00000000-0005-0000-0000-0000D6150000}"/>
    <cellStyle name="Normal 4 4 4 6 2 2" xfId="8562" xr:uid="{00000000-0005-0000-0000-0000D7150000}"/>
    <cellStyle name="Normal 4 4 4 6 2 2 2" xfId="17888" xr:uid="{BD5AC887-D020-442D-8B73-2A18A3CCF0CA}"/>
    <cellStyle name="Normal 4 4 4 6 2 2 3" xfId="26335" xr:uid="{D4AF7EAD-5CA8-40C6-B8C5-9A49C697B112}"/>
    <cellStyle name="Normal 4 4 4 6 2 2 4" xfId="34782" xr:uid="{E88CDBB4-A2BE-4A0F-ADE4-D5A7D933D275}"/>
    <cellStyle name="Normal 4 4 4 6 2 3" xfId="13671" xr:uid="{13BA7D7A-C0DD-473A-8F8E-C7BA16F01DD5}"/>
    <cellStyle name="Normal 4 4 4 6 2 4" xfId="22118" xr:uid="{A3B11444-8175-4E70-900B-C8B868391B93}"/>
    <cellStyle name="Normal 4 4 4 6 2 5" xfId="30565" xr:uid="{EF51A2F0-D07E-4E76-B979-41953C516EFA}"/>
    <cellStyle name="Normal 4 4 4 6 3" xfId="6417" xr:uid="{00000000-0005-0000-0000-0000D8150000}"/>
    <cellStyle name="Normal 4 4 4 6 3 2" xfId="15743" xr:uid="{C800FD6C-23C2-4A0D-8D81-CD7D57430B00}"/>
    <cellStyle name="Normal 4 4 4 6 3 3" xfId="24190" xr:uid="{ACB0494A-46BC-4F68-80BB-9AFFAF860A1D}"/>
    <cellStyle name="Normal 4 4 4 6 3 4" xfId="32637" xr:uid="{846C35D8-32C5-4192-849B-5A9D9434124C}"/>
    <cellStyle name="Normal 4 4 4 6 4" xfId="11526" xr:uid="{40FEB9D3-3554-4F87-A1D7-8CF53C4C7320}"/>
    <cellStyle name="Normal 4 4 4 6 5" xfId="19973" xr:uid="{A1D90515-77EF-458E-AAE7-0346C1DDB40B}"/>
    <cellStyle name="Normal 4 4 4 6 6" xfId="28420" xr:uid="{2970B9DC-F6A6-42C1-979D-8B79748B278A}"/>
    <cellStyle name="Normal 4 4 4 7" xfId="2547" xr:uid="{00000000-0005-0000-0000-0000D9150000}"/>
    <cellStyle name="Normal 4 4 4 7 2" xfId="6830" xr:uid="{00000000-0005-0000-0000-0000DA150000}"/>
    <cellStyle name="Normal 4 4 4 7 2 2" xfId="16156" xr:uid="{1A44FC7C-4265-459D-9946-8CCA59DCA34E}"/>
    <cellStyle name="Normal 4 4 4 7 2 3" xfId="24603" xr:uid="{532BF24F-36BD-4F22-85F9-C34D3B803D23}"/>
    <cellStyle name="Normal 4 4 4 7 2 4" xfId="33050" xr:uid="{9720FF29-0281-4540-9E7B-62E3B92DCDAD}"/>
    <cellStyle name="Normal 4 4 4 7 3" xfId="11939" xr:uid="{B04D428B-71AD-4538-94F9-F3027A151B9E}"/>
    <cellStyle name="Normal 4 4 4 7 4" xfId="20386" xr:uid="{18BE0F6E-0321-479B-928D-330A15EC3FA7}"/>
    <cellStyle name="Normal 4 4 4 7 5" xfId="28833" xr:uid="{5C3BC750-B183-4278-BC78-A9D34DCC7681}"/>
    <cellStyle name="Normal 4 4 4 8" xfId="4765" xr:uid="{00000000-0005-0000-0000-0000DB150000}"/>
    <cellStyle name="Normal 4 4 4 8 2" xfId="14091" xr:uid="{7C630526-F11E-4298-A568-822105E3D58D}"/>
    <cellStyle name="Normal 4 4 4 8 3" xfId="22538" xr:uid="{DB29FDB5-0B73-4E04-9E65-46BB7D094C95}"/>
    <cellStyle name="Normal 4 4 4 8 4" xfId="30985" xr:uid="{E292E49C-7DE0-4BB5-97F3-39FD13B5D4E8}"/>
    <cellStyle name="Normal 4 4 4 9" xfId="8852" xr:uid="{DF4BB962-85B1-44B5-A0FE-735796672772}"/>
    <cellStyle name="Normal 4 4 5" xfId="393" xr:uid="{00000000-0005-0000-0000-0000DC150000}"/>
    <cellStyle name="Normal 4 4 5 10" xfId="18323" xr:uid="{A7E487DA-B5F1-46B6-9655-E66E58E94CDE}"/>
    <cellStyle name="Normal 4 4 5 11" xfId="26770" xr:uid="{DFE28871-2970-4C25-8507-711040F66DA1}"/>
    <cellStyle name="Normal 4 4 5 2" xfId="868" xr:uid="{00000000-0005-0000-0000-0000DD150000}"/>
    <cellStyle name="Normal 4 4 5 2 2" xfId="3103" xr:uid="{00000000-0005-0000-0000-0000DE150000}"/>
    <cellStyle name="Normal 4 4 5 2 2 2" xfId="7325" xr:uid="{00000000-0005-0000-0000-0000DF150000}"/>
    <cellStyle name="Normal 4 4 5 2 2 2 2" xfId="16651" xr:uid="{0B449F43-EB4B-43E3-A759-FB85D590D287}"/>
    <cellStyle name="Normal 4 4 5 2 2 2 3" xfId="25098" xr:uid="{4E8DFEE8-C02F-4A07-892D-8E0D8E0182BD}"/>
    <cellStyle name="Normal 4 4 5 2 2 2 4" xfId="33545" xr:uid="{9F336A95-6ACD-4F85-935D-1DAA943D1C92}"/>
    <cellStyle name="Normal 4 4 5 2 2 3" xfId="12434" xr:uid="{5AB3D3C9-24F0-4362-AF5A-7BE622ECA20C}"/>
    <cellStyle name="Normal 4 4 5 2 2 4" xfId="20881" xr:uid="{BA986AC0-B9FE-4851-8B5A-A0244A69030D}"/>
    <cellStyle name="Normal 4 4 5 2 2 5" xfId="29328" xr:uid="{8636F515-47ED-4020-87FE-49D5C4251289}"/>
    <cellStyle name="Normal 4 4 5 2 3" xfId="5180" xr:uid="{00000000-0005-0000-0000-0000E0150000}"/>
    <cellStyle name="Normal 4 4 5 2 3 2" xfId="14506" xr:uid="{0F02C580-5691-4169-9A45-0600D55A67BD}"/>
    <cellStyle name="Normal 4 4 5 2 3 3" xfId="22953" xr:uid="{18692E3E-E4A8-4E69-A370-CCBCEC01C840}"/>
    <cellStyle name="Normal 4 4 5 2 3 4" xfId="31400" xr:uid="{7E9B8445-5951-4AA8-81B2-5E2E207DC033}"/>
    <cellStyle name="Normal 4 4 5 2 4" xfId="9393" xr:uid="{C2991CC4-4E0B-46C4-B338-C6A1C9BA2DE9}"/>
    <cellStyle name="Normal 4 4 5 2 5" xfId="10289" xr:uid="{DCA72016-22ED-4457-B804-64DF74BF6E5B}"/>
    <cellStyle name="Normal 4 4 5 2 6" xfId="18736" xr:uid="{B0C865BE-DF90-4B49-BD0A-5489A363D8B4}"/>
    <cellStyle name="Normal 4 4 5 2 7" xfId="27183" xr:uid="{9A10969F-FD53-4CD5-B4FA-273243C3C4AC}"/>
    <cellStyle name="Normal 4 4 5 3" xfId="1286" xr:uid="{00000000-0005-0000-0000-0000E1150000}"/>
    <cellStyle name="Normal 4 4 5 3 2" xfId="3516" xr:uid="{00000000-0005-0000-0000-0000E2150000}"/>
    <cellStyle name="Normal 4 4 5 3 2 2" xfId="7738" xr:uid="{00000000-0005-0000-0000-0000E3150000}"/>
    <cellStyle name="Normal 4 4 5 3 2 2 2" xfId="17064" xr:uid="{DF593A89-D8E8-4C91-8A02-890072A32212}"/>
    <cellStyle name="Normal 4 4 5 3 2 2 3" xfId="25511" xr:uid="{8EF6D2B1-E46D-4306-9F21-B1479A216898}"/>
    <cellStyle name="Normal 4 4 5 3 2 2 4" xfId="33958" xr:uid="{DE857797-FDF9-4F32-ABD3-8D8D476518A2}"/>
    <cellStyle name="Normal 4 4 5 3 2 3" xfId="12847" xr:uid="{4653F538-C876-4883-94A8-1E615C779BF7}"/>
    <cellStyle name="Normal 4 4 5 3 2 4" xfId="21294" xr:uid="{B4093F2F-29E3-4CDC-AE7B-7D723F6C5734}"/>
    <cellStyle name="Normal 4 4 5 3 2 5" xfId="29741" xr:uid="{BABF9A5F-4560-40B9-A7AF-81CBB2D84808}"/>
    <cellStyle name="Normal 4 4 5 3 3" xfId="5593" xr:uid="{00000000-0005-0000-0000-0000E4150000}"/>
    <cellStyle name="Normal 4 4 5 3 3 2" xfId="14919" xr:uid="{7E014345-C020-4501-8BD0-E9E7954C10E5}"/>
    <cellStyle name="Normal 4 4 5 3 3 3" xfId="23366" xr:uid="{FD212078-1921-453A-8990-ADA2A1ECCFDA}"/>
    <cellStyle name="Normal 4 4 5 3 3 4" xfId="31813" xr:uid="{E7DC13C1-FBA5-4759-A526-1F6784413C93}"/>
    <cellStyle name="Normal 4 4 5 3 4" xfId="10702" xr:uid="{C32951A8-5A32-436F-93B7-6676B30E6A9E}"/>
    <cellStyle name="Normal 4 4 5 3 5" xfId="19149" xr:uid="{B17A5974-ABE0-4908-AB49-EB8B3D9C812B}"/>
    <cellStyle name="Normal 4 4 5 3 6" xfId="27596" xr:uid="{ADB04452-570C-4FB0-88FE-89B921F4A951}"/>
    <cellStyle name="Normal 4 4 5 4" xfId="1699" xr:uid="{00000000-0005-0000-0000-0000E5150000}"/>
    <cellStyle name="Normal 4 4 5 4 2" xfId="3929" xr:uid="{00000000-0005-0000-0000-0000E6150000}"/>
    <cellStyle name="Normal 4 4 5 4 2 2" xfId="8151" xr:uid="{00000000-0005-0000-0000-0000E7150000}"/>
    <cellStyle name="Normal 4 4 5 4 2 2 2" xfId="17477" xr:uid="{C0938A62-6C28-4AF9-9C00-6FC59703D6F1}"/>
    <cellStyle name="Normal 4 4 5 4 2 2 3" xfId="25924" xr:uid="{8971EA86-6631-48D2-AF60-9465BD25EFDF}"/>
    <cellStyle name="Normal 4 4 5 4 2 2 4" xfId="34371" xr:uid="{3792A801-E68B-4B25-AD58-E7CAC0432DAB}"/>
    <cellStyle name="Normal 4 4 5 4 2 3" xfId="13260" xr:uid="{122E38F2-F8C0-41DD-8E8C-FBD76583D3AD}"/>
    <cellStyle name="Normal 4 4 5 4 2 4" xfId="21707" xr:uid="{B05C2B43-B307-4AED-919C-5597705086F2}"/>
    <cellStyle name="Normal 4 4 5 4 2 5" xfId="30154" xr:uid="{9F8C1C5F-BD83-4DD6-8EF1-87C17B3A62BD}"/>
    <cellStyle name="Normal 4 4 5 4 3" xfId="6006" xr:uid="{00000000-0005-0000-0000-0000E8150000}"/>
    <cellStyle name="Normal 4 4 5 4 3 2" xfId="15332" xr:uid="{A328F81C-3232-44C1-AFEF-4F8E0DE5FD64}"/>
    <cellStyle name="Normal 4 4 5 4 3 3" xfId="23779" xr:uid="{08AAA6E0-1E32-4C77-9107-C2FFB33C0AED}"/>
    <cellStyle name="Normal 4 4 5 4 3 4" xfId="32226" xr:uid="{0EBE3118-5F2D-49A3-BA73-D6A805B0BCC7}"/>
    <cellStyle name="Normal 4 4 5 4 4" xfId="11115" xr:uid="{039BBC4E-3C8A-437E-BB02-497A6B2045ED}"/>
    <cellStyle name="Normal 4 4 5 4 5" xfId="19562" xr:uid="{6F97326A-7313-4F30-8202-28B520A28591}"/>
    <cellStyle name="Normal 4 4 5 4 6" xfId="28009" xr:uid="{F43DA1F1-C08C-4F94-98A3-18F53497E150}"/>
    <cellStyle name="Normal 4 4 5 5" xfId="2113" xr:uid="{00000000-0005-0000-0000-0000E9150000}"/>
    <cellStyle name="Normal 4 4 5 5 2" xfId="4342" xr:uid="{00000000-0005-0000-0000-0000EA150000}"/>
    <cellStyle name="Normal 4 4 5 5 2 2" xfId="8564" xr:uid="{00000000-0005-0000-0000-0000EB150000}"/>
    <cellStyle name="Normal 4 4 5 5 2 2 2" xfId="17890" xr:uid="{744F500D-1183-4AA1-816F-3D0637D8D5D7}"/>
    <cellStyle name="Normal 4 4 5 5 2 2 3" xfId="26337" xr:uid="{6E203C6A-2705-4F16-B135-A504885B6B9C}"/>
    <cellStyle name="Normal 4 4 5 5 2 2 4" xfId="34784" xr:uid="{41195A39-5B2F-4191-BC62-5A404C9C34FF}"/>
    <cellStyle name="Normal 4 4 5 5 2 3" xfId="13673" xr:uid="{A4936FB1-BD3F-4207-B82E-7FE1365EB2CF}"/>
    <cellStyle name="Normal 4 4 5 5 2 4" xfId="22120" xr:uid="{659590A6-71B9-4A0F-B1C6-E75AB662D516}"/>
    <cellStyle name="Normal 4 4 5 5 2 5" xfId="30567" xr:uid="{BB6ED5D2-58E0-4CEA-9286-F0896170E6D6}"/>
    <cellStyle name="Normal 4 4 5 5 3" xfId="6419" xr:uid="{00000000-0005-0000-0000-0000EC150000}"/>
    <cellStyle name="Normal 4 4 5 5 3 2" xfId="15745" xr:uid="{5356BCC3-86E0-40BB-A90F-1C1E2EC4E21C}"/>
    <cellStyle name="Normal 4 4 5 5 3 3" xfId="24192" xr:uid="{C6817E46-6D6A-4ADF-8B65-8CD938947B08}"/>
    <cellStyle name="Normal 4 4 5 5 3 4" xfId="32639" xr:uid="{F3F7215F-AB73-4340-968B-6A8893F51DEE}"/>
    <cellStyle name="Normal 4 4 5 5 4" xfId="11528" xr:uid="{AA291DC2-772D-489B-A4BB-F8F78897C9DA}"/>
    <cellStyle name="Normal 4 4 5 5 5" xfId="19975" xr:uid="{BC262626-8B51-4B9D-A074-0DF844EA50A9}"/>
    <cellStyle name="Normal 4 4 5 5 6" xfId="28422" xr:uid="{23A36965-AAAD-4A09-A8F8-EB19AAF4A0ED}"/>
    <cellStyle name="Normal 4 4 5 6" xfId="2549" xr:uid="{00000000-0005-0000-0000-0000ED150000}"/>
    <cellStyle name="Normal 4 4 5 6 2" xfId="6832" xr:uid="{00000000-0005-0000-0000-0000EE150000}"/>
    <cellStyle name="Normal 4 4 5 6 2 2" xfId="16158" xr:uid="{181A08E5-7FC1-45FE-982D-86B531EF847C}"/>
    <cellStyle name="Normal 4 4 5 6 2 3" xfId="24605" xr:uid="{B9F8C739-B483-43DE-B30B-9BBB4C050580}"/>
    <cellStyle name="Normal 4 4 5 6 2 4" xfId="33052" xr:uid="{2C024BCC-2420-4C65-9240-FA03587D8365}"/>
    <cellStyle name="Normal 4 4 5 6 3" xfId="11941" xr:uid="{BEF7149D-7FA5-4BDB-BADA-AFB9C337BCE9}"/>
    <cellStyle name="Normal 4 4 5 6 4" xfId="20388" xr:uid="{20D3FE19-1134-450B-867A-17DF2FF1EF96}"/>
    <cellStyle name="Normal 4 4 5 6 5" xfId="28835" xr:uid="{C09C7B37-5204-48E4-BB8A-82ABF4C23FC5}"/>
    <cellStyle name="Normal 4 4 5 7" xfId="4767" xr:uid="{00000000-0005-0000-0000-0000EF150000}"/>
    <cellStyle name="Normal 4 4 5 7 2" xfId="14093" xr:uid="{0DF47BC4-0407-4E63-9BC5-5C5CEBC3BD99}"/>
    <cellStyle name="Normal 4 4 5 7 3" xfId="22540" xr:uid="{FD26DDA8-1039-40E3-A3F5-A7A4E704A6FE}"/>
    <cellStyle name="Normal 4 4 5 7 4" xfId="30987" xr:uid="{2BD30D00-BF13-4403-AA94-F1D3B588902D}"/>
    <cellStyle name="Normal 4 4 5 8" xfId="8968" xr:uid="{BE877DDE-435D-4CBA-84F2-0372D1DDE771}"/>
    <cellStyle name="Normal 4 4 5 9" xfId="9876" xr:uid="{5435C88B-5D41-420D-B59A-4A3F77EE34E0}"/>
    <cellStyle name="Normal 4 4 6" xfId="853" xr:uid="{00000000-0005-0000-0000-0000F0150000}"/>
    <cellStyle name="Normal 4 4 6 2" xfId="3088" xr:uid="{00000000-0005-0000-0000-0000F1150000}"/>
    <cellStyle name="Normal 4 4 6 2 2" xfId="7310" xr:uid="{00000000-0005-0000-0000-0000F2150000}"/>
    <cellStyle name="Normal 4 4 6 2 2 2" xfId="16636" xr:uid="{A1B9D44D-7C10-42E1-BD74-CC54EAF78A05}"/>
    <cellStyle name="Normal 4 4 6 2 2 3" xfId="25083" xr:uid="{0F5119EC-A891-40EF-8EA6-386962208E1B}"/>
    <cellStyle name="Normal 4 4 6 2 2 4" xfId="33530" xr:uid="{60B3BF81-B2D0-4ED9-959C-8A17C4B179AF}"/>
    <cellStyle name="Normal 4 4 6 2 3" xfId="12419" xr:uid="{77D0CFA2-AD44-443D-A28F-D173022AED0C}"/>
    <cellStyle name="Normal 4 4 6 2 4" xfId="20866" xr:uid="{FD1277A2-BBBE-4006-B2A7-5D07E7D03F77}"/>
    <cellStyle name="Normal 4 4 6 2 5" xfId="29313" xr:uid="{A6851606-C4CA-4B1B-9D32-56C0138E150C}"/>
    <cellStyle name="Normal 4 4 6 3" xfId="5165" xr:uid="{00000000-0005-0000-0000-0000F3150000}"/>
    <cellStyle name="Normal 4 4 6 3 2" xfId="14491" xr:uid="{9F62AD7C-E27B-48C5-BE00-278D1588B3B6}"/>
    <cellStyle name="Normal 4 4 6 3 3" xfId="22938" xr:uid="{17204770-0C1C-480B-AC2B-57508BEEA669}"/>
    <cellStyle name="Normal 4 4 6 3 4" xfId="31385" xr:uid="{3FE70FC0-39CF-4874-BC32-0892AEBC5B1A}"/>
    <cellStyle name="Normal 4 4 6 4" xfId="9171" xr:uid="{C474601B-95F0-4C9E-AB77-B3E61D2A21D7}"/>
    <cellStyle name="Normal 4 4 6 5" xfId="10274" xr:uid="{B3A45CD0-64A5-4391-B15E-0910EF36B09B}"/>
    <cellStyle name="Normal 4 4 6 6" xfId="18721" xr:uid="{9E5BEC0A-0215-4D2D-A8F2-F7466C722277}"/>
    <cellStyle name="Normal 4 4 6 7" xfId="27168" xr:uid="{0804C17A-5B1A-434D-B2DB-DDB45FA7E79A}"/>
    <cellStyle name="Normal 4 4 7" xfId="1271" xr:uid="{00000000-0005-0000-0000-0000F4150000}"/>
    <cellStyle name="Normal 4 4 7 2" xfId="3501" xr:uid="{00000000-0005-0000-0000-0000F5150000}"/>
    <cellStyle name="Normal 4 4 7 2 2" xfId="7723" xr:uid="{00000000-0005-0000-0000-0000F6150000}"/>
    <cellStyle name="Normal 4 4 7 2 2 2" xfId="17049" xr:uid="{F7108F80-8F12-4726-A250-142316F476CB}"/>
    <cellStyle name="Normal 4 4 7 2 2 3" xfId="25496" xr:uid="{707A5943-413B-4CA7-A9BD-EFF8E11D4FAF}"/>
    <cellStyle name="Normal 4 4 7 2 2 4" xfId="33943" xr:uid="{5B5FB193-4FDB-481F-9B70-CC09067B5C62}"/>
    <cellStyle name="Normal 4 4 7 2 3" xfId="12832" xr:uid="{5F5A76B5-F78B-43D4-9322-AC335D70F17E}"/>
    <cellStyle name="Normal 4 4 7 2 4" xfId="21279" xr:uid="{03B3B3B9-0BF4-4930-A833-C4429AA9019A}"/>
    <cellStyle name="Normal 4 4 7 2 5" xfId="29726" xr:uid="{61D607AD-A0F8-42AA-A7BE-88E34855D06B}"/>
    <cellStyle name="Normal 4 4 7 3" xfId="5578" xr:uid="{00000000-0005-0000-0000-0000F7150000}"/>
    <cellStyle name="Normal 4 4 7 3 2" xfId="14904" xr:uid="{ED0788BF-4BDD-4611-83EB-7AAB2DA58611}"/>
    <cellStyle name="Normal 4 4 7 3 3" xfId="23351" xr:uid="{13384077-3838-4673-97DA-928D8C354C32}"/>
    <cellStyle name="Normal 4 4 7 3 4" xfId="31798" xr:uid="{3C39611F-CB03-42FC-AF2F-F4D28B48950A}"/>
    <cellStyle name="Normal 4 4 7 4" xfId="10687" xr:uid="{3E0D5895-9C81-4423-8E95-C535A14C2CA5}"/>
    <cellStyle name="Normal 4 4 7 5" xfId="19134" xr:uid="{A2211FBD-6D39-4F1D-AF6E-B017BF35CB9D}"/>
    <cellStyle name="Normal 4 4 7 6" xfId="27581" xr:uid="{4C73769F-CFC9-4FB7-A219-4B547EC67495}"/>
    <cellStyle name="Normal 4 4 8" xfId="1684" xr:uid="{00000000-0005-0000-0000-0000F8150000}"/>
    <cellStyle name="Normal 4 4 8 2" xfId="3914" xr:uid="{00000000-0005-0000-0000-0000F9150000}"/>
    <cellStyle name="Normal 4 4 8 2 2" xfId="8136" xr:uid="{00000000-0005-0000-0000-0000FA150000}"/>
    <cellStyle name="Normal 4 4 8 2 2 2" xfId="17462" xr:uid="{7FB79C29-6A71-41EB-A3EC-BAB3E0BDE7D4}"/>
    <cellStyle name="Normal 4 4 8 2 2 3" xfId="25909" xr:uid="{EE49A2FA-16E8-448B-8736-B527DB1F590B}"/>
    <cellStyle name="Normal 4 4 8 2 2 4" xfId="34356" xr:uid="{D46422D0-8D06-4A83-BE4F-343ABBFA8276}"/>
    <cellStyle name="Normal 4 4 8 2 3" xfId="13245" xr:uid="{62967A04-7C9F-456E-9CF5-5F095EED17A0}"/>
    <cellStyle name="Normal 4 4 8 2 4" xfId="21692" xr:uid="{1BC77B03-E93B-4E17-8893-B9D1E2332F3C}"/>
    <cellStyle name="Normal 4 4 8 2 5" xfId="30139" xr:uid="{4C0A29D1-A9C3-496F-9E83-7D044FD6ECE1}"/>
    <cellStyle name="Normal 4 4 8 3" xfId="5991" xr:uid="{00000000-0005-0000-0000-0000FB150000}"/>
    <cellStyle name="Normal 4 4 8 3 2" xfId="15317" xr:uid="{7664F13D-7BA7-4418-A13C-EFC384ACB262}"/>
    <cellStyle name="Normal 4 4 8 3 3" xfId="23764" xr:uid="{47E400C8-1314-4A8E-B9B6-75999AC1FB80}"/>
    <cellStyle name="Normal 4 4 8 3 4" xfId="32211" xr:uid="{E755B130-FBB0-4F0F-9F07-34DE6228027D}"/>
    <cellStyle name="Normal 4 4 8 4" xfId="11100" xr:uid="{6C6036EC-695C-43AD-81F8-D4EBFC55C7B3}"/>
    <cellStyle name="Normal 4 4 8 5" xfId="19547" xr:uid="{D45AC7A2-35A0-4E27-9C8E-BD22E2C916EB}"/>
    <cellStyle name="Normal 4 4 8 6" xfId="27994" xr:uid="{0EC850F7-9831-4DCE-A5FB-858C82B298C9}"/>
    <cellStyle name="Normal 4 4 9" xfId="2098" xr:uid="{00000000-0005-0000-0000-0000FC150000}"/>
    <cellStyle name="Normal 4 4 9 2" xfId="4327" xr:uid="{00000000-0005-0000-0000-0000FD150000}"/>
    <cellStyle name="Normal 4 4 9 2 2" xfId="8549" xr:uid="{00000000-0005-0000-0000-0000FE150000}"/>
    <cellStyle name="Normal 4 4 9 2 2 2" xfId="17875" xr:uid="{EF4E7C8E-A5EB-49AB-AD28-10C1B0215A57}"/>
    <cellStyle name="Normal 4 4 9 2 2 3" xfId="26322" xr:uid="{D82D7F57-B5F1-46EC-9BD1-38B4B09E64C7}"/>
    <cellStyle name="Normal 4 4 9 2 2 4" xfId="34769" xr:uid="{AC318E2D-E3FA-4E57-96F9-7EC98E1524A7}"/>
    <cellStyle name="Normal 4 4 9 2 3" xfId="13658" xr:uid="{08C9088C-3002-455A-8200-82106E29C395}"/>
    <cellStyle name="Normal 4 4 9 2 4" xfId="22105" xr:uid="{ADFF5B7C-647C-48DB-B5BD-4483A5E82FDC}"/>
    <cellStyle name="Normal 4 4 9 2 5" xfId="30552" xr:uid="{F85615A0-302E-47AD-B5E7-263866B65138}"/>
    <cellStyle name="Normal 4 4 9 3" xfId="6404" xr:uid="{00000000-0005-0000-0000-0000FF150000}"/>
    <cellStyle name="Normal 4 4 9 3 2" xfId="15730" xr:uid="{62D0E06F-2F39-4EA5-825B-6EC567FD2803}"/>
    <cellStyle name="Normal 4 4 9 3 3" xfId="24177" xr:uid="{5FBAB175-679F-49EC-8711-648C0A322ED7}"/>
    <cellStyle name="Normal 4 4 9 3 4" xfId="32624" xr:uid="{AE34BA4B-AA05-4DC8-A72D-0C693DC71C5D}"/>
    <cellStyle name="Normal 4 4 9 4" xfId="11513" xr:uid="{F1A7E4CF-0CA1-4878-976A-E8EEDF08A3D3}"/>
    <cellStyle name="Normal 4 4 9 5" xfId="19960" xr:uid="{5231A379-9DA6-430B-BEA0-16FD22B068A2}"/>
    <cellStyle name="Normal 4 4 9 6" xfId="28407" xr:uid="{20779E05-A918-46D3-A51F-00ACE3DFD846}"/>
    <cellStyle name="Normal 4 5" xfId="394" xr:uid="{00000000-0005-0000-0000-000000160000}"/>
    <cellStyle name="Normal 4 6" xfId="395" xr:uid="{00000000-0005-0000-0000-000001160000}"/>
    <cellStyle name="Normal 4 6 10" xfId="4768" xr:uid="{00000000-0005-0000-0000-000002160000}"/>
    <cellStyle name="Normal 4 6 10 2" xfId="14094" xr:uid="{678E3303-0389-4147-B6C4-E828DEA5E0C4}"/>
    <cellStyle name="Normal 4 6 10 3" xfId="22541" xr:uid="{7DA082E1-0C80-4C6E-AA07-D31BB638FD15}"/>
    <cellStyle name="Normal 4 6 10 4" xfId="30988" xr:uid="{60ABC49B-9369-40C4-B2CC-8D0E74D4B32C}"/>
    <cellStyle name="Normal 4 6 11" xfId="8772" xr:uid="{23628FEE-4113-4B2C-B2A0-0106FC7F55C2}"/>
    <cellStyle name="Normal 4 6 12" xfId="9877" xr:uid="{3883BD36-4F67-43B5-B0C8-63C16432D786}"/>
    <cellStyle name="Normal 4 6 13" xfId="18324" xr:uid="{8C833697-F593-47A4-BB68-B73BB26C15C0}"/>
    <cellStyle name="Normal 4 6 14" xfId="26771" xr:uid="{1A956113-D997-4F62-B9C0-44C2C4ED85C1}"/>
    <cellStyle name="Normal 4 6 2" xfId="396" xr:uid="{00000000-0005-0000-0000-000003160000}"/>
    <cellStyle name="Normal 4 6 2 10" xfId="8825" xr:uid="{C3062495-9D56-441B-95F6-B73E7DAC524C}"/>
    <cellStyle name="Normal 4 6 2 11" xfId="9878" xr:uid="{23EF744B-BFFA-4F0D-B0CB-6E88CAAB5DB3}"/>
    <cellStyle name="Normal 4 6 2 12" xfId="18325" xr:uid="{5BEBDE9F-5E50-41B6-A219-D03F64796F41}"/>
    <cellStyle name="Normal 4 6 2 13" xfId="26772" xr:uid="{0DBAB8B1-A80C-427D-B0B7-E4FCE4260920}"/>
    <cellStyle name="Normal 4 6 2 2" xfId="397" xr:uid="{00000000-0005-0000-0000-000004160000}"/>
    <cellStyle name="Normal 4 6 2 2 10" xfId="9879" xr:uid="{204E82EB-1CAC-4BB7-94F6-3CF434D742BD}"/>
    <cellStyle name="Normal 4 6 2 2 11" xfId="18326" xr:uid="{66D96E68-DC0F-42B7-82EC-22AB0A50D364}"/>
    <cellStyle name="Normal 4 6 2 2 12" xfId="26773" xr:uid="{9B47ADC2-D7D2-476A-8492-32BECED3657F}"/>
    <cellStyle name="Normal 4 6 2 2 2" xfId="398" xr:uid="{00000000-0005-0000-0000-000005160000}"/>
    <cellStyle name="Normal 4 6 2 2 2 10" xfId="18327" xr:uid="{5C31FD73-9C97-4FBC-8E88-FCC49EE6BE33}"/>
    <cellStyle name="Normal 4 6 2 2 2 11" xfId="26774" xr:uid="{B07EF443-AE23-4DF6-962F-DAFCB390D5AA}"/>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16655" xr:uid="{29EB6302-A1CE-4987-9590-F0FAD5A5C82E}"/>
    <cellStyle name="Normal 4 6 2 2 2 2 2 2 3" xfId="25102" xr:uid="{D254F2BD-C199-499B-8513-640172714EF8}"/>
    <cellStyle name="Normal 4 6 2 2 2 2 2 2 4" xfId="33549" xr:uid="{01210014-1DE7-468F-810C-2120B5A75B1B}"/>
    <cellStyle name="Normal 4 6 2 2 2 2 2 3" xfId="12438" xr:uid="{E6B9E6AD-1E95-4CEE-B6F6-8AF249B40046}"/>
    <cellStyle name="Normal 4 6 2 2 2 2 2 4" xfId="20885" xr:uid="{077ECF8B-69D2-48CF-BC03-58EBD210208D}"/>
    <cellStyle name="Normal 4 6 2 2 2 2 2 5" xfId="29332" xr:uid="{BBFA3AA9-C9AE-4849-82C2-CCDC2D744376}"/>
    <cellStyle name="Normal 4 6 2 2 2 2 3" xfId="5184" xr:uid="{00000000-0005-0000-0000-000009160000}"/>
    <cellStyle name="Normal 4 6 2 2 2 2 3 2" xfId="14510" xr:uid="{1AD510ED-B2B5-4D48-A1CC-C6B954B77B11}"/>
    <cellStyle name="Normal 4 6 2 2 2 2 3 3" xfId="22957" xr:uid="{4CF9C277-9D67-47DA-A692-AC494B1B2904}"/>
    <cellStyle name="Normal 4 6 2 2 2 2 3 4" xfId="31404" xr:uid="{396A7EA1-B7D1-4281-871F-8D9A9A0A7FB3}"/>
    <cellStyle name="Normal 4 6 2 2 2 2 4" xfId="9560" xr:uid="{04DAEE11-A96E-4522-8546-8A0C107E12B9}"/>
    <cellStyle name="Normal 4 6 2 2 2 2 5" xfId="10293" xr:uid="{3968989F-0DD4-4543-8A10-BB81FCF3468A}"/>
    <cellStyle name="Normal 4 6 2 2 2 2 6" xfId="18740" xr:uid="{01658A6C-C584-4C67-B8C0-FC4B659F6C06}"/>
    <cellStyle name="Normal 4 6 2 2 2 2 7" xfId="27187" xr:uid="{8B7A9634-0FE7-4957-ABAB-97D37EAFEDFA}"/>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17068" xr:uid="{E2923758-F479-40A2-8E18-41122EDA5537}"/>
    <cellStyle name="Normal 4 6 2 2 2 3 2 2 3" xfId="25515" xr:uid="{25A6FF30-A7CE-4DD8-9548-1F38F872C166}"/>
    <cellStyle name="Normal 4 6 2 2 2 3 2 2 4" xfId="33962" xr:uid="{44B503C4-4565-4742-B638-8324A4BA8496}"/>
    <cellStyle name="Normal 4 6 2 2 2 3 2 3" xfId="12851" xr:uid="{44C5B373-E55B-49F9-A42B-A24AD15ADE12}"/>
    <cellStyle name="Normal 4 6 2 2 2 3 2 4" xfId="21298" xr:uid="{6B23C6CC-7C42-464F-9126-485133EC9401}"/>
    <cellStyle name="Normal 4 6 2 2 2 3 2 5" xfId="29745" xr:uid="{D9291B8B-D7A2-48D3-84E7-F9F661717C0E}"/>
    <cellStyle name="Normal 4 6 2 2 2 3 3" xfId="5597" xr:uid="{00000000-0005-0000-0000-00000D160000}"/>
    <cellStyle name="Normal 4 6 2 2 2 3 3 2" xfId="14923" xr:uid="{01D2E9F0-D980-4F80-980E-3A6DB4E39A72}"/>
    <cellStyle name="Normal 4 6 2 2 2 3 3 3" xfId="23370" xr:uid="{DBDAAFE1-028B-4D05-B51C-125367BB34CA}"/>
    <cellStyle name="Normal 4 6 2 2 2 3 3 4" xfId="31817" xr:uid="{1BC86949-F26B-414D-88E6-ADC22DFF75E6}"/>
    <cellStyle name="Normal 4 6 2 2 2 3 4" xfId="10706" xr:uid="{7D2AE430-135C-4C72-8166-5AE43F8E7AB9}"/>
    <cellStyle name="Normal 4 6 2 2 2 3 5" xfId="19153" xr:uid="{4F44EA82-9A75-4C1D-82BB-FC81F2A0B1E7}"/>
    <cellStyle name="Normal 4 6 2 2 2 3 6" xfId="27600" xr:uid="{7777BD55-0A44-4495-AAAE-763386B2743F}"/>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17481" xr:uid="{F741BB7C-6253-4C44-AC16-D88A78CDA469}"/>
    <cellStyle name="Normal 4 6 2 2 2 4 2 2 3" xfId="25928" xr:uid="{D5F8719B-D463-453F-A275-8875C653DCD4}"/>
    <cellStyle name="Normal 4 6 2 2 2 4 2 2 4" xfId="34375" xr:uid="{F78EF431-BA76-4AE5-848F-F9C40FAAA3E8}"/>
    <cellStyle name="Normal 4 6 2 2 2 4 2 3" xfId="13264" xr:uid="{3BE2DB76-6596-482D-BF47-8AED39EDCB69}"/>
    <cellStyle name="Normal 4 6 2 2 2 4 2 4" xfId="21711" xr:uid="{F7807F07-D15C-4754-856C-E737FED1FC2C}"/>
    <cellStyle name="Normal 4 6 2 2 2 4 2 5" xfId="30158" xr:uid="{75A568F5-B2EE-4388-B0D0-A440AF15D67A}"/>
    <cellStyle name="Normal 4 6 2 2 2 4 3" xfId="6010" xr:uid="{00000000-0005-0000-0000-000011160000}"/>
    <cellStyle name="Normal 4 6 2 2 2 4 3 2" xfId="15336" xr:uid="{C9838A5B-847B-4380-ACC6-F84DF3F7C12C}"/>
    <cellStyle name="Normal 4 6 2 2 2 4 3 3" xfId="23783" xr:uid="{5548D3BC-B554-4FB5-9759-2162FF0370EE}"/>
    <cellStyle name="Normal 4 6 2 2 2 4 3 4" xfId="32230" xr:uid="{443D1DF4-A931-420B-A8B0-4A3F846DE827}"/>
    <cellStyle name="Normal 4 6 2 2 2 4 4" xfId="11119" xr:uid="{026D7E35-58AD-4446-BFAD-1D13C181B380}"/>
    <cellStyle name="Normal 4 6 2 2 2 4 5" xfId="19566" xr:uid="{B8533775-30BA-48ED-9533-5FE8D299933A}"/>
    <cellStyle name="Normal 4 6 2 2 2 4 6" xfId="28013" xr:uid="{FF297493-A1A4-45A9-84C8-257481E8BA57}"/>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17894" xr:uid="{D6099E40-961D-4CF6-BC14-E2EA0CF8E620}"/>
    <cellStyle name="Normal 4 6 2 2 2 5 2 2 3" xfId="26341" xr:uid="{8A8A18D8-DD1A-4C61-94E1-CF51363975CD}"/>
    <cellStyle name="Normal 4 6 2 2 2 5 2 2 4" xfId="34788" xr:uid="{F07E7715-4CAD-40BE-8D45-C322D6648DFC}"/>
    <cellStyle name="Normal 4 6 2 2 2 5 2 3" xfId="13677" xr:uid="{33C4C223-990B-48DD-9DA0-90B334F51BE5}"/>
    <cellStyle name="Normal 4 6 2 2 2 5 2 4" xfId="22124" xr:uid="{3C1C91FE-4479-481F-A1AB-A51998338B78}"/>
    <cellStyle name="Normal 4 6 2 2 2 5 2 5" xfId="30571" xr:uid="{50BE6DE2-4387-4811-93E8-08177FA47481}"/>
    <cellStyle name="Normal 4 6 2 2 2 5 3" xfId="6423" xr:uid="{00000000-0005-0000-0000-000015160000}"/>
    <cellStyle name="Normal 4 6 2 2 2 5 3 2" xfId="15749" xr:uid="{8742A75B-D8CB-4E6D-BA0A-4B551330AE26}"/>
    <cellStyle name="Normal 4 6 2 2 2 5 3 3" xfId="24196" xr:uid="{D3A094C1-A9B6-4EF0-9C09-38AE9E3565F7}"/>
    <cellStyle name="Normal 4 6 2 2 2 5 3 4" xfId="32643" xr:uid="{D4403CF3-B2E0-4BFB-8C50-0CAEA0EF5530}"/>
    <cellStyle name="Normal 4 6 2 2 2 5 4" xfId="11532" xr:uid="{F21FF29B-C4E8-406F-9966-C12EB58B5632}"/>
    <cellStyle name="Normal 4 6 2 2 2 5 5" xfId="19979" xr:uid="{212C26D8-6607-4D12-B0AF-DF1A328DAB8A}"/>
    <cellStyle name="Normal 4 6 2 2 2 5 6" xfId="28426" xr:uid="{CFBF2325-4CA3-4526-8184-93696109DA56}"/>
    <cellStyle name="Normal 4 6 2 2 2 6" xfId="2553" xr:uid="{00000000-0005-0000-0000-000016160000}"/>
    <cellStyle name="Normal 4 6 2 2 2 6 2" xfId="6836" xr:uid="{00000000-0005-0000-0000-000017160000}"/>
    <cellStyle name="Normal 4 6 2 2 2 6 2 2" xfId="16162" xr:uid="{6E7E02A4-B1ED-4D1E-B0AC-4C944F085F65}"/>
    <cellStyle name="Normal 4 6 2 2 2 6 2 3" xfId="24609" xr:uid="{C9C7E669-16F2-4F47-818E-EB17F7BAB3F3}"/>
    <cellStyle name="Normal 4 6 2 2 2 6 2 4" xfId="33056" xr:uid="{22C3E351-1DD0-4B7B-85F5-411B29B2A80D}"/>
    <cellStyle name="Normal 4 6 2 2 2 6 3" xfId="11945" xr:uid="{447BF482-C92F-4CB2-A290-C42B829FCEFC}"/>
    <cellStyle name="Normal 4 6 2 2 2 6 4" xfId="20392" xr:uid="{793BF11A-552A-40CC-A41F-0F4A685C781F}"/>
    <cellStyle name="Normal 4 6 2 2 2 6 5" xfId="28839" xr:uid="{DC38A373-3463-4DFB-B06F-D345D0529C62}"/>
    <cellStyle name="Normal 4 6 2 2 2 7" xfId="4771" xr:uid="{00000000-0005-0000-0000-000018160000}"/>
    <cellStyle name="Normal 4 6 2 2 2 7 2" xfId="14097" xr:uid="{DCBBCFCB-F23E-44F3-A2B4-D2BB1D934141}"/>
    <cellStyle name="Normal 4 6 2 2 2 7 3" xfId="22544" xr:uid="{BDDAB422-6801-4C24-985B-430931AB9194}"/>
    <cellStyle name="Normal 4 6 2 2 2 7 4" xfId="30991" xr:uid="{A8E18169-44A4-474C-8AE2-B5B7FD7D1778}"/>
    <cellStyle name="Normal 4 6 2 2 2 8" xfId="9135" xr:uid="{2F4C420F-13DD-45DD-99DD-C7AFF7CD7823}"/>
    <cellStyle name="Normal 4 6 2 2 2 9" xfId="9880" xr:uid="{5076822B-93F8-46E4-BC30-8262B5AE0F29}"/>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16654" xr:uid="{85F0F942-143A-4B79-AF27-2BFF0B8BB6BD}"/>
    <cellStyle name="Normal 4 6 2 2 3 2 2 3" xfId="25101" xr:uid="{508CAF2F-B850-4A55-8833-62CE3293B5EF}"/>
    <cellStyle name="Normal 4 6 2 2 3 2 2 4" xfId="33548" xr:uid="{BCF28914-91EC-439A-B82F-18EA8126BAB9}"/>
    <cellStyle name="Normal 4 6 2 2 3 2 3" xfId="12437" xr:uid="{6052805E-37A9-4B26-B5E2-F7F0462DF54B}"/>
    <cellStyle name="Normal 4 6 2 2 3 2 4" xfId="20884" xr:uid="{A050BE3D-2D07-4915-80F7-4531460FFA1A}"/>
    <cellStyle name="Normal 4 6 2 2 3 2 5" xfId="29331" xr:uid="{AF96634A-64A2-491A-B535-FB93DFA1CBC8}"/>
    <cellStyle name="Normal 4 6 2 2 3 3" xfId="5183" xr:uid="{00000000-0005-0000-0000-00001C160000}"/>
    <cellStyle name="Normal 4 6 2 2 3 3 2" xfId="14509" xr:uid="{778724E5-5329-4D04-A4BE-792737146DEA}"/>
    <cellStyle name="Normal 4 6 2 2 3 3 3" xfId="22956" xr:uid="{8B6453B6-C840-497D-8B8D-26E84640A806}"/>
    <cellStyle name="Normal 4 6 2 2 3 3 4" xfId="31403" xr:uid="{B7513A19-144D-46B8-9CDA-20D5555CE64D}"/>
    <cellStyle name="Normal 4 6 2 2 3 4" xfId="9353" xr:uid="{60C7EC16-17DE-43AF-A246-41C667B376B7}"/>
    <cellStyle name="Normal 4 6 2 2 3 5" xfId="10292" xr:uid="{F94606DB-2FAD-4B6F-85A1-191C8C55CF82}"/>
    <cellStyle name="Normal 4 6 2 2 3 6" xfId="18739" xr:uid="{0284DCC7-E190-452D-9843-8B4DC16EE6CC}"/>
    <cellStyle name="Normal 4 6 2 2 3 7" xfId="27186" xr:uid="{B422121A-CDDB-4F3E-9D35-83181A8E59A8}"/>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17067" xr:uid="{1BA32386-6CFD-4514-AD1D-E3FE8DFB442F}"/>
    <cellStyle name="Normal 4 6 2 2 4 2 2 3" xfId="25514" xr:uid="{F06270D5-481C-4C16-9AC2-668D13182304}"/>
    <cellStyle name="Normal 4 6 2 2 4 2 2 4" xfId="33961" xr:uid="{E4653351-3CEB-4A2D-ABBA-5D5C928E1A79}"/>
    <cellStyle name="Normal 4 6 2 2 4 2 3" xfId="12850" xr:uid="{B3604E25-8E23-43A6-B715-86E3192282E6}"/>
    <cellStyle name="Normal 4 6 2 2 4 2 4" xfId="21297" xr:uid="{682E1CA6-776C-4A09-AFE6-3A37B1259C7B}"/>
    <cellStyle name="Normal 4 6 2 2 4 2 5" xfId="29744" xr:uid="{A80C8E46-B79B-4040-B7B8-65E67FA49ABC}"/>
    <cellStyle name="Normal 4 6 2 2 4 3" xfId="5596" xr:uid="{00000000-0005-0000-0000-000020160000}"/>
    <cellStyle name="Normal 4 6 2 2 4 3 2" xfId="14922" xr:uid="{8EB82477-9831-4A2E-B9D8-7AF16D3C19B3}"/>
    <cellStyle name="Normal 4 6 2 2 4 3 3" xfId="23369" xr:uid="{CF7E5801-48B6-4EBF-B476-060C2135EC2B}"/>
    <cellStyle name="Normal 4 6 2 2 4 3 4" xfId="31816" xr:uid="{0D0D1F64-3F19-496A-9FC6-E509C59E6AC5}"/>
    <cellStyle name="Normal 4 6 2 2 4 4" xfId="10705" xr:uid="{BDAAE152-B033-4C62-ABF6-1694F1B1B7CA}"/>
    <cellStyle name="Normal 4 6 2 2 4 5" xfId="19152" xr:uid="{151F67F1-7D8E-493F-8236-694EF6289D9B}"/>
    <cellStyle name="Normal 4 6 2 2 4 6" xfId="27599" xr:uid="{454F4A7D-8F6D-4521-9040-487EA1E84D18}"/>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17480" xr:uid="{A879D26F-6ACE-485B-A6D2-43022CFC4F76}"/>
    <cellStyle name="Normal 4 6 2 2 5 2 2 3" xfId="25927" xr:uid="{CDD145E2-EAB9-4BE0-9C38-54E654A34C2E}"/>
    <cellStyle name="Normal 4 6 2 2 5 2 2 4" xfId="34374" xr:uid="{C084104D-2F68-4585-800D-CBCF9F54538B}"/>
    <cellStyle name="Normal 4 6 2 2 5 2 3" xfId="13263" xr:uid="{EAD6509A-689D-4FAD-B40F-AD50156B593C}"/>
    <cellStyle name="Normal 4 6 2 2 5 2 4" xfId="21710" xr:uid="{9F5F515D-429A-45DD-84E4-A6932682A442}"/>
    <cellStyle name="Normal 4 6 2 2 5 2 5" xfId="30157" xr:uid="{5516BF26-76B1-42B9-A371-2B1FCDDCF6E6}"/>
    <cellStyle name="Normal 4 6 2 2 5 3" xfId="6009" xr:uid="{00000000-0005-0000-0000-000024160000}"/>
    <cellStyle name="Normal 4 6 2 2 5 3 2" xfId="15335" xr:uid="{A6A5274E-EDE6-4365-A28F-27BCB3E93E8E}"/>
    <cellStyle name="Normal 4 6 2 2 5 3 3" xfId="23782" xr:uid="{2E4A1AE7-8347-439D-99AF-06EC2277DE23}"/>
    <cellStyle name="Normal 4 6 2 2 5 3 4" xfId="32229" xr:uid="{5561E955-6745-491C-9F29-F75382CBAF10}"/>
    <cellStyle name="Normal 4 6 2 2 5 4" xfId="11118" xr:uid="{45BDFB62-597B-45FC-9A64-2BD6EC0F1FF5}"/>
    <cellStyle name="Normal 4 6 2 2 5 5" xfId="19565" xr:uid="{C509F6AD-537F-47C4-9B60-1A17ADCD87AA}"/>
    <cellStyle name="Normal 4 6 2 2 5 6" xfId="28012" xr:uid="{410A75E2-30D3-496D-948F-82E4A1D76F2D}"/>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17893" xr:uid="{E3231DD7-E636-4C72-95CF-D8589D082A1A}"/>
    <cellStyle name="Normal 4 6 2 2 6 2 2 3" xfId="26340" xr:uid="{176EE706-A42B-49B8-B160-8A0A2CC21AEF}"/>
    <cellStyle name="Normal 4 6 2 2 6 2 2 4" xfId="34787" xr:uid="{B4A72280-65EF-416A-9ED6-3BDA62D8AFFB}"/>
    <cellStyle name="Normal 4 6 2 2 6 2 3" xfId="13676" xr:uid="{3067AE3A-59E0-4D54-88BB-BA6FC055DDDE}"/>
    <cellStyle name="Normal 4 6 2 2 6 2 4" xfId="22123" xr:uid="{5151B0C3-F541-4EBE-AAA3-F668D572A474}"/>
    <cellStyle name="Normal 4 6 2 2 6 2 5" xfId="30570" xr:uid="{CF828128-01B9-483D-947F-A6E41D44E5B1}"/>
    <cellStyle name="Normal 4 6 2 2 6 3" xfId="6422" xr:uid="{00000000-0005-0000-0000-000028160000}"/>
    <cellStyle name="Normal 4 6 2 2 6 3 2" xfId="15748" xr:uid="{B54998D8-A913-4942-876B-7BD8625E43CE}"/>
    <cellStyle name="Normal 4 6 2 2 6 3 3" xfId="24195" xr:uid="{7581C4B6-BA56-48F3-8C66-05F804C214D4}"/>
    <cellStyle name="Normal 4 6 2 2 6 3 4" xfId="32642" xr:uid="{D579D5F9-A1FB-4044-8639-A9B1A26875F3}"/>
    <cellStyle name="Normal 4 6 2 2 6 4" xfId="11531" xr:uid="{E2D4D1B5-D13E-4017-B6C6-E72053891E9E}"/>
    <cellStyle name="Normal 4 6 2 2 6 5" xfId="19978" xr:uid="{181E0CA9-F740-440E-A6A9-C205DB78AC9B}"/>
    <cellStyle name="Normal 4 6 2 2 6 6" xfId="28425" xr:uid="{411C86D8-98D1-4BFE-AAF5-83C25F8DFDC5}"/>
    <cellStyle name="Normal 4 6 2 2 7" xfId="2552" xr:uid="{00000000-0005-0000-0000-000029160000}"/>
    <cellStyle name="Normal 4 6 2 2 7 2" xfId="6835" xr:uid="{00000000-0005-0000-0000-00002A160000}"/>
    <cellStyle name="Normal 4 6 2 2 7 2 2" xfId="16161" xr:uid="{8D48E9FE-B8BE-4BF5-9A95-C9B9F93D7694}"/>
    <cellStyle name="Normal 4 6 2 2 7 2 3" xfId="24608" xr:uid="{986207A2-753A-4141-8715-9FA8E926CDD0}"/>
    <cellStyle name="Normal 4 6 2 2 7 2 4" xfId="33055" xr:uid="{B5E4E212-4F28-4A81-A168-2FC9AC4A90B1}"/>
    <cellStyle name="Normal 4 6 2 2 7 3" xfId="11944" xr:uid="{7BBA569A-86A8-41B4-A5F8-7FEA1BCAFA20}"/>
    <cellStyle name="Normal 4 6 2 2 7 4" xfId="20391" xr:uid="{9323FCE9-5FAA-496F-B220-964A82B8A782}"/>
    <cellStyle name="Normal 4 6 2 2 7 5" xfId="28838" xr:uid="{05564EC0-5137-4277-AC8F-5E0E96BC6E17}"/>
    <cellStyle name="Normal 4 6 2 2 8" xfId="4770" xr:uid="{00000000-0005-0000-0000-00002B160000}"/>
    <cellStyle name="Normal 4 6 2 2 8 2" xfId="14096" xr:uid="{6FA440FB-A49D-45BB-AD3A-EA24072A0E41}"/>
    <cellStyle name="Normal 4 6 2 2 8 3" xfId="22543" xr:uid="{DE8F6158-07BA-472C-A7B7-0D4BCD1591CB}"/>
    <cellStyle name="Normal 4 6 2 2 8 4" xfId="30990" xr:uid="{43D26D4A-D485-48E1-BA1D-9A40DE4595DA}"/>
    <cellStyle name="Normal 4 6 2 2 9" xfId="8928" xr:uid="{EC58FE5E-68BA-4864-AD86-0F9D1DB17AD0}"/>
    <cellStyle name="Normal 4 6 2 3" xfId="399" xr:uid="{00000000-0005-0000-0000-00002C160000}"/>
    <cellStyle name="Normal 4 6 2 3 10" xfId="18328" xr:uid="{16AFA553-7143-406C-971B-F2316FC8D9D4}"/>
    <cellStyle name="Normal 4 6 2 3 11" xfId="26775" xr:uid="{CD19ECE4-E184-4164-BF2F-5D1D6482832E}"/>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16656" xr:uid="{AC79A19C-FF22-425A-BFBB-D30141F35A1F}"/>
    <cellStyle name="Normal 4 6 2 3 2 2 2 3" xfId="25103" xr:uid="{8A696743-55E0-4218-B4ED-61C2EE54F278}"/>
    <cellStyle name="Normal 4 6 2 3 2 2 2 4" xfId="33550" xr:uid="{226987EE-02A2-40DE-A6A5-5C2440F72375}"/>
    <cellStyle name="Normal 4 6 2 3 2 2 3" xfId="12439" xr:uid="{EDAD2C32-FF1F-40C5-8EFE-23FB5D5F908E}"/>
    <cellStyle name="Normal 4 6 2 3 2 2 4" xfId="20886" xr:uid="{F3FA1B8D-172B-4EAD-AD82-57CDBC9D378C}"/>
    <cellStyle name="Normal 4 6 2 3 2 2 5" xfId="29333" xr:uid="{BD990C04-4084-40C1-B847-70D8B6C74E90}"/>
    <cellStyle name="Normal 4 6 2 3 2 3" xfId="5185" xr:uid="{00000000-0005-0000-0000-000030160000}"/>
    <cellStyle name="Normal 4 6 2 3 2 3 2" xfId="14511" xr:uid="{2F4F8686-D28C-4AC7-8BFB-3C46B912D46E}"/>
    <cellStyle name="Normal 4 6 2 3 2 3 3" xfId="22958" xr:uid="{1D653486-14AD-4237-8851-B7D11EABAC66}"/>
    <cellStyle name="Normal 4 6 2 3 2 3 4" xfId="31405" xr:uid="{F83B79AA-5EBC-41DD-81E1-98B2FE4E55FD}"/>
    <cellStyle name="Normal 4 6 2 3 2 4" xfId="9457" xr:uid="{E86AED2D-42AD-49DE-9461-1FA72B82C89E}"/>
    <cellStyle name="Normal 4 6 2 3 2 5" xfId="10294" xr:uid="{1450651D-9DCC-48F9-8371-7A31B42C7609}"/>
    <cellStyle name="Normal 4 6 2 3 2 6" xfId="18741" xr:uid="{5FB75813-78A3-4D02-B5DF-EE4568E360B5}"/>
    <cellStyle name="Normal 4 6 2 3 2 7" xfId="27188" xr:uid="{12550FB0-BEFB-4A14-BAEC-810CDE2156A5}"/>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17069" xr:uid="{138C9953-26FB-49E5-BDEA-E5E7E51CD8A8}"/>
    <cellStyle name="Normal 4 6 2 3 3 2 2 3" xfId="25516" xr:uid="{B797164A-22D3-4A84-9092-CA677DA72FF2}"/>
    <cellStyle name="Normal 4 6 2 3 3 2 2 4" xfId="33963" xr:uid="{7C7EA47B-CA42-4040-AC97-F8DBE8631005}"/>
    <cellStyle name="Normal 4 6 2 3 3 2 3" xfId="12852" xr:uid="{77463724-C691-428E-9C11-5964D709F9A3}"/>
    <cellStyle name="Normal 4 6 2 3 3 2 4" xfId="21299" xr:uid="{FADCA947-335E-41DB-B797-9B27DA8AF385}"/>
    <cellStyle name="Normal 4 6 2 3 3 2 5" xfId="29746" xr:uid="{B41DF629-D78A-4780-8867-546A9AAF440B}"/>
    <cellStyle name="Normal 4 6 2 3 3 3" xfId="5598" xr:uid="{00000000-0005-0000-0000-000034160000}"/>
    <cellStyle name="Normal 4 6 2 3 3 3 2" xfId="14924" xr:uid="{50421961-17B8-482F-8246-E80C1E7C954D}"/>
    <cellStyle name="Normal 4 6 2 3 3 3 3" xfId="23371" xr:uid="{C6185037-A8D6-452A-87A3-E1B293BC61EA}"/>
    <cellStyle name="Normal 4 6 2 3 3 3 4" xfId="31818" xr:uid="{B2DBDE30-A11B-416E-BEC3-D3B28173A73C}"/>
    <cellStyle name="Normal 4 6 2 3 3 4" xfId="10707" xr:uid="{68BB4BBF-E60C-4950-B436-2E22948AA3EA}"/>
    <cellStyle name="Normal 4 6 2 3 3 5" xfId="19154" xr:uid="{69BC8918-AE20-44B6-A27F-25DAD72D269F}"/>
    <cellStyle name="Normal 4 6 2 3 3 6" xfId="27601" xr:uid="{363CEB4E-D5BA-415E-B138-12E885F02A9F}"/>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17482" xr:uid="{499E5564-2CC4-406E-8F10-47F5E096280E}"/>
    <cellStyle name="Normal 4 6 2 3 4 2 2 3" xfId="25929" xr:uid="{6CB34754-3CB5-4102-BB99-B8C477ADBFDF}"/>
    <cellStyle name="Normal 4 6 2 3 4 2 2 4" xfId="34376" xr:uid="{8F0D51F1-2BAB-45E7-88A1-760767FFE1C5}"/>
    <cellStyle name="Normal 4 6 2 3 4 2 3" xfId="13265" xr:uid="{648299D1-731F-4FCF-B21C-89BB2B5F6014}"/>
    <cellStyle name="Normal 4 6 2 3 4 2 4" xfId="21712" xr:uid="{BFDBDF26-4122-4170-9704-77500EAA2AFB}"/>
    <cellStyle name="Normal 4 6 2 3 4 2 5" xfId="30159" xr:uid="{A39E9DEF-1658-4D7E-8E38-2227468D9C62}"/>
    <cellStyle name="Normal 4 6 2 3 4 3" xfId="6011" xr:uid="{00000000-0005-0000-0000-000038160000}"/>
    <cellStyle name="Normal 4 6 2 3 4 3 2" xfId="15337" xr:uid="{5B243D77-63D3-4416-9427-0D9ED7E0427F}"/>
    <cellStyle name="Normal 4 6 2 3 4 3 3" xfId="23784" xr:uid="{95C5190E-3C20-4D09-BEB8-65A130B2FF1C}"/>
    <cellStyle name="Normal 4 6 2 3 4 3 4" xfId="32231" xr:uid="{C0D843DE-9B01-4440-B048-14B557C3302C}"/>
    <cellStyle name="Normal 4 6 2 3 4 4" xfId="11120" xr:uid="{700BA773-7F8C-45F7-ACCF-36B62C2A9913}"/>
    <cellStyle name="Normal 4 6 2 3 4 5" xfId="19567" xr:uid="{A75E4944-3C37-4A5D-837A-ABCE225EE5A5}"/>
    <cellStyle name="Normal 4 6 2 3 4 6" xfId="28014" xr:uid="{EB324CDF-66B5-4855-82F7-E7D8FC27238E}"/>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17895" xr:uid="{65DA9B3B-1DFC-42AB-8BD6-7C2DCDEB1951}"/>
    <cellStyle name="Normal 4 6 2 3 5 2 2 3" xfId="26342" xr:uid="{8A7D7AFA-1780-4C1D-8E03-3A20937A7BFC}"/>
    <cellStyle name="Normal 4 6 2 3 5 2 2 4" xfId="34789" xr:uid="{A841ABA6-A425-4E46-9DE9-924DA1865402}"/>
    <cellStyle name="Normal 4 6 2 3 5 2 3" xfId="13678" xr:uid="{8AB3BEB4-7B9E-468F-908E-46635F6D56D6}"/>
    <cellStyle name="Normal 4 6 2 3 5 2 4" xfId="22125" xr:uid="{DE66B75F-099D-4BC5-AF3D-14B27534A56A}"/>
    <cellStyle name="Normal 4 6 2 3 5 2 5" xfId="30572" xr:uid="{38D67638-EA16-439C-A32E-A5BE7EFD7631}"/>
    <cellStyle name="Normal 4 6 2 3 5 3" xfId="6424" xr:uid="{00000000-0005-0000-0000-00003C160000}"/>
    <cellStyle name="Normal 4 6 2 3 5 3 2" xfId="15750" xr:uid="{C8CB04E2-423C-4587-B20E-A3A980582226}"/>
    <cellStyle name="Normal 4 6 2 3 5 3 3" xfId="24197" xr:uid="{CF17A786-1488-455E-A249-57214D144AD8}"/>
    <cellStyle name="Normal 4 6 2 3 5 3 4" xfId="32644" xr:uid="{CD8252CA-353C-41CD-A21D-B8C05E33A044}"/>
    <cellStyle name="Normal 4 6 2 3 5 4" xfId="11533" xr:uid="{0D4DEB9E-5A06-4456-85CF-872E76955F60}"/>
    <cellStyle name="Normal 4 6 2 3 5 5" xfId="19980" xr:uid="{FFFADAFE-7DA9-41CF-9267-7D6C933EB0E1}"/>
    <cellStyle name="Normal 4 6 2 3 5 6" xfId="28427" xr:uid="{2037448E-73CA-49B5-862C-4D711BAA1450}"/>
    <cellStyle name="Normal 4 6 2 3 6" xfId="2554" xr:uid="{00000000-0005-0000-0000-00003D160000}"/>
    <cellStyle name="Normal 4 6 2 3 6 2" xfId="6837" xr:uid="{00000000-0005-0000-0000-00003E160000}"/>
    <cellStyle name="Normal 4 6 2 3 6 2 2" xfId="16163" xr:uid="{3F709CDA-F71E-4EFC-9A7C-12DECD4E1D48}"/>
    <cellStyle name="Normal 4 6 2 3 6 2 3" xfId="24610" xr:uid="{86B672C0-BB7C-4E40-82D2-CF13BB330694}"/>
    <cellStyle name="Normal 4 6 2 3 6 2 4" xfId="33057" xr:uid="{6A9F330F-0A8D-474B-9E24-2A48C4435D10}"/>
    <cellStyle name="Normal 4 6 2 3 6 3" xfId="11946" xr:uid="{8A4909C1-506C-4E2B-B4E9-7C24331FA097}"/>
    <cellStyle name="Normal 4 6 2 3 6 4" xfId="20393" xr:uid="{625A4741-F737-4417-B2DE-7B1932F8411C}"/>
    <cellStyle name="Normal 4 6 2 3 6 5" xfId="28840" xr:uid="{8722237B-4224-4A80-9B62-4998C58E16B6}"/>
    <cellStyle name="Normal 4 6 2 3 7" xfId="4772" xr:uid="{00000000-0005-0000-0000-00003F160000}"/>
    <cellStyle name="Normal 4 6 2 3 7 2" xfId="14098" xr:uid="{4EE63D0D-B9FD-4F37-A364-3847C75D93DC}"/>
    <cellStyle name="Normal 4 6 2 3 7 3" xfId="22545" xr:uid="{FD7D1960-9E8C-4A65-89F7-730AD969B9B9}"/>
    <cellStyle name="Normal 4 6 2 3 7 4" xfId="30992" xr:uid="{111D10E9-CAFA-4EEC-B6B5-2914C9CBDE3A}"/>
    <cellStyle name="Normal 4 6 2 3 8" xfId="9032" xr:uid="{576A1DC5-5971-4772-803F-0A60F80D4C41}"/>
    <cellStyle name="Normal 4 6 2 3 9" xfId="9881" xr:uid="{4AB63F9D-DAEC-4896-A5EA-F13C803102C1}"/>
    <cellStyle name="Normal 4 6 2 4" xfId="870" xr:uid="{00000000-0005-0000-0000-000040160000}"/>
    <cellStyle name="Normal 4 6 2 4 2" xfId="3105" xr:uid="{00000000-0005-0000-0000-000041160000}"/>
    <cellStyle name="Normal 4 6 2 4 2 2" xfId="7327" xr:uid="{00000000-0005-0000-0000-000042160000}"/>
    <cellStyle name="Normal 4 6 2 4 2 2 2" xfId="16653" xr:uid="{C619F9E6-FF01-470B-927A-6B154BB65631}"/>
    <cellStyle name="Normal 4 6 2 4 2 2 3" xfId="25100" xr:uid="{77C836B4-18E5-4B92-94EF-C84875D78F97}"/>
    <cellStyle name="Normal 4 6 2 4 2 2 4" xfId="33547" xr:uid="{10797E2E-1F70-4716-998E-F5D6F29F8CDF}"/>
    <cellStyle name="Normal 4 6 2 4 2 3" xfId="12436" xr:uid="{2A83198C-4309-40BB-98C7-23F384D243A0}"/>
    <cellStyle name="Normal 4 6 2 4 2 4" xfId="20883" xr:uid="{E4CB5D1C-CD76-42EF-91A9-19AA2652710D}"/>
    <cellStyle name="Normal 4 6 2 4 2 5" xfId="29330" xr:uid="{3E501798-88CB-4680-8E85-EC43BF7CB6DD}"/>
    <cellStyle name="Normal 4 6 2 4 3" xfId="5182" xr:uid="{00000000-0005-0000-0000-000043160000}"/>
    <cellStyle name="Normal 4 6 2 4 3 2" xfId="14508" xr:uid="{CD198E8C-922D-410A-A346-D29AEDF571D2}"/>
    <cellStyle name="Normal 4 6 2 4 3 3" xfId="22955" xr:uid="{10BCDABE-B7EB-4706-9EF2-B1DDC8724E02}"/>
    <cellStyle name="Normal 4 6 2 4 3 4" xfId="31402" xr:uid="{FBBF1A1D-376C-4E4E-B086-F610A2695BA5}"/>
    <cellStyle name="Normal 4 6 2 4 4" xfId="9250" xr:uid="{CBBC9A51-5203-4C00-93C7-FE7C973DCDD1}"/>
    <cellStyle name="Normal 4 6 2 4 5" xfId="10291" xr:uid="{E7A8690B-1FCE-4239-BEC1-D1D259CC4C70}"/>
    <cellStyle name="Normal 4 6 2 4 6" xfId="18738" xr:uid="{5967FDFB-2B3C-4B61-94B7-BC730BC248B8}"/>
    <cellStyle name="Normal 4 6 2 4 7" xfId="27185" xr:uid="{CBE3954A-8E9D-4AE6-9626-57680983F633}"/>
    <cellStyle name="Normal 4 6 2 5" xfId="1288" xr:uid="{00000000-0005-0000-0000-000044160000}"/>
    <cellStyle name="Normal 4 6 2 5 2" xfId="3518" xr:uid="{00000000-0005-0000-0000-000045160000}"/>
    <cellStyle name="Normal 4 6 2 5 2 2" xfId="7740" xr:uid="{00000000-0005-0000-0000-000046160000}"/>
    <cellStyle name="Normal 4 6 2 5 2 2 2" xfId="17066" xr:uid="{B7BD8818-9CC5-409A-9E0F-7BD49C83DA2F}"/>
    <cellStyle name="Normal 4 6 2 5 2 2 3" xfId="25513" xr:uid="{41578FB5-0AA0-4EB6-B924-684D2205F997}"/>
    <cellStyle name="Normal 4 6 2 5 2 2 4" xfId="33960" xr:uid="{B89F3F87-5188-46C0-8F64-DF4D44B57EF2}"/>
    <cellStyle name="Normal 4 6 2 5 2 3" xfId="12849" xr:uid="{3CD2EBB6-CDE3-4F2F-824B-291B49330944}"/>
    <cellStyle name="Normal 4 6 2 5 2 4" xfId="21296" xr:uid="{27B75BED-D67D-4971-B0F2-7BEF032DE3C8}"/>
    <cellStyle name="Normal 4 6 2 5 2 5" xfId="29743" xr:uid="{7B932759-F398-4F35-9406-1D540B5D585C}"/>
    <cellStyle name="Normal 4 6 2 5 3" xfId="5595" xr:uid="{00000000-0005-0000-0000-000047160000}"/>
    <cellStyle name="Normal 4 6 2 5 3 2" xfId="14921" xr:uid="{DF90D7D1-A0A5-4586-85AF-75B4DFC9E3C2}"/>
    <cellStyle name="Normal 4 6 2 5 3 3" xfId="23368" xr:uid="{D9F7A0DD-FB2E-4738-B830-180FE5A47BCC}"/>
    <cellStyle name="Normal 4 6 2 5 3 4" xfId="31815" xr:uid="{0F1DC054-C1D1-4EB9-B122-35FDB66F600A}"/>
    <cellStyle name="Normal 4 6 2 5 4" xfId="10704" xr:uid="{3CAA9964-54BB-4127-A473-EBBFAE1F51F1}"/>
    <cellStyle name="Normal 4 6 2 5 5" xfId="19151" xr:uid="{EFA11978-13CF-46DC-B5AF-A4A011D36150}"/>
    <cellStyle name="Normal 4 6 2 5 6" xfId="27598" xr:uid="{C000D8C0-655C-4265-8647-A762F4B4B4FB}"/>
    <cellStyle name="Normal 4 6 2 6" xfId="1701" xr:uid="{00000000-0005-0000-0000-000048160000}"/>
    <cellStyle name="Normal 4 6 2 6 2" xfId="3931" xr:uid="{00000000-0005-0000-0000-000049160000}"/>
    <cellStyle name="Normal 4 6 2 6 2 2" xfId="8153" xr:uid="{00000000-0005-0000-0000-00004A160000}"/>
    <cellStyle name="Normal 4 6 2 6 2 2 2" xfId="17479" xr:uid="{9F64FD0D-8198-415C-BD67-FE0160C1E831}"/>
    <cellStyle name="Normal 4 6 2 6 2 2 3" xfId="25926" xr:uid="{096C8E3F-DC4A-4B54-870A-116B5F4B5752}"/>
    <cellStyle name="Normal 4 6 2 6 2 2 4" xfId="34373" xr:uid="{80DB801E-E900-4B67-B1A8-6DE21CBC34E8}"/>
    <cellStyle name="Normal 4 6 2 6 2 3" xfId="13262" xr:uid="{AB6C0E9E-E6B6-4A78-9D30-BFC760CC7085}"/>
    <cellStyle name="Normal 4 6 2 6 2 4" xfId="21709" xr:uid="{267A54E8-F933-4CF2-ADC0-8DD2954F1C7F}"/>
    <cellStyle name="Normal 4 6 2 6 2 5" xfId="30156" xr:uid="{84720C2D-62EC-4E5B-A16F-99B813E00B5B}"/>
    <cellStyle name="Normal 4 6 2 6 3" xfId="6008" xr:uid="{00000000-0005-0000-0000-00004B160000}"/>
    <cellStyle name="Normal 4 6 2 6 3 2" xfId="15334" xr:uid="{CB6D090E-5FA9-48B5-844C-DD0D7963BFD6}"/>
    <cellStyle name="Normal 4 6 2 6 3 3" xfId="23781" xr:uid="{E1323B2D-89D4-4DD0-8F4C-5B66AD47DE2E}"/>
    <cellStyle name="Normal 4 6 2 6 3 4" xfId="32228" xr:uid="{2C6CBF2D-0F59-462A-9A7E-68FE128BF7AF}"/>
    <cellStyle name="Normal 4 6 2 6 4" xfId="11117" xr:uid="{AFC7749A-63BC-4946-AABA-BECF6ED39AF6}"/>
    <cellStyle name="Normal 4 6 2 6 5" xfId="19564" xr:uid="{B987A267-EA97-4B97-ABE2-31A016BE6D94}"/>
    <cellStyle name="Normal 4 6 2 6 6" xfId="28011" xr:uid="{88AAC491-A527-419B-9701-B510F5C131E0}"/>
    <cellStyle name="Normal 4 6 2 7" xfId="2115" xr:uid="{00000000-0005-0000-0000-00004C160000}"/>
    <cellStyle name="Normal 4 6 2 7 2" xfId="4344" xr:uid="{00000000-0005-0000-0000-00004D160000}"/>
    <cellStyle name="Normal 4 6 2 7 2 2" xfId="8566" xr:uid="{00000000-0005-0000-0000-00004E160000}"/>
    <cellStyle name="Normal 4 6 2 7 2 2 2" xfId="17892" xr:uid="{03F7CC41-25D9-4CC1-87A9-4A6939C8FCC9}"/>
    <cellStyle name="Normal 4 6 2 7 2 2 3" xfId="26339" xr:uid="{7C3A7A6A-EE83-47F3-95DD-B6ECC21B55D8}"/>
    <cellStyle name="Normal 4 6 2 7 2 2 4" xfId="34786" xr:uid="{E86288CC-7EA8-46FD-8CE9-DB4206EF6FD1}"/>
    <cellStyle name="Normal 4 6 2 7 2 3" xfId="13675" xr:uid="{D9A54CA1-09DC-4BC3-85F2-7B6D55412AE7}"/>
    <cellStyle name="Normal 4 6 2 7 2 4" xfId="22122" xr:uid="{5A869146-9C4F-403B-858C-BA6F62E19300}"/>
    <cellStyle name="Normal 4 6 2 7 2 5" xfId="30569" xr:uid="{7FA23F7F-C92D-4298-B70D-51B9D8D26232}"/>
    <cellStyle name="Normal 4 6 2 7 3" xfId="6421" xr:uid="{00000000-0005-0000-0000-00004F160000}"/>
    <cellStyle name="Normal 4 6 2 7 3 2" xfId="15747" xr:uid="{3FDAFCA5-7E96-4545-B089-FB4A00B95F41}"/>
    <cellStyle name="Normal 4 6 2 7 3 3" xfId="24194" xr:uid="{7E3A4077-F890-4BEA-BFF8-9972481A2EC1}"/>
    <cellStyle name="Normal 4 6 2 7 3 4" xfId="32641" xr:uid="{0507B754-F038-4FBC-8B89-04AC43CE460E}"/>
    <cellStyle name="Normal 4 6 2 7 4" xfId="11530" xr:uid="{E8E3EB68-0EC9-4035-96A2-E46C8C891C86}"/>
    <cellStyle name="Normal 4 6 2 7 5" xfId="19977" xr:uid="{296527EC-AC92-40B9-B65E-F168F84BBD10}"/>
    <cellStyle name="Normal 4 6 2 7 6" xfId="28424" xr:uid="{8F3CBE0F-030B-49FE-802B-1A262AB0DF1F}"/>
    <cellStyle name="Normal 4 6 2 8" xfId="2551" xr:uid="{00000000-0005-0000-0000-000050160000}"/>
    <cellStyle name="Normal 4 6 2 8 2" xfId="6834" xr:uid="{00000000-0005-0000-0000-000051160000}"/>
    <cellStyle name="Normal 4 6 2 8 2 2" xfId="16160" xr:uid="{F4C23F98-3A5F-431C-8639-8C6DEA5487FC}"/>
    <cellStyle name="Normal 4 6 2 8 2 3" xfId="24607" xr:uid="{D66A8C97-4727-49CD-9681-D7F682B70D0F}"/>
    <cellStyle name="Normal 4 6 2 8 2 4" xfId="33054" xr:uid="{A214ACED-5012-4BB4-BF8B-DFB10F3CDE60}"/>
    <cellStyle name="Normal 4 6 2 8 3" xfId="11943" xr:uid="{1E2D28D1-92F3-4F69-A4AC-5E62736F86E3}"/>
    <cellStyle name="Normal 4 6 2 8 4" xfId="20390" xr:uid="{F3147B28-11F1-4AA0-89EF-FEF2C53B397A}"/>
    <cellStyle name="Normal 4 6 2 8 5" xfId="28837" xr:uid="{55AFB4A2-6B4D-4F71-B87D-20A031C4593D}"/>
    <cellStyle name="Normal 4 6 2 9" xfId="4769" xr:uid="{00000000-0005-0000-0000-000052160000}"/>
    <cellStyle name="Normal 4 6 2 9 2" xfId="14095" xr:uid="{CBAFF645-6820-43E5-8E83-E46550DC084F}"/>
    <cellStyle name="Normal 4 6 2 9 3" xfId="22542" xr:uid="{77B096EF-9D51-46B5-B6CB-CD528106A2E1}"/>
    <cellStyle name="Normal 4 6 2 9 4" xfId="30989" xr:uid="{98E2B43E-4D38-42CD-86B5-63FE9C82EAD7}"/>
    <cellStyle name="Normal 4 6 3" xfId="400" xr:uid="{00000000-0005-0000-0000-000053160000}"/>
    <cellStyle name="Normal 4 6 3 10" xfId="9882" xr:uid="{30FD708A-EE09-4213-A878-2256290C22DC}"/>
    <cellStyle name="Normal 4 6 3 11" xfId="18329" xr:uid="{79E44C4E-2DDB-451A-B839-BE8B0E25FB69}"/>
    <cellStyle name="Normal 4 6 3 12" xfId="26776" xr:uid="{9CB66240-1394-4626-AE72-B09DF8A55F81}"/>
    <cellStyle name="Normal 4 6 3 2" xfId="401" xr:uid="{00000000-0005-0000-0000-000054160000}"/>
    <cellStyle name="Normal 4 6 3 2 10" xfId="18330" xr:uid="{D7A44B4C-6FC3-46A4-881E-BD15DB0342D8}"/>
    <cellStyle name="Normal 4 6 3 2 11" xfId="26777" xr:uid="{2DDF87CB-B1B4-4E01-BADF-39C809A44146}"/>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16658" xr:uid="{29C8F108-7240-4517-878C-D6B524DD033E}"/>
    <cellStyle name="Normal 4 6 3 2 2 2 2 3" xfId="25105" xr:uid="{E3DA71BC-C54C-477B-96F4-F314E5E93D92}"/>
    <cellStyle name="Normal 4 6 3 2 2 2 2 4" xfId="33552" xr:uid="{59462F32-2848-40AA-AFA3-D7D892FB9334}"/>
    <cellStyle name="Normal 4 6 3 2 2 2 3" xfId="12441" xr:uid="{79307DFF-BA36-45A1-ADBF-31D944193CD0}"/>
    <cellStyle name="Normal 4 6 3 2 2 2 4" xfId="20888" xr:uid="{154D6CD2-8C2B-4BD5-8905-E515FECF1EB4}"/>
    <cellStyle name="Normal 4 6 3 2 2 2 5" xfId="29335" xr:uid="{70B74179-38AE-47F5-80E6-250BA3EB82D2}"/>
    <cellStyle name="Normal 4 6 3 2 2 3" xfId="5187" xr:uid="{00000000-0005-0000-0000-000058160000}"/>
    <cellStyle name="Normal 4 6 3 2 2 3 2" xfId="14513" xr:uid="{89687B9D-7AE9-4FD1-9C89-3A8FF0FCFA4E}"/>
    <cellStyle name="Normal 4 6 3 2 2 3 3" xfId="22960" xr:uid="{AF5A3533-C8A1-49A6-9BB6-9DCA0349D0CB}"/>
    <cellStyle name="Normal 4 6 3 2 2 3 4" xfId="31407" xr:uid="{ADE47D08-E270-4997-B8D8-9EA166873DCC}"/>
    <cellStyle name="Normal 4 6 3 2 2 4" xfId="9507" xr:uid="{63E4C3EA-8BE6-4CDE-9E44-1D64049D4CF5}"/>
    <cellStyle name="Normal 4 6 3 2 2 5" xfId="10296" xr:uid="{5EAEF92F-7DCC-4071-BD4E-44A99D5780B9}"/>
    <cellStyle name="Normal 4 6 3 2 2 6" xfId="18743" xr:uid="{BD001660-77AA-4BF2-B06A-D9A61953F92F}"/>
    <cellStyle name="Normal 4 6 3 2 2 7" xfId="27190" xr:uid="{A7A25E3E-306F-4634-AD09-56C833705E95}"/>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17071" xr:uid="{0732692F-9C6A-430C-8594-4A165D02A2D0}"/>
    <cellStyle name="Normal 4 6 3 2 3 2 2 3" xfId="25518" xr:uid="{D8E10862-F009-4D67-941B-ACA9A06DE1E2}"/>
    <cellStyle name="Normal 4 6 3 2 3 2 2 4" xfId="33965" xr:uid="{84B8FF14-486A-4CC9-9965-387E42FB8A10}"/>
    <cellStyle name="Normal 4 6 3 2 3 2 3" xfId="12854" xr:uid="{55747568-45A0-453D-9418-FD44C333D12E}"/>
    <cellStyle name="Normal 4 6 3 2 3 2 4" xfId="21301" xr:uid="{AC6A0856-A6E7-4C05-8D2C-BDA5AC81E640}"/>
    <cellStyle name="Normal 4 6 3 2 3 2 5" xfId="29748" xr:uid="{28E8FA17-C67F-4526-A78E-E566911452CC}"/>
    <cellStyle name="Normal 4 6 3 2 3 3" xfId="5600" xr:uid="{00000000-0005-0000-0000-00005C160000}"/>
    <cellStyle name="Normal 4 6 3 2 3 3 2" xfId="14926" xr:uid="{41D8DB75-DEC6-4A8B-A2F0-4C93AC0EF6FC}"/>
    <cellStyle name="Normal 4 6 3 2 3 3 3" xfId="23373" xr:uid="{0BB710F5-C9CD-4F67-B6FB-85759A5F8C60}"/>
    <cellStyle name="Normal 4 6 3 2 3 3 4" xfId="31820" xr:uid="{AEF93EED-B003-46D4-965C-16DE075025DA}"/>
    <cellStyle name="Normal 4 6 3 2 3 4" xfId="10709" xr:uid="{B5AA20B5-BD04-44DE-BF5F-0C6FA5EB44D9}"/>
    <cellStyle name="Normal 4 6 3 2 3 5" xfId="19156" xr:uid="{19BA5F7A-6CA6-47C0-A9B9-3F69E27454CF}"/>
    <cellStyle name="Normal 4 6 3 2 3 6" xfId="27603" xr:uid="{EADBEE3C-E7C0-4270-8D64-61D4E79A834C}"/>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17484" xr:uid="{506827FD-63ED-42EC-B499-D8D0AD602F8E}"/>
    <cellStyle name="Normal 4 6 3 2 4 2 2 3" xfId="25931" xr:uid="{19DF1E48-7209-4AA7-B8F4-D9BFF0C35293}"/>
    <cellStyle name="Normal 4 6 3 2 4 2 2 4" xfId="34378" xr:uid="{CAAAB1AC-2FD8-4557-A795-ADDB9E18CE32}"/>
    <cellStyle name="Normal 4 6 3 2 4 2 3" xfId="13267" xr:uid="{A33F8958-B774-4336-9920-8E35878E7991}"/>
    <cellStyle name="Normal 4 6 3 2 4 2 4" xfId="21714" xr:uid="{ED1D0D82-A054-4A83-999A-9965EF042874}"/>
    <cellStyle name="Normal 4 6 3 2 4 2 5" xfId="30161" xr:uid="{05E7360C-0968-4181-91B7-385FF296BD7F}"/>
    <cellStyle name="Normal 4 6 3 2 4 3" xfId="6013" xr:uid="{00000000-0005-0000-0000-000060160000}"/>
    <cellStyle name="Normal 4 6 3 2 4 3 2" xfId="15339" xr:uid="{63193B4F-AB40-4C9D-B2AF-3C5DB37C07F5}"/>
    <cellStyle name="Normal 4 6 3 2 4 3 3" xfId="23786" xr:uid="{7E7E6EF0-A7A7-4CFF-8914-2A497DCAFE6D}"/>
    <cellStyle name="Normal 4 6 3 2 4 3 4" xfId="32233" xr:uid="{6FFEEAC5-1146-4C13-9EBE-1A248C97C0E6}"/>
    <cellStyle name="Normal 4 6 3 2 4 4" xfId="11122" xr:uid="{C629F323-F553-4FED-8DB9-F18092CF6195}"/>
    <cellStyle name="Normal 4 6 3 2 4 5" xfId="19569" xr:uid="{25C07A6C-9C88-4040-9402-AED1BF52BF7B}"/>
    <cellStyle name="Normal 4 6 3 2 4 6" xfId="28016" xr:uid="{2EAF7DE6-EB22-445B-91E9-C6AC5E5FD86B}"/>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17897" xr:uid="{29BDD740-2700-4722-96DA-C414D44687A0}"/>
    <cellStyle name="Normal 4 6 3 2 5 2 2 3" xfId="26344" xr:uid="{EB1806A6-BC23-4C1E-86D9-8340E28386A9}"/>
    <cellStyle name="Normal 4 6 3 2 5 2 2 4" xfId="34791" xr:uid="{7CAB3159-B584-46FA-B6CA-E78E086F2782}"/>
    <cellStyle name="Normal 4 6 3 2 5 2 3" xfId="13680" xr:uid="{94858831-E746-40CE-A799-6566F78CCD67}"/>
    <cellStyle name="Normal 4 6 3 2 5 2 4" xfId="22127" xr:uid="{F6D7AA54-B4A3-48B3-8849-0C2711E53197}"/>
    <cellStyle name="Normal 4 6 3 2 5 2 5" xfId="30574" xr:uid="{2744A8A4-21A1-4A33-96B8-08E3E5118F20}"/>
    <cellStyle name="Normal 4 6 3 2 5 3" xfId="6426" xr:uid="{00000000-0005-0000-0000-000064160000}"/>
    <cellStyle name="Normal 4 6 3 2 5 3 2" xfId="15752" xr:uid="{BE1AA06A-011B-4E34-8804-966B81CAF7E0}"/>
    <cellStyle name="Normal 4 6 3 2 5 3 3" xfId="24199" xr:uid="{292F9C2E-5814-4A95-B5F4-B0C39AF7D4AD}"/>
    <cellStyle name="Normal 4 6 3 2 5 3 4" xfId="32646" xr:uid="{4FF6CD71-19C0-48DF-97A5-D198E29E1413}"/>
    <cellStyle name="Normal 4 6 3 2 5 4" xfId="11535" xr:uid="{E41E511A-2E15-46D4-BDB9-7AE0B3411D23}"/>
    <cellStyle name="Normal 4 6 3 2 5 5" xfId="19982" xr:uid="{C77EF6F8-0264-4223-AF04-3F85F7A2B9A0}"/>
    <cellStyle name="Normal 4 6 3 2 5 6" xfId="28429" xr:uid="{86DECE99-F1C7-4CC2-8A16-20673DCB9FE9}"/>
    <cellStyle name="Normal 4 6 3 2 6" xfId="2556" xr:uid="{00000000-0005-0000-0000-000065160000}"/>
    <cellStyle name="Normal 4 6 3 2 6 2" xfId="6839" xr:uid="{00000000-0005-0000-0000-000066160000}"/>
    <cellStyle name="Normal 4 6 3 2 6 2 2" xfId="16165" xr:uid="{39AC415B-F597-4BF1-8C53-11614A266D12}"/>
    <cellStyle name="Normal 4 6 3 2 6 2 3" xfId="24612" xr:uid="{FDD650F7-BBB6-48AB-9AFC-ED30BA0496FC}"/>
    <cellStyle name="Normal 4 6 3 2 6 2 4" xfId="33059" xr:uid="{CE552243-02C0-4787-8ECD-38743DABAEC5}"/>
    <cellStyle name="Normal 4 6 3 2 6 3" xfId="11948" xr:uid="{03757588-31FA-4AB5-A089-6D68FE21D678}"/>
    <cellStyle name="Normal 4 6 3 2 6 4" xfId="20395" xr:uid="{75F76304-4962-4963-9972-04121B27FDDA}"/>
    <cellStyle name="Normal 4 6 3 2 6 5" xfId="28842" xr:uid="{30ADA1A6-A53F-4D9F-B709-A7F4EB37ECDC}"/>
    <cellStyle name="Normal 4 6 3 2 7" xfId="4774" xr:uid="{00000000-0005-0000-0000-000067160000}"/>
    <cellStyle name="Normal 4 6 3 2 7 2" xfId="14100" xr:uid="{6D60AE22-DBD4-4FB8-881D-AC764DFC9F51}"/>
    <cellStyle name="Normal 4 6 3 2 7 3" xfId="22547" xr:uid="{A0012528-E9D6-4036-B64C-57B087747A34}"/>
    <cellStyle name="Normal 4 6 3 2 7 4" xfId="30994" xr:uid="{A8CAAEB0-8F6D-4218-82E9-9D2B7234CE25}"/>
    <cellStyle name="Normal 4 6 3 2 8" xfId="9082" xr:uid="{B272D1AE-3713-4AD0-AE3F-D1A7344AD432}"/>
    <cellStyle name="Normal 4 6 3 2 9" xfId="9883" xr:uid="{710CFB85-7087-47B9-92C7-F41628044003}"/>
    <cellStyle name="Normal 4 6 3 3" xfId="874" xr:uid="{00000000-0005-0000-0000-000068160000}"/>
    <cellStyle name="Normal 4 6 3 3 2" xfId="3109" xr:uid="{00000000-0005-0000-0000-000069160000}"/>
    <cellStyle name="Normal 4 6 3 3 2 2" xfId="7331" xr:uid="{00000000-0005-0000-0000-00006A160000}"/>
    <cellStyle name="Normal 4 6 3 3 2 2 2" xfId="16657" xr:uid="{DA1A8916-59B9-456E-A7F8-4F47EBC9F9F1}"/>
    <cellStyle name="Normal 4 6 3 3 2 2 3" xfId="25104" xr:uid="{C33FB8A2-6560-4FC5-99E0-B1B6A62D1074}"/>
    <cellStyle name="Normal 4 6 3 3 2 2 4" xfId="33551" xr:uid="{BE99F769-07C6-48C0-AF8B-2972F77399D1}"/>
    <cellStyle name="Normal 4 6 3 3 2 3" xfId="12440" xr:uid="{1C63A61B-BF6C-48BD-90BB-566F8116C208}"/>
    <cellStyle name="Normal 4 6 3 3 2 4" xfId="20887" xr:uid="{03E86172-61EC-44AB-89C7-DFBC996C56F7}"/>
    <cellStyle name="Normal 4 6 3 3 2 5" xfId="29334" xr:uid="{5607E6E0-FD84-4212-98BE-EF4FCE9C285B}"/>
    <cellStyle name="Normal 4 6 3 3 3" xfId="5186" xr:uid="{00000000-0005-0000-0000-00006B160000}"/>
    <cellStyle name="Normal 4 6 3 3 3 2" xfId="14512" xr:uid="{A1A9B4DC-57CD-41F6-8D43-BC7DC8B46073}"/>
    <cellStyle name="Normal 4 6 3 3 3 3" xfId="22959" xr:uid="{02453682-E919-4ED4-BD35-99A26F6CE7E0}"/>
    <cellStyle name="Normal 4 6 3 3 3 4" xfId="31406" xr:uid="{8AC0986D-F259-42F6-8B95-78E4221977E4}"/>
    <cellStyle name="Normal 4 6 3 3 4" xfId="9300" xr:uid="{955A2E97-C871-4115-A4F5-A642AE2D2C4B}"/>
    <cellStyle name="Normal 4 6 3 3 5" xfId="10295" xr:uid="{299348C8-2DC2-4650-8F99-8D5172F5F7B4}"/>
    <cellStyle name="Normal 4 6 3 3 6" xfId="18742" xr:uid="{CD7AB00E-8BD0-4013-81F8-D4BD35C0D966}"/>
    <cellStyle name="Normal 4 6 3 3 7" xfId="27189" xr:uid="{2991A6DC-06A2-4DB4-9A2C-589C00FD443E}"/>
    <cellStyle name="Normal 4 6 3 4" xfId="1292" xr:uid="{00000000-0005-0000-0000-00006C160000}"/>
    <cellStyle name="Normal 4 6 3 4 2" xfId="3522" xr:uid="{00000000-0005-0000-0000-00006D160000}"/>
    <cellStyle name="Normal 4 6 3 4 2 2" xfId="7744" xr:uid="{00000000-0005-0000-0000-00006E160000}"/>
    <cellStyle name="Normal 4 6 3 4 2 2 2" xfId="17070" xr:uid="{1761D088-846C-4D67-BF53-CB11D5119F5B}"/>
    <cellStyle name="Normal 4 6 3 4 2 2 3" xfId="25517" xr:uid="{EF55CBA5-0D93-4978-A175-20E4A1369E03}"/>
    <cellStyle name="Normal 4 6 3 4 2 2 4" xfId="33964" xr:uid="{6D8F4D5E-A55D-4F7E-B4DB-22D4EA5DED83}"/>
    <cellStyle name="Normal 4 6 3 4 2 3" xfId="12853" xr:uid="{F4FE57DE-0D43-4027-8F32-B6D1155E4804}"/>
    <cellStyle name="Normal 4 6 3 4 2 4" xfId="21300" xr:uid="{E785D9CE-91D6-4A23-9A7C-F44CC668BF94}"/>
    <cellStyle name="Normal 4 6 3 4 2 5" xfId="29747" xr:uid="{06D49A02-1428-4766-8B5F-DFA5D509B4E4}"/>
    <cellStyle name="Normal 4 6 3 4 3" xfId="5599" xr:uid="{00000000-0005-0000-0000-00006F160000}"/>
    <cellStyle name="Normal 4 6 3 4 3 2" xfId="14925" xr:uid="{578606EB-8C65-40E0-A806-54CE9D916B63}"/>
    <cellStyle name="Normal 4 6 3 4 3 3" xfId="23372" xr:uid="{E32C2A83-0375-4D3A-BF0C-1DB3BF0709D3}"/>
    <cellStyle name="Normal 4 6 3 4 3 4" xfId="31819" xr:uid="{5FC51841-7782-476A-BD12-680915DE9E95}"/>
    <cellStyle name="Normal 4 6 3 4 4" xfId="10708" xr:uid="{529A1DA0-3541-4AE1-B314-8D1A44B622E3}"/>
    <cellStyle name="Normal 4 6 3 4 5" xfId="19155" xr:uid="{678CD23D-0D19-44E5-87C0-1FFDEAAC00DB}"/>
    <cellStyle name="Normal 4 6 3 4 6" xfId="27602" xr:uid="{DB09780F-9E8B-4B45-8CE7-A373AE73392C}"/>
    <cellStyle name="Normal 4 6 3 5" xfId="1705" xr:uid="{00000000-0005-0000-0000-000070160000}"/>
    <cellStyle name="Normal 4 6 3 5 2" xfId="3935" xr:uid="{00000000-0005-0000-0000-000071160000}"/>
    <cellStyle name="Normal 4 6 3 5 2 2" xfId="8157" xr:uid="{00000000-0005-0000-0000-000072160000}"/>
    <cellStyle name="Normal 4 6 3 5 2 2 2" xfId="17483" xr:uid="{AA94F95C-7D07-417E-B0F3-A5E7B3A8D503}"/>
    <cellStyle name="Normal 4 6 3 5 2 2 3" xfId="25930" xr:uid="{1E8EB1D9-47DC-44B7-9339-8812A6FCC214}"/>
    <cellStyle name="Normal 4 6 3 5 2 2 4" xfId="34377" xr:uid="{0E2B8499-467D-4FD1-AE31-B520E3B8C95F}"/>
    <cellStyle name="Normal 4 6 3 5 2 3" xfId="13266" xr:uid="{DAA447BA-AB73-4398-B1E3-C085030E2D33}"/>
    <cellStyle name="Normal 4 6 3 5 2 4" xfId="21713" xr:uid="{294E44FA-F6AF-4518-8E35-400E91F9AEB7}"/>
    <cellStyle name="Normal 4 6 3 5 2 5" xfId="30160" xr:uid="{C9ED0D52-6FBE-404F-B539-D745A518CE20}"/>
    <cellStyle name="Normal 4 6 3 5 3" xfId="6012" xr:uid="{00000000-0005-0000-0000-000073160000}"/>
    <cellStyle name="Normal 4 6 3 5 3 2" xfId="15338" xr:uid="{FA029109-AB8C-4481-B407-B0C708E96AD9}"/>
    <cellStyle name="Normal 4 6 3 5 3 3" xfId="23785" xr:uid="{A26EBCB4-6EAD-4C5A-B499-9A11A8E64AE4}"/>
    <cellStyle name="Normal 4 6 3 5 3 4" xfId="32232" xr:uid="{3DF6080C-DF24-47BC-828D-B9BDF3955641}"/>
    <cellStyle name="Normal 4 6 3 5 4" xfId="11121" xr:uid="{6FE41F8F-8D0C-4E9E-A139-A20183DB202B}"/>
    <cellStyle name="Normal 4 6 3 5 5" xfId="19568" xr:uid="{8B0B069F-4817-46EE-AB58-953D2B9A9765}"/>
    <cellStyle name="Normal 4 6 3 5 6" xfId="28015" xr:uid="{8ED39078-CA86-4B61-B131-2CF8EA8D4695}"/>
    <cellStyle name="Normal 4 6 3 6" xfId="2119" xr:uid="{00000000-0005-0000-0000-000074160000}"/>
    <cellStyle name="Normal 4 6 3 6 2" xfId="4348" xr:uid="{00000000-0005-0000-0000-000075160000}"/>
    <cellStyle name="Normal 4 6 3 6 2 2" xfId="8570" xr:uid="{00000000-0005-0000-0000-000076160000}"/>
    <cellStyle name="Normal 4 6 3 6 2 2 2" xfId="17896" xr:uid="{89C5A963-62B4-42C0-A38F-9157D2E14631}"/>
    <cellStyle name="Normal 4 6 3 6 2 2 3" xfId="26343" xr:uid="{484AD7C5-DA6D-417F-ACF1-15D4AFC1BE77}"/>
    <cellStyle name="Normal 4 6 3 6 2 2 4" xfId="34790" xr:uid="{FA025DFB-6CD6-4480-B2A9-162744F1B067}"/>
    <cellStyle name="Normal 4 6 3 6 2 3" xfId="13679" xr:uid="{E9414425-335D-4120-9684-E74A5324D24C}"/>
    <cellStyle name="Normal 4 6 3 6 2 4" xfId="22126" xr:uid="{EFB7259F-0831-4C21-9A54-7D4DDEDBCDB0}"/>
    <cellStyle name="Normal 4 6 3 6 2 5" xfId="30573" xr:uid="{1FBD4EC5-CDDA-4A3E-B50F-EF9DCD277E58}"/>
    <cellStyle name="Normal 4 6 3 6 3" xfId="6425" xr:uid="{00000000-0005-0000-0000-000077160000}"/>
    <cellStyle name="Normal 4 6 3 6 3 2" xfId="15751" xr:uid="{E5976AC4-27F2-45D5-B188-D8D1F77C5461}"/>
    <cellStyle name="Normal 4 6 3 6 3 3" xfId="24198" xr:uid="{A7B6D927-2213-41AF-A226-E58F308192AD}"/>
    <cellStyle name="Normal 4 6 3 6 3 4" xfId="32645" xr:uid="{D77FDEAC-B850-49EB-97BB-C9B8FF6273AA}"/>
    <cellStyle name="Normal 4 6 3 6 4" xfId="11534" xr:uid="{699CFB04-39C6-4238-9895-C8859B83D834}"/>
    <cellStyle name="Normal 4 6 3 6 5" xfId="19981" xr:uid="{A5BC84F5-46FB-4190-A80E-9637660FA08E}"/>
    <cellStyle name="Normal 4 6 3 6 6" xfId="28428" xr:uid="{0E0F9C82-4037-4631-9F33-826E4358D570}"/>
    <cellStyle name="Normal 4 6 3 7" xfId="2555" xr:uid="{00000000-0005-0000-0000-000078160000}"/>
    <cellStyle name="Normal 4 6 3 7 2" xfId="6838" xr:uid="{00000000-0005-0000-0000-000079160000}"/>
    <cellStyle name="Normal 4 6 3 7 2 2" xfId="16164" xr:uid="{9CEAE817-E9E0-4795-822A-259B31132C6D}"/>
    <cellStyle name="Normal 4 6 3 7 2 3" xfId="24611" xr:uid="{9487E3A4-EE59-40F4-BE15-0B7187FC25AF}"/>
    <cellStyle name="Normal 4 6 3 7 2 4" xfId="33058" xr:uid="{90C95496-5BB6-4BA9-8B14-9809259EE819}"/>
    <cellStyle name="Normal 4 6 3 7 3" xfId="11947" xr:uid="{DBA0D103-7B42-431C-A29C-E175254644B9}"/>
    <cellStyle name="Normal 4 6 3 7 4" xfId="20394" xr:uid="{CD117ECD-70AE-4D88-881B-85AA40DF46D9}"/>
    <cellStyle name="Normal 4 6 3 7 5" xfId="28841" xr:uid="{7FBF6F94-377C-4E03-9A6F-F82BE0D37900}"/>
    <cellStyle name="Normal 4 6 3 8" xfId="4773" xr:uid="{00000000-0005-0000-0000-00007A160000}"/>
    <cellStyle name="Normal 4 6 3 8 2" xfId="14099" xr:uid="{C349CECA-3D7C-4CF0-8D0F-B035A069AB72}"/>
    <cellStyle name="Normal 4 6 3 8 3" xfId="22546" xr:uid="{DAF0DDFF-D037-4FA1-B173-A093DB9CF708}"/>
    <cellStyle name="Normal 4 6 3 8 4" xfId="30993" xr:uid="{D953742F-D991-4D27-858D-3A4476CA1A8E}"/>
    <cellStyle name="Normal 4 6 3 9" xfId="8875" xr:uid="{DFD24C28-B729-444D-A0F6-B5522ED354D5}"/>
    <cellStyle name="Normal 4 6 4" xfId="402" xr:uid="{00000000-0005-0000-0000-00007B160000}"/>
    <cellStyle name="Normal 4 6 4 10" xfId="18331" xr:uid="{029060A7-56FF-45F1-AE71-36260E08EBDE}"/>
    <cellStyle name="Normal 4 6 4 11" xfId="26778" xr:uid="{F4857EF5-DFF5-4AFB-8FBD-AFE13CC96B78}"/>
    <cellStyle name="Normal 4 6 4 2" xfId="876" xr:uid="{00000000-0005-0000-0000-00007C160000}"/>
    <cellStyle name="Normal 4 6 4 2 2" xfId="3111" xr:uid="{00000000-0005-0000-0000-00007D160000}"/>
    <cellStyle name="Normal 4 6 4 2 2 2" xfId="7333" xr:uid="{00000000-0005-0000-0000-00007E160000}"/>
    <cellStyle name="Normal 4 6 4 2 2 2 2" xfId="16659" xr:uid="{AC76E256-65A3-472C-90AB-40C50414A200}"/>
    <cellStyle name="Normal 4 6 4 2 2 2 3" xfId="25106" xr:uid="{532B62E4-AB03-4159-9C36-713302A38604}"/>
    <cellStyle name="Normal 4 6 4 2 2 2 4" xfId="33553" xr:uid="{81A690C7-48B9-4901-AEA2-AF9FC445218C}"/>
    <cellStyle name="Normal 4 6 4 2 2 3" xfId="12442" xr:uid="{4A88995D-0D33-4212-A84F-D36B30639F8C}"/>
    <cellStyle name="Normal 4 6 4 2 2 4" xfId="20889" xr:uid="{983A7CAF-B9B6-4810-86EF-A7603343ECF1}"/>
    <cellStyle name="Normal 4 6 4 2 2 5" xfId="29336" xr:uid="{0C34B4FA-0C8D-4BE6-9540-DD18386F61D3}"/>
    <cellStyle name="Normal 4 6 4 2 3" xfId="5188" xr:uid="{00000000-0005-0000-0000-00007F160000}"/>
    <cellStyle name="Normal 4 6 4 2 3 2" xfId="14514" xr:uid="{1173B34B-2BC6-400F-A2DF-E4BEF66BF372}"/>
    <cellStyle name="Normal 4 6 4 2 3 3" xfId="22961" xr:uid="{4DF9BC6F-E289-401A-9070-574D1D5202C6}"/>
    <cellStyle name="Normal 4 6 4 2 3 4" xfId="31408" xr:uid="{C366F884-BCD0-45D6-B55E-9389A6C2971E}"/>
    <cellStyle name="Normal 4 6 4 2 4" xfId="9404" xr:uid="{D1BAB6D6-35EF-4C34-91EA-2EB17352CDF9}"/>
    <cellStyle name="Normal 4 6 4 2 5" xfId="10297" xr:uid="{031E5E10-18AE-4248-BFA8-3FF42B1613A1}"/>
    <cellStyle name="Normal 4 6 4 2 6" xfId="18744" xr:uid="{C08E0428-A704-4709-84BD-EEC0130844D7}"/>
    <cellStyle name="Normal 4 6 4 2 7" xfId="27191" xr:uid="{FD1DA16B-7708-40FE-B878-3E5C59C34F1B}"/>
    <cellStyle name="Normal 4 6 4 3" xfId="1294" xr:uid="{00000000-0005-0000-0000-000080160000}"/>
    <cellStyle name="Normal 4 6 4 3 2" xfId="3524" xr:uid="{00000000-0005-0000-0000-000081160000}"/>
    <cellStyle name="Normal 4 6 4 3 2 2" xfId="7746" xr:uid="{00000000-0005-0000-0000-000082160000}"/>
    <cellStyle name="Normal 4 6 4 3 2 2 2" xfId="17072" xr:uid="{09A75719-8B4F-4A54-838D-390A54A07687}"/>
    <cellStyle name="Normal 4 6 4 3 2 2 3" xfId="25519" xr:uid="{343404AA-14F9-4B32-B542-DD99EA785F13}"/>
    <cellStyle name="Normal 4 6 4 3 2 2 4" xfId="33966" xr:uid="{CE68A94B-1AF6-44B7-910D-9CA71121D8AB}"/>
    <cellStyle name="Normal 4 6 4 3 2 3" xfId="12855" xr:uid="{AEAE3545-1E11-4081-82FB-1970F6F578CB}"/>
    <cellStyle name="Normal 4 6 4 3 2 4" xfId="21302" xr:uid="{16D2DF49-8EA2-4E65-86CE-04CE8CA98970}"/>
    <cellStyle name="Normal 4 6 4 3 2 5" xfId="29749" xr:uid="{C32304AF-C859-4D44-B21D-806755CA708A}"/>
    <cellStyle name="Normal 4 6 4 3 3" xfId="5601" xr:uid="{00000000-0005-0000-0000-000083160000}"/>
    <cellStyle name="Normal 4 6 4 3 3 2" xfId="14927" xr:uid="{DE7EFEDC-A600-4D0D-9B2E-73FE70C1C4CD}"/>
    <cellStyle name="Normal 4 6 4 3 3 3" xfId="23374" xr:uid="{EF3A4A7D-02A6-4D55-9B0F-353CDED66546}"/>
    <cellStyle name="Normal 4 6 4 3 3 4" xfId="31821" xr:uid="{3A7AF497-B8E2-4AE5-9F92-26C9C6054B25}"/>
    <cellStyle name="Normal 4 6 4 3 4" xfId="10710" xr:uid="{4AAAA667-504A-4C17-AAA6-F345E35B8C99}"/>
    <cellStyle name="Normal 4 6 4 3 5" xfId="19157" xr:uid="{A903CB73-0052-4712-B262-E7BC668485B7}"/>
    <cellStyle name="Normal 4 6 4 3 6" xfId="27604" xr:uid="{39902A3F-1F6C-478E-AA67-EDFB01DBF012}"/>
    <cellStyle name="Normal 4 6 4 4" xfId="1707" xr:uid="{00000000-0005-0000-0000-000084160000}"/>
    <cellStyle name="Normal 4 6 4 4 2" xfId="3937" xr:uid="{00000000-0005-0000-0000-000085160000}"/>
    <cellStyle name="Normal 4 6 4 4 2 2" xfId="8159" xr:uid="{00000000-0005-0000-0000-000086160000}"/>
    <cellStyle name="Normal 4 6 4 4 2 2 2" xfId="17485" xr:uid="{A55C9CC3-5658-4CEF-9378-1E85A155DEED}"/>
    <cellStyle name="Normal 4 6 4 4 2 2 3" xfId="25932" xr:uid="{732AF373-4D5E-49AA-B200-5660E39A1560}"/>
    <cellStyle name="Normal 4 6 4 4 2 2 4" xfId="34379" xr:uid="{FB66531E-8DCF-4475-8D66-06DF191DE1A8}"/>
    <cellStyle name="Normal 4 6 4 4 2 3" xfId="13268" xr:uid="{6E5BBA94-5E98-408D-919A-5283E10BC72C}"/>
    <cellStyle name="Normal 4 6 4 4 2 4" xfId="21715" xr:uid="{00824089-239D-49AA-B038-6960051B5C7D}"/>
    <cellStyle name="Normal 4 6 4 4 2 5" xfId="30162" xr:uid="{DFDB0B17-6F16-41DA-BA19-F2471A48FDE1}"/>
    <cellStyle name="Normal 4 6 4 4 3" xfId="6014" xr:uid="{00000000-0005-0000-0000-000087160000}"/>
    <cellStyle name="Normal 4 6 4 4 3 2" xfId="15340" xr:uid="{9CBF2EAF-1110-4C7F-B207-1E7F7737E85F}"/>
    <cellStyle name="Normal 4 6 4 4 3 3" xfId="23787" xr:uid="{E2792117-1687-4430-ACEA-7217EBB8D6E2}"/>
    <cellStyle name="Normal 4 6 4 4 3 4" xfId="32234" xr:uid="{66F1BC78-8A06-47C7-915C-FBD199B1C10F}"/>
    <cellStyle name="Normal 4 6 4 4 4" xfId="11123" xr:uid="{93BD3C38-F540-4CE8-A693-5653A4847787}"/>
    <cellStyle name="Normal 4 6 4 4 5" xfId="19570" xr:uid="{BBDA49DA-7685-45D3-8F60-F9C6D51A4886}"/>
    <cellStyle name="Normal 4 6 4 4 6" xfId="28017" xr:uid="{F50D5161-D05C-4BAA-835F-5F8D056316BF}"/>
    <cellStyle name="Normal 4 6 4 5" xfId="2121" xr:uid="{00000000-0005-0000-0000-000088160000}"/>
    <cellStyle name="Normal 4 6 4 5 2" xfId="4350" xr:uid="{00000000-0005-0000-0000-000089160000}"/>
    <cellStyle name="Normal 4 6 4 5 2 2" xfId="8572" xr:uid="{00000000-0005-0000-0000-00008A160000}"/>
    <cellStyle name="Normal 4 6 4 5 2 2 2" xfId="17898" xr:uid="{7B2852DB-F62D-4374-BDE5-0C2F509A7636}"/>
    <cellStyle name="Normal 4 6 4 5 2 2 3" xfId="26345" xr:uid="{DF7530B0-5D06-4CF6-8BB9-B04789BC2686}"/>
    <cellStyle name="Normal 4 6 4 5 2 2 4" xfId="34792" xr:uid="{F6DEEE2F-E85F-4C11-92AE-43BBD3ACD7EE}"/>
    <cellStyle name="Normal 4 6 4 5 2 3" xfId="13681" xr:uid="{556978B8-9C91-453E-AC5D-2ECBC4D8FED6}"/>
    <cellStyle name="Normal 4 6 4 5 2 4" xfId="22128" xr:uid="{9D546927-D9F3-40FD-B9CF-9C4EAF3B3EE9}"/>
    <cellStyle name="Normal 4 6 4 5 2 5" xfId="30575" xr:uid="{F97301EE-D448-4557-8B9D-876C49DA1D3F}"/>
    <cellStyle name="Normal 4 6 4 5 3" xfId="6427" xr:uid="{00000000-0005-0000-0000-00008B160000}"/>
    <cellStyle name="Normal 4 6 4 5 3 2" xfId="15753" xr:uid="{0B74BFB8-8C79-4CDC-BBDE-027795211013}"/>
    <cellStyle name="Normal 4 6 4 5 3 3" xfId="24200" xr:uid="{2C6B6D8B-4095-47AA-B352-120BD848D368}"/>
    <cellStyle name="Normal 4 6 4 5 3 4" xfId="32647" xr:uid="{56111A74-1996-474F-A4E4-7C411DB150F7}"/>
    <cellStyle name="Normal 4 6 4 5 4" xfId="11536" xr:uid="{CACFFDF6-4362-492A-8B98-D978FA9C4D4E}"/>
    <cellStyle name="Normal 4 6 4 5 5" xfId="19983" xr:uid="{FC58389A-EF2B-49E2-ACC4-616510905BEF}"/>
    <cellStyle name="Normal 4 6 4 5 6" xfId="28430" xr:uid="{8D027924-9844-4B40-80DB-04938D192504}"/>
    <cellStyle name="Normal 4 6 4 6" xfId="2557" xr:uid="{00000000-0005-0000-0000-00008C160000}"/>
    <cellStyle name="Normal 4 6 4 6 2" xfId="6840" xr:uid="{00000000-0005-0000-0000-00008D160000}"/>
    <cellStyle name="Normal 4 6 4 6 2 2" xfId="16166" xr:uid="{4284D6C7-9826-42B2-B307-325AE8F53238}"/>
    <cellStyle name="Normal 4 6 4 6 2 3" xfId="24613" xr:uid="{53EDA39A-5253-45E6-B4EE-0BA90C066C35}"/>
    <cellStyle name="Normal 4 6 4 6 2 4" xfId="33060" xr:uid="{BEBE2DC5-4D97-4BAD-9E48-3B5AB806C211}"/>
    <cellStyle name="Normal 4 6 4 6 3" xfId="11949" xr:uid="{CA97E3D9-8708-452A-81B8-A50174C80DE1}"/>
    <cellStyle name="Normal 4 6 4 6 4" xfId="20396" xr:uid="{5247EC07-E007-4536-A00F-DA3F0AFB96BA}"/>
    <cellStyle name="Normal 4 6 4 6 5" xfId="28843" xr:uid="{F7A416B5-D1E8-48C5-A47B-43D2973ED3D8}"/>
    <cellStyle name="Normal 4 6 4 7" xfId="4775" xr:uid="{00000000-0005-0000-0000-00008E160000}"/>
    <cellStyle name="Normal 4 6 4 7 2" xfId="14101" xr:uid="{59ADF3C6-1119-4D37-AA32-C1BE84D22DB5}"/>
    <cellStyle name="Normal 4 6 4 7 3" xfId="22548" xr:uid="{3684DC31-EB56-4F47-9625-83ED95F2FD72}"/>
    <cellStyle name="Normal 4 6 4 7 4" xfId="30995" xr:uid="{14AB5712-85EA-4FEF-BA40-7E8794B49037}"/>
    <cellStyle name="Normal 4 6 4 8" xfId="8979" xr:uid="{358D1440-F461-4509-8416-8F78F7D13FF4}"/>
    <cellStyle name="Normal 4 6 4 9" xfId="9884" xr:uid="{3811BAB0-D3BA-496A-B610-EC6FFC393A3D}"/>
    <cellStyle name="Normal 4 6 5" xfId="869" xr:uid="{00000000-0005-0000-0000-00008F160000}"/>
    <cellStyle name="Normal 4 6 5 2" xfId="3104" xr:uid="{00000000-0005-0000-0000-000090160000}"/>
    <cellStyle name="Normal 4 6 5 2 2" xfId="7326" xr:uid="{00000000-0005-0000-0000-000091160000}"/>
    <cellStyle name="Normal 4 6 5 2 2 2" xfId="16652" xr:uid="{FB36C6C4-6AF3-4A53-B8B8-01B60506E30A}"/>
    <cellStyle name="Normal 4 6 5 2 2 3" xfId="25099" xr:uid="{5852FA72-96CA-4215-9F66-5914A4B3CB12}"/>
    <cellStyle name="Normal 4 6 5 2 2 4" xfId="33546" xr:uid="{D11C0E1C-E67D-4D93-87CF-4515D5B3910D}"/>
    <cellStyle name="Normal 4 6 5 2 3" xfId="12435" xr:uid="{C9EB2797-8251-4945-AFF3-5DCEAF684C57}"/>
    <cellStyle name="Normal 4 6 5 2 4" xfId="20882" xr:uid="{BAC4DF72-A81B-4C4E-BBFC-B2103682A5D5}"/>
    <cellStyle name="Normal 4 6 5 2 5" xfId="29329" xr:uid="{CE606440-0A3C-4E46-BC7C-39912B3D1B41}"/>
    <cellStyle name="Normal 4 6 5 3" xfId="5181" xr:uid="{00000000-0005-0000-0000-000092160000}"/>
    <cellStyle name="Normal 4 6 5 3 2" xfId="14507" xr:uid="{56291638-07F4-4B23-9479-531FD28B5BE5}"/>
    <cellStyle name="Normal 4 6 5 3 3" xfId="22954" xr:uid="{D197684D-F8DF-4331-B2FD-FAC07108F347}"/>
    <cellStyle name="Normal 4 6 5 3 4" xfId="31401" xr:uid="{F677C673-62C1-42FF-B52A-31364589FE02}"/>
    <cellStyle name="Normal 4 6 5 4" xfId="9196" xr:uid="{8DF5D81E-BEC3-4373-A99C-2D9CDEEBBA3C}"/>
    <cellStyle name="Normal 4 6 5 5" xfId="10290" xr:uid="{5554BE23-B68A-4197-BD5F-9AC498E82DF3}"/>
    <cellStyle name="Normal 4 6 5 6" xfId="18737" xr:uid="{76CBB820-DE9F-464D-851F-5DBD685EC57D}"/>
    <cellStyle name="Normal 4 6 5 7" xfId="27184" xr:uid="{421A198F-7771-40DB-BCC4-0CE03F1F7022}"/>
    <cellStyle name="Normal 4 6 6" xfId="1287" xr:uid="{00000000-0005-0000-0000-000093160000}"/>
    <cellStyle name="Normal 4 6 6 2" xfId="3517" xr:uid="{00000000-0005-0000-0000-000094160000}"/>
    <cellStyle name="Normal 4 6 6 2 2" xfId="7739" xr:uid="{00000000-0005-0000-0000-000095160000}"/>
    <cellStyle name="Normal 4 6 6 2 2 2" xfId="17065" xr:uid="{418055C3-34CC-4F9D-AB27-3E9397EBACF8}"/>
    <cellStyle name="Normal 4 6 6 2 2 3" xfId="25512" xr:uid="{976F9FB3-5FB5-451B-96F7-E11C49D6555A}"/>
    <cellStyle name="Normal 4 6 6 2 2 4" xfId="33959" xr:uid="{CFA39537-7A8B-4DB5-B68F-030B461A6C3C}"/>
    <cellStyle name="Normal 4 6 6 2 3" xfId="12848" xr:uid="{185A2624-0C7F-4B91-8A65-6164914926CB}"/>
    <cellStyle name="Normal 4 6 6 2 4" xfId="21295" xr:uid="{C64B4AC9-022B-4DA2-8608-1FC311270BD8}"/>
    <cellStyle name="Normal 4 6 6 2 5" xfId="29742" xr:uid="{36BAFF4C-2284-4914-983B-6778D87CDA51}"/>
    <cellStyle name="Normal 4 6 6 3" xfId="5594" xr:uid="{00000000-0005-0000-0000-000096160000}"/>
    <cellStyle name="Normal 4 6 6 3 2" xfId="14920" xr:uid="{5A21D436-9260-48AC-B319-7333103EBE90}"/>
    <cellStyle name="Normal 4 6 6 3 3" xfId="23367" xr:uid="{44B65F5B-66EE-4197-8DB4-05F21418C342}"/>
    <cellStyle name="Normal 4 6 6 3 4" xfId="31814" xr:uid="{2D89DB95-BDDE-47D6-9B30-586C7A50A30B}"/>
    <cellStyle name="Normal 4 6 6 4" xfId="10703" xr:uid="{694BCE9D-5084-4B22-9A9F-A0A0261836A4}"/>
    <cellStyle name="Normal 4 6 6 5" xfId="19150" xr:uid="{567B8BC2-FAFE-4425-AB8D-5FFC68303CB1}"/>
    <cellStyle name="Normal 4 6 6 6" xfId="27597" xr:uid="{764BD43F-BA81-4CF7-9275-65B48777A6EB}"/>
    <cellStyle name="Normal 4 6 7" xfId="1700" xr:uid="{00000000-0005-0000-0000-000097160000}"/>
    <cellStyle name="Normal 4 6 7 2" xfId="3930" xr:uid="{00000000-0005-0000-0000-000098160000}"/>
    <cellStyle name="Normal 4 6 7 2 2" xfId="8152" xr:uid="{00000000-0005-0000-0000-000099160000}"/>
    <cellStyle name="Normal 4 6 7 2 2 2" xfId="17478" xr:uid="{BBEB0E03-FB87-41DD-AA6D-FB71BA50FE67}"/>
    <cellStyle name="Normal 4 6 7 2 2 3" xfId="25925" xr:uid="{AEFD72BA-9D02-4C03-90AC-564E5CBADE48}"/>
    <cellStyle name="Normal 4 6 7 2 2 4" xfId="34372" xr:uid="{1F266F98-379F-460A-8622-A152AA810F0F}"/>
    <cellStyle name="Normal 4 6 7 2 3" xfId="13261" xr:uid="{BC17DD67-1723-4B59-A997-370BB816098F}"/>
    <cellStyle name="Normal 4 6 7 2 4" xfId="21708" xr:uid="{D76FA486-930A-4853-A72A-2FF33873F842}"/>
    <cellStyle name="Normal 4 6 7 2 5" xfId="30155" xr:uid="{D11CDDF0-F5D0-4705-A760-EF23BA805936}"/>
    <cellStyle name="Normal 4 6 7 3" xfId="6007" xr:uid="{00000000-0005-0000-0000-00009A160000}"/>
    <cellStyle name="Normal 4 6 7 3 2" xfId="15333" xr:uid="{449841DF-A573-46AB-AD55-B3CFB5B9C2BF}"/>
    <cellStyle name="Normal 4 6 7 3 3" xfId="23780" xr:uid="{FE607B40-9A32-486D-8C7E-CCC1CF06B749}"/>
    <cellStyle name="Normal 4 6 7 3 4" xfId="32227" xr:uid="{CE7772EE-D0A3-41FC-8FD0-3C60E3D0506F}"/>
    <cellStyle name="Normal 4 6 7 4" xfId="11116" xr:uid="{5B4467DE-83BD-48FE-BEE6-F3726A0E789F}"/>
    <cellStyle name="Normal 4 6 7 5" xfId="19563" xr:uid="{15229E1E-7E17-4B20-B7C2-05E7FCD0C3F4}"/>
    <cellStyle name="Normal 4 6 7 6" xfId="28010" xr:uid="{AEA5D2C2-1912-44A9-8361-1ADB867D94D3}"/>
    <cellStyle name="Normal 4 6 8" xfId="2114" xr:uid="{00000000-0005-0000-0000-00009B160000}"/>
    <cellStyle name="Normal 4 6 8 2" xfId="4343" xr:uid="{00000000-0005-0000-0000-00009C160000}"/>
    <cellStyle name="Normal 4 6 8 2 2" xfId="8565" xr:uid="{00000000-0005-0000-0000-00009D160000}"/>
    <cellStyle name="Normal 4 6 8 2 2 2" xfId="17891" xr:uid="{A40113AA-34A4-4088-AAD0-DA0A057DC132}"/>
    <cellStyle name="Normal 4 6 8 2 2 3" xfId="26338" xr:uid="{DC7B09B7-0935-46B5-9103-8FD42D7680DE}"/>
    <cellStyle name="Normal 4 6 8 2 2 4" xfId="34785" xr:uid="{AD0D01F1-5614-43D0-9602-CB306E8A3CD2}"/>
    <cellStyle name="Normal 4 6 8 2 3" xfId="13674" xr:uid="{6960ED80-B111-4452-8090-97D929C47CEC}"/>
    <cellStyle name="Normal 4 6 8 2 4" xfId="22121" xr:uid="{8295DC92-9D25-479D-B2F1-909B43797371}"/>
    <cellStyle name="Normal 4 6 8 2 5" xfId="30568" xr:uid="{402A4655-21D5-4419-AE9C-036B868D5E63}"/>
    <cellStyle name="Normal 4 6 8 3" xfId="6420" xr:uid="{00000000-0005-0000-0000-00009E160000}"/>
    <cellStyle name="Normal 4 6 8 3 2" xfId="15746" xr:uid="{425E9C66-492B-42CB-A977-B1DA01B3821A}"/>
    <cellStyle name="Normal 4 6 8 3 3" xfId="24193" xr:uid="{491C8293-C729-40F2-8D06-3AAF84023775}"/>
    <cellStyle name="Normal 4 6 8 3 4" xfId="32640" xr:uid="{17FBE5F8-C21A-43AC-8B7E-4F0B6418F0E7}"/>
    <cellStyle name="Normal 4 6 8 4" xfId="11529" xr:uid="{677C3593-9D5D-43EF-81CA-888837081067}"/>
    <cellStyle name="Normal 4 6 8 5" xfId="19976" xr:uid="{89A98F71-2CC4-47D4-A8AC-5146F269F9E0}"/>
    <cellStyle name="Normal 4 6 8 6" xfId="28423" xr:uid="{B33190DD-3A40-422A-8134-DCA09FA1F34C}"/>
    <cellStyle name="Normal 4 6 9" xfId="2550" xr:uid="{00000000-0005-0000-0000-00009F160000}"/>
    <cellStyle name="Normal 4 6 9 2" xfId="6833" xr:uid="{00000000-0005-0000-0000-0000A0160000}"/>
    <cellStyle name="Normal 4 6 9 2 2" xfId="16159" xr:uid="{FA3F27F7-E01A-406C-9EA8-84DFF45B56AD}"/>
    <cellStyle name="Normal 4 6 9 2 3" xfId="24606" xr:uid="{FD19DF17-D6F9-444B-A3AA-FCD80954551C}"/>
    <cellStyle name="Normal 4 6 9 2 4" xfId="33053" xr:uid="{DE86C529-0A12-44BF-AED0-BF5B389F87D8}"/>
    <cellStyle name="Normal 4 6 9 3" xfId="11942" xr:uid="{39EA7C20-1924-463F-8803-AE8CA8606C25}"/>
    <cellStyle name="Normal 4 6 9 4" xfId="20389" xr:uid="{8AD8A798-E0A5-49A0-9DFD-EC692AC78C5F}"/>
    <cellStyle name="Normal 4 6 9 5" xfId="28836" xr:uid="{E9F97BA6-C89B-4B43-9CE2-4AD581B027B7}"/>
    <cellStyle name="Normal 4 7" xfId="403" xr:uid="{00000000-0005-0000-0000-0000A1160000}"/>
    <cellStyle name="Normal 4 7 10" xfId="9885" xr:uid="{73476476-96AB-4B6D-93F0-DCCD1F8F4558}"/>
    <cellStyle name="Normal 4 7 11" xfId="18332" xr:uid="{3205F300-7FC5-4FD5-A3F8-4FBC48BD68CA}"/>
    <cellStyle name="Normal 4 7 12" xfId="26779" xr:uid="{150972EC-154B-46E9-AD44-8B3866B630F1}"/>
    <cellStyle name="Normal 4 7 2" xfId="404" xr:uid="{00000000-0005-0000-0000-0000A2160000}"/>
    <cellStyle name="Normal 4 7 2 10" xfId="18333" xr:uid="{70C0C17D-C2A8-437A-A3A7-FAAA40A1AC41}"/>
    <cellStyle name="Normal 4 7 2 11" xfId="26780" xr:uid="{DC5D286B-DE9F-481B-BD71-BAD3A1B514D5}"/>
    <cellStyle name="Normal 4 7 2 2" xfId="878" xr:uid="{00000000-0005-0000-0000-0000A3160000}"/>
    <cellStyle name="Normal 4 7 2 2 2" xfId="3113" xr:uid="{00000000-0005-0000-0000-0000A4160000}"/>
    <cellStyle name="Normal 4 7 2 2 2 2" xfId="7335" xr:uid="{00000000-0005-0000-0000-0000A5160000}"/>
    <cellStyle name="Normal 4 7 2 2 2 2 2" xfId="16661" xr:uid="{AD9F68EF-1E1F-4DCD-AF84-6919FA85D656}"/>
    <cellStyle name="Normal 4 7 2 2 2 2 3" xfId="25108" xr:uid="{1FEECA2F-49B8-4459-9932-4A4CEBB60D55}"/>
    <cellStyle name="Normal 4 7 2 2 2 2 4" xfId="33555" xr:uid="{B6CB84C8-F34D-4114-830F-4DA62C1E3BAF}"/>
    <cellStyle name="Normal 4 7 2 2 2 3" xfId="12444" xr:uid="{2B63B797-68C3-4DB7-A7A9-AF5A08276107}"/>
    <cellStyle name="Normal 4 7 2 2 2 4" xfId="20891" xr:uid="{AA030B10-E7FC-4A18-9988-1317B84413E9}"/>
    <cellStyle name="Normal 4 7 2 2 2 5" xfId="29338" xr:uid="{F3C71E00-F5DA-4F5B-B087-349656B0020C}"/>
    <cellStyle name="Normal 4 7 2 2 3" xfId="5190" xr:uid="{00000000-0005-0000-0000-0000A6160000}"/>
    <cellStyle name="Normal 4 7 2 2 3 2" xfId="14516" xr:uid="{870317C7-0951-4F10-AFFD-A8E636846D10}"/>
    <cellStyle name="Normal 4 7 2 2 3 3" xfId="22963" xr:uid="{24E68682-50C3-46EE-BE41-77BA208DA352}"/>
    <cellStyle name="Normal 4 7 2 2 3 4" xfId="31410" xr:uid="{06AC0235-3B33-4A78-BDCA-6777B5D496EA}"/>
    <cellStyle name="Normal 4 7 2 2 4" xfId="9475" xr:uid="{1E309EF6-7D7C-4A4D-B2F1-E00D0CF6E167}"/>
    <cellStyle name="Normal 4 7 2 2 5" xfId="10299" xr:uid="{D357416F-7C4C-4214-851F-C62332CFBCAD}"/>
    <cellStyle name="Normal 4 7 2 2 6" xfId="18746" xr:uid="{5EE2F0BC-3333-41CE-BE00-BE728AF06F35}"/>
    <cellStyle name="Normal 4 7 2 2 7" xfId="27193" xr:uid="{94131055-DF1E-4898-94D9-D9CA3E1848CC}"/>
    <cellStyle name="Normal 4 7 2 3" xfId="1296" xr:uid="{00000000-0005-0000-0000-0000A7160000}"/>
    <cellStyle name="Normal 4 7 2 3 2" xfId="3526" xr:uid="{00000000-0005-0000-0000-0000A8160000}"/>
    <cellStyle name="Normal 4 7 2 3 2 2" xfId="7748" xr:uid="{00000000-0005-0000-0000-0000A9160000}"/>
    <cellStyle name="Normal 4 7 2 3 2 2 2" xfId="17074" xr:uid="{F5551500-883E-4A4F-8C99-386DBBE6179B}"/>
    <cellStyle name="Normal 4 7 2 3 2 2 3" xfId="25521" xr:uid="{84273EB8-516C-48B3-AA10-66F97DB5DACB}"/>
    <cellStyle name="Normal 4 7 2 3 2 2 4" xfId="33968" xr:uid="{91FDF3B1-F548-4B23-8E3B-C009EDE1E8EF}"/>
    <cellStyle name="Normal 4 7 2 3 2 3" xfId="12857" xr:uid="{EFD6469E-2515-460B-826F-4C6A326B9111}"/>
    <cellStyle name="Normal 4 7 2 3 2 4" xfId="21304" xr:uid="{09CCB60F-0389-4F55-A01A-95A55952F8DA}"/>
    <cellStyle name="Normal 4 7 2 3 2 5" xfId="29751" xr:uid="{ADEBFDB0-B7BC-45D5-A3DC-F540220789F0}"/>
    <cellStyle name="Normal 4 7 2 3 3" xfId="5603" xr:uid="{00000000-0005-0000-0000-0000AA160000}"/>
    <cellStyle name="Normal 4 7 2 3 3 2" xfId="14929" xr:uid="{B6291539-C2E1-4AB3-B706-B842C7009F54}"/>
    <cellStyle name="Normal 4 7 2 3 3 3" xfId="23376" xr:uid="{4F71C14A-6E40-4246-91C3-77A01E7D7122}"/>
    <cellStyle name="Normal 4 7 2 3 3 4" xfId="31823" xr:uid="{02DAD465-07F3-4973-BD30-36ECF8D2C197}"/>
    <cellStyle name="Normal 4 7 2 3 4" xfId="10712" xr:uid="{8BC82877-1762-435C-8C5B-47F989AD69E0}"/>
    <cellStyle name="Normal 4 7 2 3 5" xfId="19159" xr:uid="{5DD82CE7-6CD9-463B-88B1-B544866A5424}"/>
    <cellStyle name="Normal 4 7 2 3 6" xfId="27606" xr:uid="{478C89D5-6686-4F7B-8550-6E27A81C9B2A}"/>
    <cellStyle name="Normal 4 7 2 4" xfId="1709" xr:uid="{00000000-0005-0000-0000-0000AB160000}"/>
    <cellStyle name="Normal 4 7 2 4 2" xfId="3939" xr:uid="{00000000-0005-0000-0000-0000AC160000}"/>
    <cellStyle name="Normal 4 7 2 4 2 2" xfId="8161" xr:uid="{00000000-0005-0000-0000-0000AD160000}"/>
    <cellStyle name="Normal 4 7 2 4 2 2 2" xfId="17487" xr:uid="{5EFB734A-496D-4C63-A79F-61CD458C96E6}"/>
    <cellStyle name="Normal 4 7 2 4 2 2 3" xfId="25934" xr:uid="{FFAB90F8-1053-480F-BF2A-3978DA92529B}"/>
    <cellStyle name="Normal 4 7 2 4 2 2 4" xfId="34381" xr:uid="{BA0C8316-F7C1-43F4-941E-ECD96DF012AA}"/>
    <cellStyle name="Normal 4 7 2 4 2 3" xfId="13270" xr:uid="{6FE17816-9B5E-495D-A6CC-93B6BCD2E331}"/>
    <cellStyle name="Normal 4 7 2 4 2 4" xfId="21717" xr:uid="{C61B71A9-43B7-4445-B690-42A9AFA83077}"/>
    <cellStyle name="Normal 4 7 2 4 2 5" xfId="30164" xr:uid="{7517F206-583E-4B4F-819A-1E3E35F588CB}"/>
    <cellStyle name="Normal 4 7 2 4 3" xfId="6016" xr:uid="{00000000-0005-0000-0000-0000AE160000}"/>
    <cellStyle name="Normal 4 7 2 4 3 2" xfId="15342" xr:uid="{1A73CB0B-80E5-4EDD-A116-966B3C65BD62}"/>
    <cellStyle name="Normal 4 7 2 4 3 3" xfId="23789" xr:uid="{6AF4DAC0-0AC2-4CF1-A9AE-A9421E2C2AE0}"/>
    <cellStyle name="Normal 4 7 2 4 3 4" xfId="32236" xr:uid="{6F37FD83-DB9A-477E-9FA7-B2651E439D45}"/>
    <cellStyle name="Normal 4 7 2 4 4" xfId="11125" xr:uid="{74A84B41-4496-4957-AE51-86D516AAA85F}"/>
    <cellStyle name="Normal 4 7 2 4 5" xfId="19572" xr:uid="{4C42134F-5EE7-498E-972A-91A183859F3D}"/>
    <cellStyle name="Normal 4 7 2 4 6" xfId="28019" xr:uid="{C827F5A0-0AB7-47AF-92F6-ABD1C7D24BF4}"/>
    <cellStyle name="Normal 4 7 2 5" xfId="2123" xr:uid="{00000000-0005-0000-0000-0000AF160000}"/>
    <cellStyle name="Normal 4 7 2 5 2" xfId="4352" xr:uid="{00000000-0005-0000-0000-0000B0160000}"/>
    <cellStyle name="Normal 4 7 2 5 2 2" xfId="8574" xr:uid="{00000000-0005-0000-0000-0000B1160000}"/>
    <cellStyle name="Normal 4 7 2 5 2 2 2" xfId="17900" xr:uid="{87D36962-F4C3-45BA-8EC7-4680A82AC3A6}"/>
    <cellStyle name="Normal 4 7 2 5 2 2 3" xfId="26347" xr:uid="{6CBF8605-564D-4BAA-9772-707AEF6F6392}"/>
    <cellStyle name="Normal 4 7 2 5 2 2 4" xfId="34794" xr:uid="{C1568B8B-E942-4856-8610-7EE633276024}"/>
    <cellStyle name="Normal 4 7 2 5 2 3" xfId="13683" xr:uid="{ECA12C44-0977-4004-9FB0-3C3CA1AAD9F8}"/>
    <cellStyle name="Normal 4 7 2 5 2 4" xfId="22130" xr:uid="{03AC612D-4B2F-452F-BBB4-A20FB39B5A8D}"/>
    <cellStyle name="Normal 4 7 2 5 2 5" xfId="30577" xr:uid="{3C7B860F-11E9-4A0A-A9BB-B1F8B6CE4DCC}"/>
    <cellStyle name="Normal 4 7 2 5 3" xfId="6429" xr:uid="{00000000-0005-0000-0000-0000B2160000}"/>
    <cellStyle name="Normal 4 7 2 5 3 2" xfId="15755" xr:uid="{C22DE769-8EC8-4658-A8C1-0EDE08E73737}"/>
    <cellStyle name="Normal 4 7 2 5 3 3" xfId="24202" xr:uid="{8A08DE37-25C6-4B9F-B51A-C233AE9153F2}"/>
    <cellStyle name="Normal 4 7 2 5 3 4" xfId="32649" xr:uid="{1285939D-841A-4333-917E-07E879D9880F}"/>
    <cellStyle name="Normal 4 7 2 5 4" xfId="11538" xr:uid="{3FE7734B-B059-4B46-A947-20A0935F5A52}"/>
    <cellStyle name="Normal 4 7 2 5 5" xfId="19985" xr:uid="{15151678-EEEB-480C-B619-B17365451352}"/>
    <cellStyle name="Normal 4 7 2 5 6" xfId="28432" xr:uid="{CFEEF960-DAD0-484D-BD56-85F413B711B7}"/>
    <cellStyle name="Normal 4 7 2 6" xfId="2559" xr:uid="{00000000-0005-0000-0000-0000B3160000}"/>
    <cellStyle name="Normal 4 7 2 6 2" xfId="6842" xr:uid="{00000000-0005-0000-0000-0000B4160000}"/>
    <cellStyle name="Normal 4 7 2 6 2 2" xfId="16168" xr:uid="{B6947598-7E9E-468C-BD58-BA99B43BD13C}"/>
    <cellStyle name="Normal 4 7 2 6 2 3" xfId="24615" xr:uid="{42A1B0C5-6552-4323-A3D8-71109B03AEDC}"/>
    <cellStyle name="Normal 4 7 2 6 2 4" xfId="33062" xr:uid="{A992F1FE-5C8B-467D-B8CB-C05B61162BBA}"/>
    <cellStyle name="Normal 4 7 2 6 3" xfId="11951" xr:uid="{452CEA5D-0535-47F7-AE46-5A9895F53D45}"/>
    <cellStyle name="Normal 4 7 2 6 4" xfId="20398" xr:uid="{28E445DD-5908-45FB-960C-B891CA432285}"/>
    <cellStyle name="Normal 4 7 2 6 5" xfId="28845" xr:uid="{926F9586-7E6D-4E31-A671-CEB8378D245C}"/>
    <cellStyle name="Normal 4 7 2 7" xfId="4777" xr:uid="{00000000-0005-0000-0000-0000B5160000}"/>
    <cellStyle name="Normal 4 7 2 7 2" xfId="14103" xr:uid="{86B2D64F-1987-4B00-AF7A-A25621A505E3}"/>
    <cellStyle name="Normal 4 7 2 7 3" xfId="22550" xr:uid="{58E75D2F-EB00-492D-A415-C961362214DB}"/>
    <cellStyle name="Normal 4 7 2 7 4" xfId="30997" xr:uid="{B99F632C-333B-44EE-B215-D6A67B3F6C1B}"/>
    <cellStyle name="Normal 4 7 2 8" xfId="9050" xr:uid="{C18A0BCD-6C40-47C4-AC72-E06914F008F6}"/>
    <cellStyle name="Normal 4 7 2 9" xfId="9886" xr:uid="{FE1A4C62-74B8-4650-9783-F3E7985FAC54}"/>
    <cellStyle name="Normal 4 7 3" xfId="877" xr:uid="{00000000-0005-0000-0000-0000B6160000}"/>
    <cellStyle name="Normal 4 7 3 2" xfId="3112" xr:uid="{00000000-0005-0000-0000-0000B7160000}"/>
    <cellStyle name="Normal 4 7 3 2 2" xfId="7334" xr:uid="{00000000-0005-0000-0000-0000B8160000}"/>
    <cellStyle name="Normal 4 7 3 2 2 2" xfId="16660" xr:uid="{4D2708B6-8C20-40BF-9822-F3490C226617}"/>
    <cellStyle name="Normal 4 7 3 2 2 3" xfId="25107" xr:uid="{DBEF1B6A-B6C9-4454-9493-071DA463C7C2}"/>
    <cellStyle name="Normal 4 7 3 2 2 4" xfId="33554" xr:uid="{F27EE790-5E96-4927-8F7D-AB5161B651E4}"/>
    <cellStyle name="Normal 4 7 3 2 3" xfId="12443" xr:uid="{FFE2439D-8D61-426F-85E0-F3C05EA191E8}"/>
    <cellStyle name="Normal 4 7 3 2 4" xfId="20890" xr:uid="{8D57628D-2A7A-4EB8-AD95-733A4B94AF1B}"/>
    <cellStyle name="Normal 4 7 3 2 5" xfId="29337" xr:uid="{6C69CB2E-1C5D-45A7-AA21-3DE7A5548A8A}"/>
    <cellStyle name="Normal 4 7 3 3" xfId="5189" xr:uid="{00000000-0005-0000-0000-0000B9160000}"/>
    <cellStyle name="Normal 4 7 3 3 2" xfId="14515" xr:uid="{70C39D68-E82E-483B-AD37-91BBC76C0CD6}"/>
    <cellStyle name="Normal 4 7 3 3 3" xfId="22962" xr:uid="{C21363F4-A3A0-4C68-AFE7-6CCCCD7A9860}"/>
    <cellStyle name="Normal 4 7 3 3 4" xfId="31409" xr:uid="{C4684ED8-6869-46CB-A905-101794A345A8}"/>
    <cellStyle name="Normal 4 7 3 4" xfId="9268" xr:uid="{83DA99B2-5D77-4110-AEB9-304D3ECEF3EB}"/>
    <cellStyle name="Normal 4 7 3 5" xfId="10298" xr:uid="{587AD159-FCEB-484A-84E2-51F77D727A8D}"/>
    <cellStyle name="Normal 4 7 3 6" xfId="18745" xr:uid="{0086E3D7-6ED4-48FC-A37E-9C625225C843}"/>
    <cellStyle name="Normal 4 7 3 7" xfId="27192" xr:uid="{E53E418F-8EA0-45FC-B7ED-27D699CFE23F}"/>
    <cellStyle name="Normal 4 7 4" xfId="1295" xr:uid="{00000000-0005-0000-0000-0000BA160000}"/>
    <cellStyle name="Normal 4 7 4 2" xfId="3525" xr:uid="{00000000-0005-0000-0000-0000BB160000}"/>
    <cellStyle name="Normal 4 7 4 2 2" xfId="7747" xr:uid="{00000000-0005-0000-0000-0000BC160000}"/>
    <cellStyle name="Normal 4 7 4 2 2 2" xfId="17073" xr:uid="{CB56CC81-1E6E-42C1-B7D6-939A84B75575}"/>
    <cellStyle name="Normal 4 7 4 2 2 3" xfId="25520" xr:uid="{759120C5-E2F9-42B3-94CC-DEBC0A2BCB45}"/>
    <cellStyle name="Normal 4 7 4 2 2 4" xfId="33967" xr:uid="{C425F95E-97FD-4AF3-AE9D-C22F5EA4FC4E}"/>
    <cellStyle name="Normal 4 7 4 2 3" xfId="12856" xr:uid="{BD2B8888-ED26-49A4-A2A3-A503E2AB9C55}"/>
    <cellStyle name="Normal 4 7 4 2 4" xfId="21303" xr:uid="{63A9A60A-09B5-4212-B6EB-6946DA0A3917}"/>
    <cellStyle name="Normal 4 7 4 2 5" xfId="29750" xr:uid="{43C6E46F-A6CA-4FC0-84AD-4AE604ACA956}"/>
    <cellStyle name="Normal 4 7 4 3" xfId="5602" xr:uid="{00000000-0005-0000-0000-0000BD160000}"/>
    <cellStyle name="Normal 4 7 4 3 2" xfId="14928" xr:uid="{BB27E291-B167-4118-ADF3-2F827FC52786}"/>
    <cellStyle name="Normal 4 7 4 3 3" xfId="23375" xr:uid="{547266BC-FE05-49D1-A334-C5C4F0E2603B}"/>
    <cellStyle name="Normal 4 7 4 3 4" xfId="31822" xr:uid="{05CA49B0-B042-44C1-A0E8-5072009C8840}"/>
    <cellStyle name="Normal 4 7 4 4" xfId="10711" xr:uid="{4C26FFEF-98E8-46A9-BA8A-97A805976969}"/>
    <cellStyle name="Normal 4 7 4 5" xfId="19158" xr:uid="{9645C4DB-E0DE-4E7E-ADDE-893023484F94}"/>
    <cellStyle name="Normal 4 7 4 6" xfId="27605" xr:uid="{62356DBD-7BF4-4914-A916-A15F30DF4C3F}"/>
    <cellStyle name="Normal 4 7 5" xfId="1708" xr:uid="{00000000-0005-0000-0000-0000BE160000}"/>
    <cellStyle name="Normal 4 7 5 2" xfId="3938" xr:uid="{00000000-0005-0000-0000-0000BF160000}"/>
    <cellStyle name="Normal 4 7 5 2 2" xfId="8160" xr:uid="{00000000-0005-0000-0000-0000C0160000}"/>
    <cellStyle name="Normal 4 7 5 2 2 2" xfId="17486" xr:uid="{C4C7B6CE-AE63-43EC-B6F8-7BA8FA27DE19}"/>
    <cellStyle name="Normal 4 7 5 2 2 3" xfId="25933" xr:uid="{AE1C8BB8-D4F6-479D-8E42-644B272AA4FE}"/>
    <cellStyle name="Normal 4 7 5 2 2 4" xfId="34380" xr:uid="{388D93E5-6209-4BC3-A9F7-981AB3BFC27E}"/>
    <cellStyle name="Normal 4 7 5 2 3" xfId="13269" xr:uid="{C6342D8E-30A3-436D-8316-8373B893A96B}"/>
    <cellStyle name="Normal 4 7 5 2 4" xfId="21716" xr:uid="{6FB3476C-A331-497A-BD70-BAC67A7FF901}"/>
    <cellStyle name="Normal 4 7 5 2 5" xfId="30163" xr:uid="{C2A4DCFD-8D77-4681-B37A-39A93FB17B2B}"/>
    <cellStyle name="Normal 4 7 5 3" xfId="6015" xr:uid="{00000000-0005-0000-0000-0000C1160000}"/>
    <cellStyle name="Normal 4 7 5 3 2" xfId="15341" xr:uid="{01382AA6-6A81-4F31-892D-4335A81F83C1}"/>
    <cellStyle name="Normal 4 7 5 3 3" xfId="23788" xr:uid="{7F780289-3A3C-4582-AB4E-4F05C154D063}"/>
    <cellStyle name="Normal 4 7 5 3 4" xfId="32235" xr:uid="{75743691-CF8C-4C21-8CE5-4F7212365405}"/>
    <cellStyle name="Normal 4 7 5 4" xfId="11124" xr:uid="{0D7E7DC5-35E5-497A-AFF0-77D063B0E409}"/>
    <cellStyle name="Normal 4 7 5 5" xfId="19571" xr:uid="{F3C12B60-73CD-4543-A2A6-2C35BEFC1EBF}"/>
    <cellStyle name="Normal 4 7 5 6" xfId="28018" xr:uid="{A4F956A0-4DD1-492C-89C7-FBF7B960D63D}"/>
    <cellStyle name="Normal 4 7 6" xfId="2122" xr:uid="{00000000-0005-0000-0000-0000C2160000}"/>
    <cellStyle name="Normal 4 7 6 2" xfId="4351" xr:uid="{00000000-0005-0000-0000-0000C3160000}"/>
    <cellStyle name="Normal 4 7 6 2 2" xfId="8573" xr:uid="{00000000-0005-0000-0000-0000C4160000}"/>
    <cellStyle name="Normal 4 7 6 2 2 2" xfId="17899" xr:uid="{9C372F5E-A7EC-40CD-BAA7-6A8A489BB13D}"/>
    <cellStyle name="Normal 4 7 6 2 2 3" xfId="26346" xr:uid="{6778DF7E-1295-46BF-AEE6-BE86E4E9FF8E}"/>
    <cellStyle name="Normal 4 7 6 2 2 4" xfId="34793" xr:uid="{DAE36F34-DE47-49D7-A187-6CDB9151780F}"/>
    <cellStyle name="Normal 4 7 6 2 3" xfId="13682" xr:uid="{A36D6A75-A326-4F68-A8CB-74A823B88637}"/>
    <cellStyle name="Normal 4 7 6 2 4" xfId="22129" xr:uid="{ACF969EB-F319-431A-BE96-97AE7270B688}"/>
    <cellStyle name="Normal 4 7 6 2 5" xfId="30576" xr:uid="{AA530D2C-4FC1-49A3-804B-7BC7C57256EE}"/>
    <cellStyle name="Normal 4 7 6 3" xfId="6428" xr:uid="{00000000-0005-0000-0000-0000C5160000}"/>
    <cellStyle name="Normal 4 7 6 3 2" xfId="15754" xr:uid="{5AEACE8C-A731-4273-BD94-5424DB7D21AF}"/>
    <cellStyle name="Normal 4 7 6 3 3" xfId="24201" xr:uid="{81CC0683-B168-4431-A436-E55266FE6A7F}"/>
    <cellStyle name="Normal 4 7 6 3 4" xfId="32648" xr:uid="{38F18B09-692B-4923-A549-4865D64777D9}"/>
    <cellStyle name="Normal 4 7 6 4" xfId="11537" xr:uid="{477C3B04-2F12-40D2-9478-4ADE668BEE72}"/>
    <cellStyle name="Normal 4 7 6 5" xfId="19984" xr:uid="{A58E2B33-6F69-4FEB-9B13-E33A85D18C3C}"/>
    <cellStyle name="Normal 4 7 6 6" xfId="28431" xr:uid="{058EF801-7A93-4FA6-AE11-227745850D51}"/>
    <cellStyle name="Normal 4 7 7" xfId="2558" xr:uid="{00000000-0005-0000-0000-0000C6160000}"/>
    <cellStyle name="Normal 4 7 7 2" xfId="6841" xr:uid="{00000000-0005-0000-0000-0000C7160000}"/>
    <cellStyle name="Normal 4 7 7 2 2" xfId="16167" xr:uid="{B87B4646-7B51-413F-B35A-7695109F881B}"/>
    <cellStyle name="Normal 4 7 7 2 3" xfId="24614" xr:uid="{B2ACE9F9-1234-41FD-962D-7F24586E8A0E}"/>
    <cellStyle name="Normal 4 7 7 2 4" xfId="33061" xr:uid="{373AD490-2F86-4BC0-A444-8A390A4ECBCD}"/>
    <cellStyle name="Normal 4 7 7 3" xfId="11950" xr:uid="{BF56EF71-9BD8-4C70-8646-BCC0CE6BCE4F}"/>
    <cellStyle name="Normal 4 7 7 4" xfId="20397" xr:uid="{0E7DEEAA-81A9-4539-AD9E-F00A63CE9A31}"/>
    <cellStyle name="Normal 4 7 7 5" xfId="28844" xr:uid="{687AF2E0-86C3-4BC4-92AE-1CAD3B14190E}"/>
    <cellStyle name="Normal 4 7 8" xfId="4776" xr:uid="{00000000-0005-0000-0000-0000C8160000}"/>
    <cellStyle name="Normal 4 7 8 2" xfId="14102" xr:uid="{5F41933B-6CA4-440E-ADAC-3B7A4059D233}"/>
    <cellStyle name="Normal 4 7 8 3" xfId="22549" xr:uid="{856B7F8C-284C-4074-B0CB-B7718736B8F5}"/>
    <cellStyle name="Normal 4 7 8 4" xfId="30996" xr:uid="{B9888C5B-21FE-464F-93AF-BD093360E5E8}"/>
    <cellStyle name="Normal 4 7 9" xfId="8843" xr:uid="{092972D9-0015-4C5A-94A6-5AFD2026266B}"/>
    <cellStyle name="Normal 4 8" xfId="405" xr:uid="{00000000-0005-0000-0000-0000C9160000}"/>
    <cellStyle name="Normal 4 8 10" xfId="18334" xr:uid="{75CA7082-9349-4CA1-8F75-37F72917A295}"/>
    <cellStyle name="Normal 4 8 11" xfId="26781" xr:uid="{E5CEA48B-C146-4C24-BDD3-7CBAE7B4C00C}"/>
    <cellStyle name="Normal 4 8 2" xfId="879" xr:uid="{00000000-0005-0000-0000-0000CA160000}"/>
    <cellStyle name="Normal 4 8 2 2" xfId="3114" xr:uid="{00000000-0005-0000-0000-0000CB160000}"/>
    <cellStyle name="Normal 4 8 2 2 2" xfId="7336" xr:uid="{00000000-0005-0000-0000-0000CC160000}"/>
    <cellStyle name="Normal 4 8 2 2 2 2" xfId="16662" xr:uid="{13D2F648-1E38-41DA-94D6-22B83BBD39FE}"/>
    <cellStyle name="Normal 4 8 2 2 2 3" xfId="25109" xr:uid="{D4125A6B-E157-46E1-A8E6-91AAA1962800}"/>
    <cellStyle name="Normal 4 8 2 2 2 4" xfId="33556" xr:uid="{0F445964-123B-4B27-91D3-8BEFB2A9E9A4}"/>
    <cellStyle name="Normal 4 8 2 2 3" xfId="12445" xr:uid="{00345B0C-9564-4FFE-A13B-3F2568D9E4F4}"/>
    <cellStyle name="Normal 4 8 2 2 4" xfId="20892" xr:uid="{2DEEC530-723A-407F-9253-2591072F7515}"/>
    <cellStyle name="Normal 4 8 2 2 5" xfId="29339" xr:uid="{DF2A16BC-6DED-4563-BE8E-E0BA8431EBDF}"/>
    <cellStyle name="Normal 4 8 2 3" xfId="5191" xr:uid="{00000000-0005-0000-0000-0000CD160000}"/>
    <cellStyle name="Normal 4 8 2 3 2" xfId="14517" xr:uid="{679BC445-DB03-446D-B45B-4C754601FA1C}"/>
    <cellStyle name="Normal 4 8 2 3 3" xfId="22964" xr:uid="{9DADF765-AD5B-4B6E-BF44-57C846B58F09}"/>
    <cellStyle name="Normal 4 8 2 3 4" xfId="31411" xr:uid="{FC8725CD-9D7F-4B39-9302-9A176532D782}"/>
    <cellStyle name="Normal 4 8 2 4" xfId="9384" xr:uid="{6351F1DA-E485-4044-8429-C0AE76E79EEE}"/>
    <cellStyle name="Normal 4 8 2 5" xfId="10300" xr:uid="{A8982E55-092B-4136-87F0-313A01919B28}"/>
    <cellStyle name="Normal 4 8 2 6" xfId="18747" xr:uid="{62D1E3E0-E7B7-42AA-8335-91E3A6D6B054}"/>
    <cellStyle name="Normal 4 8 2 7" xfId="27194" xr:uid="{3E5416A6-169E-4E50-BF89-6BE26A400F88}"/>
    <cellStyle name="Normal 4 8 3" xfId="1297" xr:uid="{00000000-0005-0000-0000-0000CE160000}"/>
    <cellStyle name="Normal 4 8 3 2" xfId="3527" xr:uid="{00000000-0005-0000-0000-0000CF160000}"/>
    <cellStyle name="Normal 4 8 3 2 2" xfId="7749" xr:uid="{00000000-0005-0000-0000-0000D0160000}"/>
    <cellStyle name="Normal 4 8 3 2 2 2" xfId="17075" xr:uid="{F0B5FEB3-21DD-4D21-92B5-D9DD8B583289}"/>
    <cellStyle name="Normal 4 8 3 2 2 3" xfId="25522" xr:uid="{77DCF35C-3964-4E0C-949B-61BB6D7B146A}"/>
    <cellStyle name="Normal 4 8 3 2 2 4" xfId="33969" xr:uid="{49EAC052-B2CF-4116-B1E6-116867AB5139}"/>
    <cellStyle name="Normal 4 8 3 2 3" xfId="12858" xr:uid="{EB1A2018-C243-4348-9423-F8E519D2A75B}"/>
    <cellStyle name="Normal 4 8 3 2 4" xfId="21305" xr:uid="{94EC9E58-2B6B-45C9-BBCF-E1CF30A1F567}"/>
    <cellStyle name="Normal 4 8 3 2 5" xfId="29752" xr:uid="{149582D9-5BBE-4935-A7E7-1648DC900CDD}"/>
    <cellStyle name="Normal 4 8 3 3" xfId="5604" xr:uid="{00000000-0005-0000-0000-0000D1160000}"/>
    <cellStyle name="Normal 4 8 3 3 2" xfId="14930" xr:uid="{22C7AE2A-3264-4837-8829-F17AB8F074F7}"/>
    <cellStyle name="Normal 4 8 3 3 3" xfId="23377" xr:uid="{41BA1040-D8EC-437C-AF19-97673A22D719}"/>
    <cellStyle name="Normal 4 8 3 3 4" xfId="31824" xr:uid="{B4271941-A16A-4302-8143-51D847AD8D01}"/>
    <cellStyle name="Normal 4 8 3 4" xfId="10713" xr:uid="{A9C628D4-6B37-412F-B80B-B52987069637}"/>
    <cellStyle name="Normal 4 8 3 5" xfId="19160" xr:uid="{A70300CE-0D23-42E7-B2CC-6E918E41F097}"/>
    <cellStyle name="Normal 4 8 3 6" xfId="27607" xr:uid="{37F48155-B711-4D7C-82DA-715DBD229D8A}"/>
    <cellStyle name="Normal 4 8 4" xfId="1710" xr:uid="{00000000-0005-0000-0000-0000D2160000}"/>
    <cellStyle name="Normal 4 8 4 2" xfId="3940" xr:uid="{00000000-0005-0000-0000-0000D3160000}"/>
    <cellStyle name="Normal 4 8 4 2 2" xfId="8162" xr:uid="{00000000-0005-0000-0000-0000D4160000}"/>
    <cellStyle name="Normal 4 8 4 2 2 2" xfId="17488" xr:uid="{E3499DDC-4FB3-499C-A74E-2283B5E00E12}"/>
    <cellStyle name="Normal 4 8 4 2 2 3" xfId="25935" xr:uid="{7DC75BB2-C21C-4C6E-96BC-702CFCE7022C}"/>
    <cellStyle name="Normal 4 8 4 2 2 4" xfId="34382" xr:uid="{E1A9CF66-E390-4268-AB51-D09F35546449}"/>
    <cellStyle name="Normal 4 8 4 2 3" xfId="13271" xr:uid="{5714D627-6A88-4A91-BA23-E43091B8CACC}"/>
    <cellStyle name="Normal 4 8 4 2 4" xfId="21718" xr:uid="{DCE30941-9412-4856-A4F1-D143EBB1B099}"/>
    <cellStyle name="Normal 4 8 4 2 5" xfId="30165" xr:uid="{CC92E9E1-555E-470E-801A-CB88EC65FD34}"/>
    <cellStyle name="Normal 4 8 4 3" xfId="6017" xr:uid="{00000000-0005-0000-0000-0000D5160000}"/>
    <cellStyle name="Normal 4 8 4 3 2" xfId="15343" xr:uid="{2BAC7ECA-0E97-4D05-AD85-C833BEA76AE2}"/>
    <cellStyle name="Normal 4 8 4 3 3" xfId="23790" xr:uid="{A67CD376-7F13-4DCA-AD5D-424B9B03070B}"/>
    <cellStyle name="Normal 4 8 4 3 4" xfId="32237" xr:uid="{D7C47EFC-6BC3-487B-ADA4-7F71F656CC7C}"/>
    <cellStyle name="Normal 4 8 4 4" xfId="11126" xr:uid="{41DEA12E-6B55-4368-A6BB-DA06976A1940}"/>
    <cellStyle name="Normal 4 8 4 5" xfId="19573" xr:uid="{0ECECA85-AAC6-43C2-A6B5-726BA5F92D15}"/>
    <cellStyle name="Normal 4 8 4 6" xfId="28020" xr:uid="{86F8ECD1-1BB6-4CAF-8ADA-9A6162B704D8}"/>
    <cellStyle name="Normal 4 8 5" xfId="2124" xr:uid="{00000000-0005-0000-0000-0000D6160000}"/>
    <cellStyle name="Normal 4 8 5 2" xfId="4353" xr:uid="{00000000-0005-0000-0000-0000D7160000}"/>
    <cellStyle name="Normal 4 8 5 2 2" xfId="8575" xr:uid="{00000000-0005-0000-0000-0000D8160000}"/>
    <cellStyle name="Normal 4 8 5 2 2 2" xfId="17901" xr:uid="{6FB32E94-56AE-4C8E-902C-53266B81C425}"/>
    <cellStyle name="Normal 4 8 5 2 2 3" xfId="26348" xr:uid="{1EA4382A-EFC0-45F4-AC38-0E566EF09FFF}"/>
    <cellStyle name="Normal 4 8 5 2 2 4" xfId="34795" xr:uid="{C54DB71E-A315-474E-8F85-7DCE3DA8B9DD}"/>
    <cellStyle name="Normal 4 8 5 2 3" xfId="13684" xr:uid="{FEC724A6-2D89-4542-B951-AC00B06A90CA}"/>
    <cellStyle name="Normal 4 8 5 2 4" xfId="22131" xr:uid="{6B0A2742-8058-4402-B4E3-491ADF899229}"/>
    <cellStyle name="Normal 4 8 5 2 5" xfId="30578" xr:uid="{FC897B08-B403-4953-B508-A51F194D167D}"/>
    <cellStyle name="Normal 4 8 5 3" xfId="6430" xr:uid="{00000000-0005-0000-0000-0000D9160000}"/>
    <cellStyle name="Normal 4 8 5 3 2" xfId="15756" xr:uid="{B4B1E83E-D7BB-4C49-98E0-E723F93B2A3A}"/>
    <cellStyle name="Normal 4 8 5 3 3" xfId="24203" xr:uid="{EF424994-65D7-40DB-AFD0-4716BF1F99CD}"/>
    <cellStyle name="Normal 4 8 5 3 4" xfId="32650" xr:uid="{DE5FBCC2-EE90-44C4-83ED-7176A564EFA7}"/>
    <cellStyle name="Normal 4 8 5 4" xfId="11539" xr:uid="{AFF5ED9C-E2BF-4BD8-A141-228196A97B97}"/>
    <cellStyle name="Normal 4 8 5 5" xfId="19986" xr:uid="{A238F33F-4A6C-4587-AFAE-5632CBD7759F}"/>
    <cellStyle name="Normal 4 8 5 6" xfId="28433" xr:uid="{FA0D21C0-FC08-494F-B61A-B5ACA6CB845F}"/>
    <cellStyle name="Normal 4 8 6" xfId="2560" xr:uid="{00000000-0005-0000-0000-0000DA160000}"/>
    <cellStyle name="Normal 4 8 6 2" xfId="6843" xr:uid="{00000000-0005-0000-0000-0000DB160000}"/>
    <cellStyle name="Normal 4 8 6 2 2" xfId="16169" xr:uid="{3AA6E3D5-1CA7-41D2-B643-8204D0C15D7A}"/>
    <cellStyle name="Normal 4 8 6 2 3" xfId="24616" xr:uid="{1854B14E-678A-4516-97A8-C76939229C86}"/>
    <cellStyle name="Normal 4 8 6 2 4" xfId="33063" xr:uid="{DCD43395-5764-4007-8D6B-28525842EF48}"/>
    <cellStyle name="Normal 4 8 6 3" xfId="11952" xr:uid="{0F965DB7-05FE-4B12-A921-6DE0157E0398}"/>
    <cellStyle name="Normal 4 8 6 4" xfId="20399" xr:uid="{A259317F-6232-4E75-9113-8C0524A62EFD}"/>
    <cellStyle name="Normal 4 8 6 5" xfId="28846" xr:uid="{027A722D-83EF-430C-B846-CFFC3CE8FBB6}"/>
    <cellStyle name="Normal 4 8 7" xfId="4778" xr:uid="{00000000-0005-0000-0000-0000DC160000}"/>
    <cellStyle name="Normal 4 8 7 2" xfId="14104" xr:uid="{A0B0AA10-24CD-4E79-ABFA-1DD2C8719A3B}"/>
    <cellStyle name="Normal 4 8 7 3" xfId="22551" xr:uid="{0D9D0AC5-041D-4D7C-8E47-F0AEE9A15730}"/>
    <cellStyle name="Normal 4 8 7 4" xfId="30998" xr:uid="{9C152A31-41AC-43FE-8B9D-7C08148E0C6B}"/>
    <cellStyle name="Normal 4 8 8" xfId="8959" xr:uid="{E3216EF3-66EB-48FF-967C-A258B3C3F4FF}"/>
    <cellStyle name="Normal 4 8 9" xfId="9887" xr:uid="{889C05F3-4E1F-4960-B0FC-23987F7691A8}"/>
    <cellStyle name="Normal 4 9" xfId="4715" xr:uid="{00000000-0005-0000-0000-0000DD160000}"/>
    <cellStyle name="Normal 4 9 2" xfId="9162" xr:uid="{BC355FAB-4557-4712-A03F-EB5522B29E6A}"/>
    <cellStyle name="Normal 4 9 3" xfId="14041" xr:uid="{398F4C79-C4F2-4D8A-B489-36611C7D22F8}"/>
    <cellStyle name="Normal 4 9 4" xfId="22488" xr:uid="{B52E2120-8EBE-4F7C-8A04-BEF2D9A186B7}"/>
    <cellStyle name="Normal 4 9 5" xfId="30935" xr:uid="{EA0B4555-9383-448B-A106-122A7622E778}"/>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17489" xr:uid="{36297031-41A9-4B2E-9AF3-3ED33C8D2D61}"/>
    <cellStyle name="Normal 5 10 2 2 3" xfId="25936" xr:uid="{B7F99E3A-5941-4FCF-8D38-18E661B8F134}"/>
    <cellStyle name="Normal 5 10 2 2 4" xfId="34383" xr:uid="{A8877B17-F429-4CCA-BDA4-FE5629F2E255}"/>
    <cellStyle name="Normal 5 10 2 3" xfId="13272" xr:uid="{289E7DF3-6B91-4720-A00A-661900DFB1E1}"/>
    <cellStyle name="Normal 5 10 2 4" xfId="21719" xr:uid="{4AB64442-9A8C-4983-ADBE-1B92C050F6D7}"/>
    <cellStyle name="Normal 5 10 2 5" xfId="30166" xr:uid="{FF7BCF84-A2F7-49FA-AABA-A223EC093333}"/>
    <cellStyle name="Normal 5 10 3" xfId="6018" xr:uid="{00000000-0005-0000-0000-0000E2160000}"/>
    <cellStyle name="Normal 5 10 3 2" xfId="15344" xr:uid="{5E66F32E-2896-4A5C-B075-6A9B497A2BDC}"/>
    <cellStyle name="Normal 5 10 3 3" xfId="23791" xr:uid="{DC70874D-5F83-4552-84FD-A19658B05FA6}"/>
    <cellStyle name="Normal 5 10 3 4" xfId="32238" xr:uid="{34610275-5528-46B5-B9EB-E161EF9DD5DE}"/>
    <cellStyle name="Normal 5 10 4" xfId="11127" xr:uid="{D06B6CA2-23BC-4994-B8D2-9A930890B96B}"/>
    <cellStyle name="Normal 5 10 5" xfId="19574" xr:uid="{3506F86C-D8AA-43C5-8E53-A5F11DED432C}"/>
    <cellStyle name="Normal 5 10 6" xfId="28021" xr:uid="{2A2C4BD2-8717-4935-98B1-E962CABF0133}"/>
    <cellStyle name="Normal 5 11" xfId="2125" xr:uid="{00000000-0005-0000-0000-0000E3160000}"/>
    <cellStyle name="Normal 5 11 2" xfId="4354" xr:uid="{00000000-0005-0000-0000-0000E4160000}"/>
    <cellStyle name="Normal 5 11 2 2" xfId="8576" xr:uid="{00000000-0005-0000-0000-0000E5160000}"/>
    <cellStyle name="Normal 5 11 2 2 2" xfId="17902" xr:uid="{2AAE2B50-D9B8-4D52-B240-2C43C112AC6F}"/>
    <cellStyle name="Normal 5 11 2 2 3" xfId="26349" xr:uid="{02829878-C5B5-4CEB-9F3E-6B45F4457628}"/>
    <cellStyle name="Normal 5 11 2 2 4" xfId="34796" xr:uid="{5C52C405-F72D-4A4B-99AB-7705151CB99B}"/>
    <cellStyle name="Normal 5 11 2 3" xfId="13685" xr:uid="{BA63DFFB-4908-4390-AB2D-BAF57A47B588}"/>
    <cellStyle name="Normal 5 11 2 4" xfId="22132" xr:uid="{451D4D89-5A3C-4415-81E4-48EE9F8A91CD}"/>
    <cellStyle name="Normal 5 11 2 5" xfId="30579" xr:uid="{E2FACDF6-6085-4120-B410-46AE40A83006}"/>
    <cellStyle name="Normal 5 11 3" xfId="6431" xr:uid="{00000000-0005-0000-0000-0000E6160000}"/>
    <cellStyle name="Normal 5 11 3 2" xfId="15757" xr:uid="{760E4740-D335-4F74-AFE1-02CFE1DA0FA6}"/>
    <cellStyle name="Normal 5 11 3 3" xfId="24204" xr:uid="{1CF34EA0-9A50-4D7E-936B-6C06B66CF3A9}"/>
    <cellStyle name="Normal 5 11 3 4" xfId="32651" xr:uid="{0ED87D91-EC2E-4FC3-BB01-11418879A510}"/>
    <cellStyle name="Normal 5 11 4" xfId="11540" xr:uid="{BF570588-9E20-4CD9-BE4C-911047709769}"/>
    <cellStyle name="Normal 5 11 5" xfId="19987" xr:uid="{323D0DE8-0025-44AC-BA5A-BBC6621E9C2B}"/>
    <cellStyle name="Normal 5 11 6" xfId="28434" xr:uid="{4DD5E184-85C6-4C4D-8977-0A3221340956}"/>
    <cellStyle name="Normal 5 12" xfId="2561" xr:uid="{00000000-0005-0000-0000-0000E7160000}"/>
    <cellStyle name="Normal 5 12 2" xfId="6844" xr:uid="{00000000-0005-0000-0000-0000E8160000}"/>
    <cellStyle name="Normal 5 12 2 2" xfId="16170" xr:uid="{2BF81198-43D3-4378-9AB8-47619D37A4B4}"/>
    <cellStyle name="Normal 5 12 2 3" xfId="24617" xr:uid="{6B6257E7-EE6C-4397-8F99-8A4A021AD35F}"/>
    <cellStyle name="Normal 5 12 2 4" xfId="33064" xr:uid="{7DB79280-3F01-493B-B079-AA1A7709A127}"/>
    <cellStyle name="Normal 5 12 3" xfId="11953" xr:uid="{804B42FD-3152-422F-9EA5-210367F77D5F}"/>
    <cellStyle name="Normal 5 12 4" xfId="20400" xr:uid="{AB8FA02A-CABA-4F33-95B9-8251F2016BE2}"/>
    <cellStyle name="Normal 5 12 5" xfId="28847" xr:uid="{0E5747D5-32E8-484F-83B0-B21FA6845535}"/>
    <cellStyle name="Normal 5 13" xfId="4779" xr:uid="{00000000-0005-0000-0000-0000E9160000}"/>
    <cellStyle name="Normal 5 13 2" xfId="14105" xr:uid="{8C7E87B0-FD9C-4DC4-9ECC-F930BDF70926}"/>
    <cellStyle name="Normal 5 13 3" xfId="22552" xr:uid="{8C248E95-39CC-4086-83A8-47A9D3B7C242}"/>
    <cellStyle name="Normal 5 13 4" xfId="30999" xr:uid="{89CAEC4D-A4FF-4F82-B054-55015369C1F5}"/>
    <cellStyle name="Normal 5 14" xfId="8741" xr:uid="{6467398C-BC57-47BF-AF01-9B3356F8431F}"/>
    <cellStyle name="Normal 5 15" xfId="9888" xr:uid="{70FA9813-87D5-479E-B915-F55832AA5E64}"/>
    <cellStyle name="Normal 5 16" xfId="18335" xr:uid="{C9F0D0BF-D65B-4018-BA0D-B6415A2212EA}"/>
    <cellStyle name="Normal 5 17" xfId="26782" xr:uid="{6A3400E6-B545-4E7E-B556-3FFEFF7954A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17903" xr:uid="{4AB47FFA-A1DB-47A7-BECD-521D498A0F59}"/>
    <cellStyle name="Normal 5 2 10 2 2 3" xfId="26350" xr:uid="{3A7EDED2-0D67-4C30-8FC0-7ADCED0363C6}"/>
    <cellStyle name="Normal 5 2 10 2 2 4" xfId="34797" xr:uid="{96F36421-D77D-4A46-B9DC-BC1385BF4461}"/>
    <cellStyle name="Normal 5 2 10 2 3" xfId="13686" xr:uid="{CF05CB8B-30EE-43AA-AE43-5F57C5569DB7}"/>
    <cellStyle name="Normal 5 2 10 2 4" xfId="22133" xr:uid="{9D375AA7-68C0-46FE-847E-70DC84CEA710}"/>
    <cellStyle name="Normal 5 2 10 2 5" xfId="30580" xr:uid="{D12CCFF4-9C85-4B15-A996-835BBC3BA78E}"/>
    <cellStyle name="Normal 5 2 10 3" xfId="6432" xr:uid="{00000000-0005-0000-0000-0000EE160000}"/>
    <cellStyle name="Normal 5 2 10 3 2" xfId="15758" xr:uid="{5DE47901-07F3-4E5B-962B-48A9077535B2}"/>
    <cellStyle name="Normal 5 2 10 3 3" xfId="24205" xr:uid="{C648A521-BDCB-4CB9-9272-1BC73A390AD4}"/>
    <cellStyle name="Normal 5 2 10 3 4" xfId="32652" xr:uid="{8E9739CD-E774-41E1-A033-DB81906326B5}"/>
    <cellStyle name="Normal 5 2 10 4" xfId="11541" xr:uid="{5C3B0879-E9C6-4904-8402-8F51F9D98A82}"/>
    <cellStyle name="Normal 5 2 10 5" xfId="19988" xr:uid="{4547A942-52EF-4BBE-B167-453A70324795}"/>
    <cellStyle name="Normal 5 2 10 6" xfId="28435" xr:uid="{3AC7C01C-0976-4F24-BA58-327074F13681}"/>
    <cellStyle name="Normal 5 2 11" xfId="2562" xr:uid="{00000000-0005-0000-0000-0000EF160000}"/>
    <cellStyle name="Normal 5 2 11 2" xfId="6845" xr:uid="{00000000-0005-0000-0000-0000F0160000}"/>
    <cellStyle name="Normal 5 2 11 2 2" xfId="16171" xr:uid="{36D829FE-7952-4B94-8E1C-B0862F1ECA70}"/>
    <cellStyle name="Normal 5 2 11 2 3" xfId="24618" xr:uid="{44CFA8BF-A6EC-4E87-A47F-41299D9994F7}"/>
    <cellStyle name="Normal 5 2 11 2 4" xfId="33065" xr:uid="{2568974B-58E6-4A1B-B162-426DD8F810DB}"/>
    <cellStyle name="Normal 5 2 11 3" xfId="11954" xr:uid="{9B86EAD1-07EA-4D44-B634-F2F76FC2C706}"/>
    <cellStyle name="Normal 5 2 11 4" xfId="20401" xr:uid="{667F0A34-D5E2-412B-A7CB-40F4DF9A20B2}"/>
    <cellStyle name="Normal 5 2 11 5" xfId="28848" xr:uid="{6B6EEDCA-7FF1-4FC4-9897-40A6693D35C6}"/>
    <cellStyle name="Normal 5 2 12" xfId="4780" xr:uid="{00000000-0005-0000-0000-0000F1160000}"/>
    <cellStyle name="Normal 5 2 12 2" xfId="14106" xr:uid="{FCD67AB1-5F80-47AB-8BE6-1AB82A742EE7}"/>
    <cellStyle name="Normal 5 2 12 3" xfId="22553" xr:uid="{73179679-CCA4-4563-A9BD-2FA8C681E978}"/>
    <cellStyle name="Normal 5 2 12 4" xfId="31000" xr:uid="{27FD23EA-D515-45C3-AA14-D6613DA07CB4}"/>
    <cellStyle name="Normal 5 2 13" xfId="8744" xr:uid="{40D5DF2B-E9DF-4D52-AAE0-3E5A94050B59}"/>
    <cellStyle name="Normal 5 2 14" xfId="9889" xr:uid="{B921558C-7697-4708-A464-B3815FF32B82}"/>
    <cellStyle name="Normal 5 2 15" xfId="18336" xr:uid="{0972133B-A6C2-4EF3-B93D-F277A77AB295}"/>
    <cellStyle name="Normal 5 2 16" xfId="26783" xr:uid="{4BC2FBFC-D189-463D-8872-408F3A055B3E}"/>
    <cellStyle name="Normal 5 2 2" xfId="408" xr:uid="{00000000-0005-0000-0000-0000F2160000}"/>
    <cellStyle name="Normal 5 2 2 10" xfId="2563" xr:uid="{00000000-0005-0000-0000-0000F3160000}"/>
    <cellStyle name="Normal 5 2 2 10 2" xfId="6846" xr:uid="{00000000-0005-0000-0000-0000F4160000}"/>
    <cellStyle name="Normal 5 2 2 10 2 2" xfId="16172" xr:uid="{F8D204D2-5013-41A8-A2CE-386B912C9B5E}"/>
    <cellStyle name="Normal 5 2 2 10 2 3" xfId="24619" xr:uid="{855475A5-ACD0-48AF-9D1A-39DC1C7FC45E}"/>
    <cellStyle name="Normal 5 2 2 10 2 4" xfId="33066" xr:uid="{38EABF31-812D-430F-817A-785CE6886740}"/>
    <cellStyle name="Normal 5 2 2 10 3" xfId="11955" xr:uid="{70F4250B-8F3D-4E03-B9E4-CD61886BCAB6}"/>
    <cellStyle name="Normal 5 2 2 10 4" xfId="20402" xr:uid="{E27FC57A-59F6-4A13-AEC7-E9CEF54967F4}"/>
    <cellStyle name="Normal 5 2 2 10 5" xfId="28849" xr:uid="{461DC296-74B7-4AA1-A358-F26609CCB252}"/>
    <cellStyle name="Normal 5 2 2 11" xfId="4781" xr:uid="{00000000-0005-0000-0000-0000F5160000}"/>
    <cellStyle name="Normal 5 2 2 11 2" xfId="14107" xr:uid="{DDC96646-1E08-4A44-8732-095399896089}"/>
    <cellStyle name="Normal 5 2 2 11 3" xfId="22554" xr:uid="{9378DB82-ED61-4715-A769-7FA5DF007FDF}"/>
    <cellStyle name="Normal 5 2 2 11 4" xfId="31001" xr:uid="{CED1EE92-28C3-4770-813D-A558BC585121}"/>
    <cellStyle name="Normal 5 2 2 12" xfId="8753" xr:uid="{96D04E2F-D92F-448D-9FDA-8261D8BEE094}"/>
    <cellStyle name="Normal 5 2 2 13" xfId="9890" xr:uid="{D7629145-E92B-4F19-9566-765BEA5A89E2}"/>
    <cellStyle name="Normal 5 2 2 14" xfId="18337" xr:uid="{6553D6B0-948C-411B-BEDA-F4A6C5C18C27}"/>
    <cellStyle name="Normal 5 2 2 15" xfId="26784" xr:uid="{0E3D5474-1472-4D62-A53E-6C862443E29C}"/>
    <cellStyle name="Normal 5 2 2 2" xfId="409" xr:uid="{00000000-0005-0000-0000-0000F6160000}"/>
    <cellStyle name="Normal 5 2 2 2 10" xfId="4782" xr:uid="{00000000-0005-0000-0000-0000F7160000}"/>
    <cellStyle name="Normal 5 2 2 2 10 2" xfId="14108" xr:uid="{960B407D-F189-485B-A114-EE4B69B9AF5C}"/>
    <cellStyle name="Normal 5 2 2 2 10 3" xfId="22555" xr:uid="{474F6F59-8AD5-4C07-8B0C-F31CEB7BC0FD}"/>
    <cellStyle name="Normal 5 2 2 2 10 4" xfId="31002" xr:uid="{EBA6F661-AA7D-40F9-A03E-BD5730957C9E}"/>
    <cellStyle name="Normal 5 2 2 2 11" xfId="8771" xr:uid="{0E58ED1C-12F1-4692-801F-170CA6F7CBDB}"/>
    <cellStyle name="Normal 5 2 2 2 12" xfId="9891" xr:uid="{4B29CAF0-C879-44D1-8245-537679387609}"/>
    <cellStyle name="Normal 5 2 2 2 13" xfId="18338" xr:uid="{903AB84B-F976-42A1-87CA-9220D2E27F51}"/>
    <cellStyle name="Normal 5 2 2 2 14" xfId="26785" xr:uid="{7C9F93C9-60BA-4B35-A1C3-A2C9AB0C3412}"/>
    <cellStyle name="Normal 5 2 2 2 2" xfId="410" xr:uid="{00000000-0005-0000-0000-0000F8160000}"/>
    <cellStyle name="Normal 5 2 2 2 2 10" xfId="8829" xr:uid="{AC161972-21E9-4E03-8D2E-9F95632CB08D}"/>
    <cellStyle name="Normal 5 2 2 2 2 11" xfId="9892" xr:uid="{7C095466-F62F-475B-B3BD-683568E7768F}"/>
    <cellStyle name="Normal 5 2 2 2 2 12" xfId="18339" xr:uid="{35B25450-099B-4D39-9EC3-0BD362FCBEA1}"/>
    <cellStyle name="Normal 5 2 2 2 2 13" xfId="26786" xr:uid="{84D24F8A-136D-420E-BD7D-74ECE2BE8C21}"/>
    <cellStyle name="Normal 5 2 2 2 2 2" xfId="411" xr:uid="{00000000-0005-0000-0000-0000F9160000}"/>
    <cellStyle name="Normal 5 2 2 2 2 2 10" xfId="9893" xr:uid="{D85F1D77-1213-44E9-B201-877F4A723EAB}"/>
    <cellStyle name="Normal 5 2 2 2 2 2 11" xfId="18340" xr:uid="{99C44491-70E3-4B34-B90B-11759F0F01E9}"/>
    <cellStyle name="Normal 5 2 2 2 2 2 12" xfId="26787" xr:uid="{9D45BDD8-4382-4EE0-ACAA-0DB0E665A1B9}"/>
    <cellStyle name="Normal 5 2 2 2 2 2 2" xfId="412" xr:uid="{00000000-0005-0000-0000-0000FA160000}"/>
    <cellStyle name="Normal 5 2 2 2 2 2 2 10" xfId="18341" xr:uid="{86A2CB6A-5593-4333-95FC-479224CA4C8C}"/>
    <cellStyle name="Normal 5 2 2 2 2 2 2 11" xfId="26788" xr:uid="{33914EA3-AE45-4199-B20D-95E65B329FA1}"/>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16669" xr:uid="{DEB3C542-21CF-4228-96DC-EFFF4CDB60AD}"/>
    <cellStyle name="Normal 5 2 2 2 2 2 2 2 2 2 3" xfId="25116" xr:uid="{581E92FC-4F04-4371-B502-5A4255AC6700}"/>
    <cellStyle name="Normal 5 2 2 2 2 2 2 2 2 2 4" xfId="33563" xr:uid="{6D3CA636-3929-449B-BE01-F95AD3475D68}"/>
    <cellStyle name="Normal 5 2 2 2 2 2 2 2 2 3" xfId="12452" xr:uid="{B3B8CDF1-5FBF-4F72-ACFD-3DE0FB2A3947}"/>
    <cellStyle name="Normal 5 2 2 2 2 2 2 2 2 4" xfId="20899" xr:uid="{90C0B9C3-B0F3-4D8B-94C1-457B6B9C8353}"/>
    <cellStyle name="Normal 5 2 2 2 2 2 2 2 2 5" xfId="29346" xr:uid="{A3473305-40C5-438E-8FC0-4FE941892BCF}"/>
    <cellStyle name="Normal 5 2 2 2 2 2 2 2 3" xfId="5198" xr:uid="{00000000-0005-0000-0000-0000FE160000}"/>
    <cellStyle name="Normal 5 2 2 2 2 2 2 2 3 2" xfId="14524" xr:uid="{CE453691-F109-4B4A-A6A5-AB2893F1678A}"/>
    <cellStyle name="Normal 5 2 2 2 2 2 2 2 3 3" xfId="22971" xr:uid="{1DF844F9-D222-4AF6-A61C-2029E13D6858}"/>
    <cellStyle name="Normal 5 2 2 2 2 2 2 2 3 4" xfId="31418" xr:uid="{2DF9D1AF-7FDE-46A4-A5C5-42DF65A13CBE}"/>
    <cellStyle name="Normal 5 2 2 2 2 2 2 2 4" xfId="9564" xr:uid="{15884BE4-44C0-46E7-A184-FC102AAADEB4}"/>
    <cellStyle name="Normal 5 2 2 2 2 2 2 2 5" xfId="10307" xr:uid="{01CA7963-CE4E-4AC4-B01D-E7F758EDB4AC}"/>
    <cellStyle name="Normal 5 2 2 2 2 2 2 2 6" xfId="18754" xr:uid="{F1ED29CC-808F-4C24-88F9-CA9D8116C689}"/>
    <cellStyle name="Normal 5 2 2 2 2 2 2 2 7" xfId="27201" xr:uid="{62CCD2B6-41B8-498A-8810-CF421D90FBDF}"/>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17082" xr:uid="{AB3B3521-ED6C-49AB-AF21-2EE123181741}"/>
    <cellStyle name="Normal 5 2 2 2 2 2 2 3 2 2 3" xfId="25529" xr:uid="{CC8A8B9A-25D8-44F0-A742-FF209F546964}"/>
    <cellStyle name="Normal 5 2 2 2 2 2 2 3 2 2 4" xfId="33976" xr:uid="{CBFA19CA-1349-4E2F-A1E0-88FB0191C320}"/>
    <cellStyle name="Normal 5 2 2 2 2 2 2 3 2 3" xfId="12865" xr:uid="{CED9A496-3478-494A-8F8B-B5697D0CA7A4}"/>
    <cellStyle name="Normal 5 2 2 2 2 2 2 3 2 4" xfId="21312" xr:uid="{7DC8717F-6629-4E45-85A7-A01BB6B483F2}"/>
    <cellStyle name="Normal 5 2 2 2 2 2 2 3 2 5" xfId="29759" xr:uid="{15448E11-1803-44E8-8158-22B893C01CFA}"/>
    <cellStyle name="Normal 5 2 2 2 2 2 2 3 3" xfId="5611" xr:uid="{00000000-0005-0000-0000-000002170000}"/>
    <cellStyle name="Normal 5 2 2 2 2 2 2 3 3 2" xfId="14937" xr:uid="{C8426EE1-6A8F-41D0-B429-9E4163C1CB6E}"/>
    <cellStyle name="Normal 5 2 2 2 2 2 2 3 3 3" xfId="23384" xr:uid="{FC66FE97-4E46-4761-A714-62EB85BAB48A}"/>
    <cellStyle name="Normal 5 2 2 2 2 2 2 3 3 4" xfId="31831" xr:uid="{7F5D6AFA-74BC-49CB-86D0-B12661ECE4D8}"/>
    <cellStyle name="Normal 5 2 2 2 2 2 2 3 4" xfId="10720" xr:uid="{C141A9CF-7316-4AC7-B8A6-59A7C2747E06}"/>
    <cellStyle name="Normal 5 2 2 2 2 2 2 3 5" xfId="19167" xr:uid="{F1C84DFA-492E-4508-91D4-F85FFC308BA0}"/>
    <cellStyle name="Normal 5 2 2 2 2 2 2 3 6" xfId="27614" xr:uid="{86B406A5-E164-4624-B857-57D8C0D8A6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17495" xr:uid="{B24B0F7D-7A75-4E68-BA87-CEE5BB5D8205}"/>
    <cellStyle name="Normal 5 2 2 2 2 2 2 4 2 2 3" xfId="25942" xr:uid="{93DD27A8-B7AC-4289-8EDC-9D74AE594FBE}"/>
    <cellStyle name="Normal 5 2 2 2 2 2 2 4 2 2 4" xfId="34389" xr:uid="{7A23018C-F828-47F1-A5EE-1208A02168CF}"/>
    <cellStyle name="Normal 5 2 2 2 2 2 2 4 2 3" xfId="13278" xr:uid="{BAE247B4-8AC4-4E06-983B-CC634F3C4E30}"/>
    <cellStyle name="Normal 5 2 2 2 2 2 2 4 2 4" xfId="21725" xr:uid="{41111C1D-040C-4282-910D-A681D8ABCFD3}"/>
    <cellStyle name="Normal 5 2 2 2 2 2 2 4 2 5" xfId="30172" xr:uid="{0760D62C-F6ED-4574-BF1B-8637FA04A1A7}"/>
    <cellStyle name="Normal 5 2 2 2 2 2 2 4 3" xfId="6024" xr:uid="{00000000-0005-0000-0000-000006170000}"/>
    <cellStyle name="Normal 5 2 2 2 2 2 2 4 3 2" xfId="15350" xr:uid="{3074656D-B0CE-4DF6-9CC4-09410F52DBED}"/>
    <cellStyle name="Normal 5 2 2 2 2 2 2 4 3 3" xfId="23797" xr:uid="{7FD2FB20-2D9A-4B71-AE0E-8AE027F03777}"/>
    <cellStyle name="Normal 5 2 2 2 2 2 2 4 3 4" xfId="32244" xr:uid="{90D2FB1D-5F3A-4A07-A7C7-B6329D9BE7CE}"/>
    <cellStyle name="Normal 5 2 2 2 2 2 2 4 4" xfId="11133" xr:uid="{517DF313-F688-42F7-8070-2605A7A58539}"/>
    <cellStyle name="Normal 5 2 2 2 2 2 2 4 5" xfId="19580" xr:uid="{C454727E-53B0-480A-A1BC-D888BFB067F9}"/>
    <cellStyle name="Normal 5 2 2 2 2 2 2 4 6" xfId="28027" xr:uid="{4C8992CB-6B16-4872-B85B-E4A8AD75D8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17908" xr:uid="{1C574FFC-2AE4-4BB9-AF61-5962EF0C6620}"/>
    <cellStyle name="Normal 5 2 2 2 2 2 2 5 2 2 3" xfId="26355" xr:uid="{2823A4AE-2576-431D-A733-EA9F900E1E21}"/>
    <cellStyle name="Normal 5 2 2 2 2 2 2 5 2 2 4" xfId="34802" xr:uid="{CE21569D-8475-4F80-9041-67BD8CFB9E39}"/>
    <cellStyle name="Normal 5 2 2 2 2 2 2 5 2 3" xfId="13691" xr:uid="{7D837EBB-3A38-4EC4-8435-EEAE31AF5C05}"/>
    <cellStyle name="Normal 5 2 2 2 2 2 2 5 2 4" xfId="22138" xr:uid="{BB8C743F-2BB4-432A-A395-573628C09AE8}"/>
    <cellStyle name="Normal 5 2 2 2 2 2 2 5 2 5" xfId="30585" xr:uid="{57B70A82-C44C-41EF-9415-AD5DE7FEBADA}"/>
    <cellStyle name="Normal 5 2 2 2 2 2 2 5 3" xfId="6437" xr:uid="{00000000-0005-0000-0000-00000A170000}"/>
    <cellStyle name="Normal 5 2 2 2 2 2 2 5 3 2" xfId="15763" xr:uid="{C3E34BFE-2B1E-499B-B42C-3A05B56F8118}"/>
    <cellStyle name="Normal 5 2 2 2 2 2 2 5 3 3" xfId="24210" xr:uid="{37CE97E0-1AE2-40AE-A294-69E40F01CA66}"/>
    <cellStyle name="Normal 5 2 2 2 2 2 2 5 3 4" xfId="32657" xr:uid="{085A7E41-E536-419B-9B39-DEC0338FAEF2}"/>
    <cellStyle name="Normal 5 2 2 2 2 2 2 5 4" xfId="11546" xr:uid="{4E549E57-EC4C-4B28-B02D-5EC0D3E33FC2}"/>
    <cellStyle name="Normal 5 2 2 2 2 2 2 5 5" xfId="19993" xr:uid="{E401126C-8C0C-42A3-8AEC-F08507A75699}"/>
    <cellStyle name="Normal 5 2 2 2 2 2 2 5 6" xfId="28440" xr:uid="{04A74558-C7E5-4C66-89E7-FDE71B2CE9B3}"/>
    <cellStyle name="Normal 5 2 2 2 2 2 2 6" xfId="2567" xr:uid="{00000000-0005-0000-0000-00000B170000}"/>
    <cellStyle name="Normal 5 2 2 2 2 2 2 6 2" xfId="6850" xr:uid="{00000000-0005-0000-0000-00000C170000}"/>
    <cellStyle name="Normal 5 2 2 2 2 2 2 6 2 2" xfId="16176" xr:uid="{CA28E248-1AA3-4CF6-88F8-4C1233D45809}"/>
    <cellStyle name="Normal 5 2 2 2 2 2 2 6 2 3" xfId="24623" xr:uid="{838E2143-2309-4F79-8279-9762C30C2C63}"/>
    <cellStyle name="Normal 5 2 2 2 2 2 2 6 2 4" xfId="33070" xr:uid="{D6A0C104-3D6B-434E-920E-46F2FBB10EB7}"/>
    <cellStyle name="Normal 5 2 2 2 2 2 2 6 3" xfId="11959" xr:uid="{A5BE32B1-63DF-4C88-B581-6C3DE90F6C35}"/>
    <cellStyle name="Normal 5 2 2 2 2 2 2 6 4" xfId="20406" xr:uid="{4C8FDA46-A9F5-48C5-B7A7-F40D8C0C336D}"/>
    <cellStyle name="Normal 5 2 2 2 2 2 2 6 5" xfId="28853" xr:uid="{32F15D21-D5BD-41B0-A75E-801BB5C34063}"/>
    <cellStyle name="Normal 5 2 2 2 2 2 2 7" xfId="4785" xr:uid="{00000000-0005-0000-0000-00000D170000}"/>
    <cellStyle name="Normal 5 2 2 2 2 2 2 7 2" xfId="14111" xr:uid="{40DABFC1-5CBD-4F5D-BD78-B09CE419EF34}"/>
    <cellStyle name="Normal 5 2 2 2 2 2 2 7 3" xfId="22558" xr:uid="{940E3633-DAC9-4BD4-9530-57CA52858FDE}"/>
    <cellStyle name="Normal 5 2 2 2 2 2 2 7 4" xfId="31005" xr:uid="{263BE7A6-F072-47FB-9419-460057EF4DEC}"/>
    <cellStyle name="Normal 5 2 2 2 2 2 2 8" xfId="9139" xr:uid="{CFCC7179-F81D-4929-81F2-C6E64655A093}"/>
    <cellStyle name="Normal 5 2 2 2 2 2 2 9" xfId="9894" xr:uid="{91DC1D14-B17C-46F2-B730-52A7F85F4DD4}"/>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16668" xr:uid="{9415DC4C-ABDF-43E3-B193-BD3716C93BB2}"/>
    <cellStyle name="Normal 5 2 2 2 2 2 3 2 2 3" xfId="25115" xr:uid="{D61F1085-456A-47E3-A317-37831087E788}"/>
    <cellStyle name="Normal 5 2 2 2 2 2 3 2 2 4" xfId="33562" xr:uid="{0EF19AB7-160D-4E8C-B63E-DB53DAAE1BB4}"/>
    <cellStyle name="Normal 5 2 2 2 2 2 3 2 3" xfId="12451" xr:uid="{A8AF6352-EB73-4288-8FB1-699324AAAF51}"/>
    <cellStyle name="Normal 5 2 2 2 2 2 3 2 4" xfId="20898" xr:uid="{0B8ACBF0-304E-43F6-ADE7-07EB4B7F278D}"/>
    <cellStyle name="Normal 5 2 2 2 2 2 3 2 5" xfId="29345" xr:uid="{8DDC7C69-CF9D-4678-A5CA-C1B8B446D988}"/>
    <cellStyle name="Normal 5 2 2 2 2 2 3 3" xfId="5197" xr:uid="{00000000-0005-0000-0000-000011170000}"/>
    <cellStyle name="Normal 5 2 2 2 2 2 3 3 2" xfId="14523" xr:uid="{025FEF03-916F-4EE7-925A-2238F07004E9}"/>
    <cellStyle name="Normal 5 2 2 2 2 2 3 3 3" xfId="22970" xr:uid="{CE986D43-9DCF-4490-AE12-9ABB60ABDE31}"/>
    <cellStyle name="Normal 5 2 2 2 2 2 3 3 4" xfId="31417" xr:uid="{5D26FEAC-DE5C-4BD8-82B6-1C0638547C3C}"/>
    <cellStyle name="Normal 5 2 2 2 2 2 3 4" xfId="9357" xr:uid="{1809EB60-9E69-4954-99A5-643CD830C5FB}"/>
    <cellStyle name="Normal 5 2 2 2 2 2 3 5" xfId="10306" xr:uid="{5AACEB59-80CB-4487-BB96-0F3A693557B0}"/>
    <cellStyle name="Normal 5 2 2 2 2 2 3 6" xfId="18753" xr:uid="{EBE69987-A8A2-4F7E-B845-C5FEA7CC6832}"/>
    <cellStyle name="Normal 5 2 2 2 2 2 3 7" xfId="27200" xr:uid="{B6E13E36-9723-40FD-9DBE-3586FCF5F98C}"/>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17081" xr:uid="{7429A6B7-E5D9-4496-B5EB-7BE9C063EDF2}"/>
    <cellStyle name="Normal 5 2 2 2 2 2 4 2 2 3" xfId="25528" xr:uid="{F0D4466C-2039-4ABC-9B8A-B0C7FBA28EB7}"/>
    <cellStyle name="Normal 5 2 2 2 2 2 4 2 2 4" xfId="33975" xr:uid="{1E82DD86-73F2-4E46-BD49-CF2F991EE8A6}"/>
    <cellStyle name="Normal 5 2 2 2 2 2 4 2 3" xfId="12864" xr:uid="{911E6100-A909-4849-989C-0CE8DEE298AC}"/>
    <cellStyle name="Normal 5 2 2 2 2 2 4 2 4" xfId="21311" xr:uid="{3254B628-8978-4364-80FD-E31FC5268748}"/>
    <cellStyle name="Normal 5 2 2 2 2 2 4 2 5" xfId="29758" xr:uid="{617D52FB-A99F-4B1A-A26A-11E02A42D220}"/>
    <cellStyle name="Normal 5 2 2 2 2 2 4 3" xfId="5610" xr:uid="{00000000-0005-0000-0000-000015170000}"/>
    <cellStyle name="Normal 5 2 2 2 2 2 4 3 2" xfId="14936" xr:uid="{E16751B6-A9B8-46BD-8FAD-2013545BBB88}"/>
    <cellStyle name="Normal 5 2 2 2 2 2 4 3 3" xfId="23383" xr:uid="{7243F459-E4D5-4CBC-8F50-E4227318BD4F}"/>
    <cellStyle name="Normal 5 2 2 2 2 2 4 3 4" xfId="31830" xr:uid="{35BFB122-3525-4ED7-BC21-532826C0A242}"/>
    <cellStyle name="Normal 5 2 2 2 2 2 4 4" xfId="10719" xr:uid="{70F9FD8D-CCAE-4811-B6D1-42235D9C25BF}"/>
    <cellStyle name="Normal 5 2 2 2 2 2 4 5" xfId="19166" xr:uid="{41212938-1D8B-4408-B063-57F7DDEEF495}"/>
    <cellStyle name="Normal 5 2 2 2 2 2 4 6" xfId="27613" xr:uid="{69452427-19F4-4B28-ADB6-6AA17FCF43E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17494" xr:uid="{06E9B848-224A-4F3C-B79B-3BD9F9C4E800}"/>
    <cellStyle name="Normal 5 2 2 2 2 2 5 2 2 3" xfId="25941" xr:uid="{A3770C6D-CB93-4EB9-802A-0BC592B3A136}"/>
    <cellStyle name="Normal 5 2 2 2 2 2 5 2 2 4" xfId="34388" xr:uid="{4CFD7FF6-BF97-4202-BA75-3BF51ADF7488}"/>
    <cellStyle name="Normal 5 2 2 2 2 2 5 2 3" xfId="13277" xr:uid="{39F6960A-78F9-4597-BF71-C4A008F30397}"/>
    <cellStyle name="Normal 5 2 2 2 2 2 5 2 4" xfId="21724" xr:uid="{0CEA00DC-83BE-4611-8FD3-0FCBF7B3D403}"/>
    <cellStyle name="Normal 5 2 2 2 2 2 5 2 5" xfId="30171" xr:uid="{89C660B0-7BA3-4031-8E58-F9EE6A0D2D2D}"/>
    <cellStyle name="Normal 5 2 2 2 2 2 5 3" xfId="6023" xr:uid="{00000000-0005-0000-0000-000019170000}"/>
    <cellStyle name="Normal 5 2 2 2 2 2 5 3 2" xfId="15349" xr:uid="{DDE38A0E-A6D3-4BB5-A959-F068D59EEC0E}"/>
    <cellStyle name="Normal 5 2 2 2 2 2 5 3 3" xfId="23796" xr:uid="{11B0738A-957D-4395-AE7A-39684A11AC83}"/>
    <cellStyle name="Normal 5 2 2 2 2 2 5 3 4" xfId="32243" xr:uid="{26B48C0D-4BBF-46D4-BDC3-9366F982B54B}"/>
    <cellStyle name="Normal 5 2 2 2 2 2 5 4" xfId="11132" xr:uid="{74618A7A-B8DB-49C2-B418-C2C55C6AB690}"/>
    <cellStyle name="Normal 5 2 2 2 2 2 5 5" xfId="19579" xr:uid="{8AD2402D-7847-4B5E-81E7-4105DD851A15}"/>
    <cellStyle name="Normal 5 2 2 2 2 2 5 6" xfId="28026" xr:uid="{ACA0BC35-65D1-4461-81FD-DBD3364522D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17907" xr:uid="{50A73670-75FE-412D-A8F1-C2E618D11CDC}"/>
    <cellStyle name="Normal 5 2 2 2 2 2 6 2 2 3" xfId="26354" xr:uid="{8E2C6970-F62C-4CC6-8D30-617A86075A03}"/>
    <cellStyle name="Normal 5 2 2 2 2 2 6 2 2 4" xfId="34801" xr:uid="{28E6CA64-A881-47F0-BB7F-232386495604}"/>
    <cellStyle name="Normal 5 2 2 2 2 2 6 2 3" xfId="13690" xr:uid="{96F933CF-C273-4E7B-8302-073D1FB2D125}"/>
    <cellStyle name="Normal 5 2 2 2 2 2 6 2 4" xfId="22137" xr:uid="{7C386DD8-4ACB-45B6-81A5-F2A1BB905374}"/>
    <cellStyle name="Normal 5 2 2 2 2 2 6 2 5" xfId="30584" xr:uid="{FB20065D-7767-4A80-B0F3-95C0F5DA0F84}"/>
    <cellStyle name="Normal 5 2 2 2 2 2 6 3" xfId="6436" xr:uid="{00000000-0005-0000-0000-00001D170000}"/>
    <cellStyle name="Normal 5 2 2 2 2 2 6 3 2" xfId="15762" xr:uid="{6AA7167F-674F-4435-A084-AA1CE21F696B}"/>
    <cellStyle name="Normal 5 2 2 2 2 2 6 3 3" xfId="24209" xr:uid="{D1B5259E-8770-4A02-8888-4610F6437A3A}"/>
    <cellStyle name="Normal 5 2 2 2 2 2 6 3 4" xfId="32656" xr:uid="{7DABF123-96A0-407E-B3DE-CF8064B83827}"/>
    <cellStyle name="Normal 5 2 2 2 2 2 6 4" xfId="11545" xr:uid="{967787B5-D2D6-415D-8B65-A59A6EA3FD66}"/>
    <cellStyle name="Normal 5 2 2 2 2 2 6 5" xfId="19992" xr:uid="{B4049C70-A7F3-4F49-B39C-AD4D3C1D1684}"/>
    <cellStyle name="Normal 5 2 2 2 2 2 6 6" xfId="28439" xr:uid="{A2E9EEF8-AB2C-480C-80AD-C767C0952330}"/>
    <cellStyle name="Normal 5 2 2 2 2 2 7" xfId="2566" xr:uid="{00000000-0005-0000-0000-00001E170000}"/>
    <cellStyle name="Normal 5 2 2 2 2 2 7 2" xfId="6849" xr:uid="{00000000-0005-0000-0000-00001F170000}"/>
    <cellStyle name="Normal 5 2 2 2 2 2 7 2 2" xfId="16175" xr:uid="{48D0F245-3785-4B5F-BC92-5165C74D543C}"/>
    <cellStyle name="Normal 5 2 2 2 2 2 7 2 3" xfId="24622" xr:uid="{EE8033AC-A967-4792-8CC6-66E6014F4EC2}"/>
    <cellStyle name="Normal 5 2 2 2 2 2 7 2 4" xfId="33069" xr:uid="{9A16C8A5-BA38-47B9-A8A7-684C768BB413}"/>
    <cellStyle name="Normal 5 2 2 2 2 2 7 3" xfId="11958" xr:uid="{4698CAD7-5713-4D11-B92A-30706E759E2C}"/>
    <cellStyle name="Normal 5 2 2 2 2 2 7 4" xfId="20405" xr:uid="{A0D16310-34BB-4A9E-B725-9AA74549DEB8}"/>
    <cellStyle name="Normal 5 2 2 2 2 2 7 5" xfId="28852" xr:uid="{29A14D44-2155-49BB-8861-95E40BFAF4F2}"/>
    <cellStyle name="Normal 5 2 2 2 2 2 8" xfId="4784" xr:uid="{00000000-0005-0000-0000-000020170000}"/>
    <cellStyle name="Normal 5 2 2 2 2 2 8 2" xfId="14110" xr:uid="{0CBC66B7-DAEF-4E3C-8F0B-4ED10D27BDDA}"/>
    <cellStyle name="Normal 5 2 2 2 2 2 8 3" xfId="22557" xr:uid="{6B15726D-BBE4-4B7E-91E5-0B9531CFA723}"/>
    <cellStyle name="Normal 5 2 2 2 2 2 8 4" xfId="31004" xr:uid="{E12F201E-BC0A-41DF-8D93-DDA1DDDF168E}"/>
    <cellStyle name="Normal 5 2 2 2 2 2 9" xfId="8932" xr:uid="{8A89D9DD-5FCE-4028-8D52-F4758EFA866E}"/>
    <cellStyle name="Normal 5 2 2 2 2 3" xfId="413" xr:uid="{00000000-0005-0000-0000-000021170000}"/>
    <cellStyle name="Normal 5 2 2 2 2 3 10" xfId="18342" xr:uid="{74E4129C-D5B9-4B73-984B-0F421B50F6C2}"/>
    <cellStyle name="Normal 5 2 2 2 2 3 11" xfId="26789" xr:uid="{20FA34A6-C186-42B1-94C0-A19552E43D2A}"/>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16670" xr:uid="{05A9687B-AE94-4AEC-A890-1721D1A61D29}"/>
    <cellStyle name="Normal 5 2 2 2 2 3 2 2 2 3" xfId="25117" xr:uid="{038DFF01-D617-4648-86FE-73ACA3998C63}"/>
    <cellStyle name="Normal 5 2 2 2 2 3 2 2 2 4" xfId="33564" xr:uid="{82822B49-361D-4AC4-9013-7ADC6308AB87}"/>
    <cellStyle name="Normal 5 2 2 2 2 3 2 2 3" xfId="12453" xr:uid="{0793C745-78E1-48D2-A7A3-CB29013F2D54}"/>
    <cellStyle name="Normal 5 2 2 2 2 3 2 2 4" xfId="20900" xr:uid="{7828C1D8-74A8-4B85-984D-ADF1D1703AD2}"/>
    <cellStyle name="Normal 5 2 2 2 2 3 2 2 5" xfId="29347" xr:uid="{93BB6F52-6F74-45F0-B736-BF459F345FE1}"/>
    <cellStyle name="Normal 5 2 2 2 2 3 2 3" xfId="5199" xr:uid="{00000000-0005-0000-0000-000025170000}"/>
    <cellStyle name="Normal 5 2 2 2 2 3 2 3 2" xfId="14525" xr:uid="{7D65DB49-7AA7-4826-B654-87E0649B90B4}"/>
    <cellStyle name="Normal 5 2 2 2 2 3 2 3 3" xfId="22972" xr:uid="{5F4791F0-BAA4-4391-8D00-B2608BCCD075}"/>
    <cellStyle name="Normal 5 2 2 2 2 3 2 3 4" xfId="31419" xr:uid="{76EFA1EE-F7A6-4903-B00C-87EC4C6395D4}"/>
    <cellStyle name="Normal 5 2 2 2 2 3 2 4" xfId="9461" xr:uid="{815E4D9A-ED64-4B6C-A17A-F6D83CC40A47}"/>
    <cellStyle name="Normal 5 2 2 2 2 3 2 5" xfId="10308" xr:uid="{41F126FB-6CFB-4658-AF6A-6F496F3B7C28}"/>
    <cellStyle name="Normal 5 2 2 2 2 3 2 6" xfId="18755" xr:uid="{EAEE021F-7701-47C7-B34C-611D26769A92}"/>
    <cellStyle name="Normal 5 2 2 2 2 3 2 7" xfId="27202" xr:uid="{86530A30-C292-4158-90DD-46A7DBAD68FA}"/>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17083" xr:uid="{2D81D935-EB06-467E-99CE-ED60D6A079F1}"/>
    <cellStyle name="Normal 5 2 2 2 2 3 3 2 2 3" xfId="25530" xr:uid="{F584A9F6-1F80-4010-8767-4834C84E3082}"/>
    <cellStyle name="Normal 5 2 2 2 2 3 3 2 2 4" xfId="33977" xr:uid="{CFC844C0-81F8-4955-8C4B-3DF0A7A1F03E}"/>
    <cellStyle name="Normal 5 2 2 2 2 3 3 2 3" xfId="12866" xr:uid="{23940A92-F5ED-484C-9F27-586E57255191}"/>
    <cellStyle name="Normal 5 2 2 2 2 3 3 2 4" xfId="21313" xr:uid="{0F755C7E-BFCB-45AA-A234-15E9B5C8E883}"/>
    <cellStyle name="Normal 5 2 2 2 2 3 3 2 5" xfId="29760" xr:uid="{42D2701F-86DF-4D54-AF22-F733D3A21617}"/>
    <cellStyle name="Normal 5 2 2 2 2 3 3 3" xfId="5612" xr:uid="{00000000-0005-0000-0000-000029170000}"/>
    <cellStyle name="Normal 5 2 2 2 2 3 3 3 2" xfId="14938" xr:uid="{7DB633DF-AAF1-443F-A890-D66BCA30F933}"/>
    <cellStyle name="Normal 5 2 2 2 2 3 3 3 3" xfId="23385" xr:uid="{A5E7EA71-B89F-4489-B798-91DEA9B1B7A4}"/>
    <cellStyle name="Normal 5 2 2 2 2 3 3 3 4" xfId="31832" xr:uid="{C3DA0742-24D8-4A3D-9991-882512FF36B8}"/>
    <cellStyle name="Normal 5 2 2 2 2 3 3 4" xfId="10721" xr:uid="{F056B448-081F-4A44-AC8B-1C034CB7AA99}"/>
    <cellStyle name="Normal 5 2 2 2 2 3 3 5" xfId="19168" xr:uid="{F53A55E0-D3E8-4D86-80DA-4199C5E5F7CA}"/>
    <cellStyle name="Normal 5 2 2 2 2 3 3 6" xfId="27615" xr:uid="{7ABA7C8F-4B66-47CA-AFF4-84FCA91E920C}"/>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17496" xr:uid="{D7F63429-E3A2-4503-8617-F0B008BEBEC7}"/>
    <cellStyle name="Normal 5 2 2 2 2 3 4 2 2 3" xfId="25943" xr:uid="{AA8CF381-8370-4018-B715-B0E046D2D1E4}"/>
    <cellStyle name="Normal 5 2 2 2 2 3 4 2 2 4" xfId="34390" xr:uid="{CE58AAEE-92A7-446E-9676-76C326BE363B}"/>
    <cellStyle name="Normal 5 2 2 2 2 3 4 2 3" xfId="13279" xr:uid="{05CA914B-260A-4D9F-AFED-C71D16BE5878}"/>
    <cellStyle name="Normal 5 2 2 2 2 3 4 2 4" xfId="21726" xr:uid="{6B7CF9E7-0C9B-4EC1-A16E-BC8D19142DBA}"/>
    <cellStyle name="Normal 5 2 2 2 2 3 4 2 5" xfId="30173" xr:uid="{DA02DE99-2143-4E2D-99E5-720A17FB36DC}"/>
    <cellStyle name="Normal 5 2 2 2 2 3 4 3" xfId="6025" xr:uid="{00000000-0005-0000-0000-00002D170000}"/>
    <cellStyle name="Normal 5 2 2 2 2 3 4 3 2" xfId="15351" xr:uid="{D81F1B9C-482F-48AB-8954-F04FDC08F26A}"/>
    <cellStyle name="Normal 5 2 2 2 2 3 4 3 3" xfId="23798" xr:uid="{15F1E846-A80D-42AF-A224-A498C5863585}"/>
    <cellStyle name="Normal 5 2 2 2 2 3 4 3 4" xfId="32245" xr:uid="{E4FD6EF2-256A-4DBA-97BF-FB95716CD589}"/>
    <cellStyle name="Normal 5 2 2 2 2 3 4 4" xfId="11134" xr:uid="{8408D5F2-353B-40E4-81F9-168E6CE16375}"/>
    <cellStyle name="Normal 5 2 2 2 2 3 4 5" xfId="19581" xr:uid="{0420A538-D16C-4DC6-8078-4D29C21A64D1}"/>
    <cellStyle name="Normal 5 2 2 2 2 3 4 6" xfId="28028" xr:uid="{2DCA75A6-CFEE-4B39-A767-63CC1D162A0A}"/>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17909" xr:uid="{7030891E-A8A6-47FA-9225-905892DC9D47}"/>
    <cellStyle name="Normal 5 2 2 2 2 3 5 2 2 3" xfId="26356" xr:uid="{094985ED-D993-4504-A57F-11AA197DE9DB}"/>
    <cellStyle name="Normal 5 2 2 2 2 3 5 2 2 4" xfId="34803" xr:uid="{CC430C3F-0239-4C7A-898E-83D419679B56}"/>
    <cellStyle name="Normal 5 2 2 2 2 3 5 2 3" xfId="13692" xr:uid="{3D710EA0-E807-4613-9669-5AD17F3323D8}"/>
    <cellStyle name="Normal 5 2 2 2 2 3 5 2 4" xfId="22139" xr:uid="{D8CD3667-2C2F-447C-9A1C-902AC40A8D93}"/>
    <cellStyle name="Normal 5 2 2 2 2 3 5 2 5" xfId="30586" xr:uid="{B437C9BA-3B04-4EE4-9CB4-E712E851C5E1}"/>
    <cellStyle name="Normal 5 2 2 2 2 3 5 3" xfId="6438" xr:uid="{00000000-0005-0000-0000-000031170000}"/>
    <cellStyle name="Normal 5 2 2 2 2 3 5 3 2" xfId="15764" xr:uid="{4AF1D7A2-82AE-4499-98DF-96CE65F8EEDB}"/>
    <cellStyle name="Normal 5 2 2 2 2 3 5 3 3" xfId="24211" xr:uid="{59EE24D4-37C2-4D4D-982E-FDAB0949C37F}"/>
    <cellStyle name="Normal 5 2 2 2 2 3 5 3 4" xfId="32658" xr:uid="{048334B3-448A-4EF1-8DE3-FDAE3BCE79FA}"/>
    <cellStyle name="Normal 5 2 2 2 2 3 5 4" xfId="11547" xr:uid="{8CDAA9A3-D561-4767-B1DB-1C914B38BF45}"/>
    <cellStyle name="Normal 5 2 2 2 2 3 5 5" xfId="19994" xr:uid="{8A055106-AFE6-4BE3-B415-6DABE659D8FC}"/>
    <cellStyle name="Normal 5 2 2 2 2 3 5 6" xfId="28441" xr:uid="{8E1D33AB-54FF-4D16-B48B-93118AC4B668}"/>
    <cellStyle name="Normal 5 2 2 2 2 3 6" xfId="2568" xr:uid="{00000000-0005-0000-0000-000032170000}"/>
    <cellStyle name="Normal 5 2 2 2 2 3 6 2" xfId="6851" xr:uid="{00000000-0005-0000-0000-000033170000}"/>
    <cellStyle name="Normal 5 2 2 2 2 3 6 2 2" xfId="16177" xr:uid="{AF559A3D-D69F-4A40-8B59-CC828E4C2029}"/>
    <cellStyle name="Normal 5 2 2 2 2 3 6 2 3" xfId="24624" xr:uid="{1E5A1FAD-6569-4F9C-B0CA-D893AFC0F513}"/>
    <cellStyle name="Normal 5 2 2 2 2 3 6 2 4" xfId="33071" xr:uid="{E595697C-E81E-4114-A0EB-9F2A7722DA96}"/>
    <cellStyle name="Normal 5 2 2 2 2 3 6 3" xfId="11960" xr:uid="{1A7096ED-30DA-40C4-B937-2E92F96B1C62}"/>
    <cellStyle name="Normal 5 2 2 2 2 3 6 4" xfId="20407" xr:uid="{05036EC0-D721-4416-998F-199A81EA851D}"/>
    <cellStyle name="Normal 5 2 2 2 2 3 6 5" xfId="28854" xr:uid="{F50E2246-1894-497B-B5FC-1F02CDF2AF51}"/>
    <cellStyle name="Normal 5 2 2 2 2 3 7" xfId="4786" xr:uid="{00000000-0005-0000-0000-000034170000}"/>
    <cellStyle name="Normal 5 2 2 2 2 3 7 2" xfId="14112" xr:uid="{B9157058-870C-4A13-8889-E05CA5D3887E}"/>
    <cellStyle name="Normal 5 2 2 2 2 3 7 3" xfId="22559" xr:uid="{1BC86A7B-755B-4D6B-A67B-903294799FC1}"/>
    <cellStyle name="Normal 5 2 2 2 2 3 7 4" xfId="31006" xr:uid="{9F007D14-C0BD-4C8E-9089-6579488BD2EF}"/>
    <cellStyle name="Normal 5 2 2 2 2 3 8" xfId="9036" xr:uid="{2B9BC3AC-900A-42EE-A23F-E5574B6E75BC}"/>
    <cellStyle name="Normal 5 2 2 2 2 3 9" xfId="9895" xr:uid="{B85659AB-CEBA-40E3-9899-1168724CAD05}"/>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16667" xr:uid="{AC80EAC9-1BB3-4B81-8E78-92DC59E74CBE}"/>
    <cellStyle name="Normal 5 2 2 2 2 4 2 2 3" xfId="25114" xr:uid="{F5763118-E348-41D3-9A6E-7F94D6D7128E}"/>
    <cellStyle name="Normal 5 2 2 2 2 4 2 2 4" xfId="33561" xr:uid="{3B421C42-DFA0-4535-8AB2-16C02E805CDE}"/>
    <cellStyle name="Normal 5 2 2 2 2 4 2 3" xfId="12450" xr:uid="{5146DEFB-0CDE-40A8-A9ED-8B5BF2792914}"/>
    <cellStyle name="Normal 5 2 2 2 2 4 2 4" xfId="20897" xr:uid="{4405C76D-FE37-4E48-A5FD-1D50946864FB}"/>
    <cellStyle name="Normal 5 2 2 2 2 4 2 5" xfId="29344" xr:uid="{CDDFC53D-6CB2-4729-B7E8-A1FE8DE06370}"/>
    <cellStyle name="Normal 5 2 2 2 2 4 3" xfId="5196" xr:uid="{00000000-0005-0000-0000-000038170000}"/>
    <cellStyle name="Normal 5 2 2 2 2 4 3 2" xfId="14522" xr:uid="{D6CFE1ED-9696-4393-86E6-410CB1C88D75}"/>
    <cellStyle name="Normal 5 2 2 2 2 4 3 3" xfId="22969" xr:uid="{0FC20819-E6C2-4EA5-BC9D-30A8DE55C276}"/>
    <cellStyle name="Normal 5 2 2 2 2 4 3 4" xfId="31416" xr:uid="{D9FCD38F-E779-4361-B571-FC53D1DADA23}"/>
    <cellStyle name="Normal 5 2 2 2 2 4 4" xfId="9254" xr:uid="{B0B4DA0D-4C0F-4712-8BF0-280C2A85D575}"/>
    <cellStyle name="Normal 5 2 2 2 2 4 5" xfId="10305" xr:uid="{E9E6158C-63C9-41E4-A8EA-7DDA9E962C44}"/>
    <cellStyle name="Normal 5 2 2 2 2 4 6" xfId="18752" xr:uid="{B84E67BF-8F31-41D0-ADA7-40048FE39CFA}"/>
    <cellStyle name="Normal 5 2 2 2 2 4 7" xfId="27199" xr:uid="{BFB07FAD-9105-4BF8-B039-6A08CF550657}"/>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17080" xr:uid="{D8B0BE65-6138-4521-B3B2-8C360A5F9E5B}"/>
    <cellStyle name="Normal 5 2 2 2 2 5 2 2 3" xfId="25527" xr:uid="{4816BF5E-8107-4489-BA6A-656B911C3AF6}"/>
    <cellStyle name="Normal 5 2 2 2 2 5 2 2 4" xfId="33974" xr:uid="{D13BD67A-F116-4BED-BC4A-8E2E6CA9DE98}"/>
    <cellStyle name="Normal 5 2 2 2 2 5 2 3" xfId="12863" xr:uid="{5FD5E001-322C-41DB-BC02-E6FA0383A520}"/>
    <cellStyle name="Normal 5 2 2 2 2 5 2 4" xfId="21310" xr:uid="{945D87E4-4599-48D8-9904-8BA13B34C5C7}"/>
    <cellStyle name="Normal 5 2 2 2 2 5 2 5" xfId="29757" xr:uid="{8B686B17-3ED3-484C-8B7E-56F5F58F43E6}"/>
    <cellStyle name="Normal 5 2 2 2 2 5 3" xfId="5609" xr:uid="{00000000-0005-0000-0000-00003C170000}"/>
    <cellStyle name="Normal 5 2 2 2 2 5 3 2" xfId="14935" xr:uid="{E9B7E25C-3174-4222-8401-D9EBF7463F81}"/>
    <cellStyle name="Normal 5 2 2 2 2 5 3 3" xfId="23382" xr:uid="{5CDB8491-0497-46E9-93EC-F2AD15794E44}"/>
    <cellStyle name="Normal 5 2 2 2 2 5 3 4" xfId="31829" xr:uid="{3993E409-AEF4-4A63-AFC0-D7B075DC1B81}"/>
    <cellStyle name="Normal 5 2 2 2 2 5 4" xfId="10718" xr:uid="{36747C94-D6C9-4B7E-98D0-68C3A541DB8B}"/>
    <cellStyle name="Normal 5 2 2 2 2 5 5" xfId="19165" xr:uid="{A44EC959-9C4B-4B4C-A72D-2F22214AB6BF}"/>
    <cellStyle name="Normal 5 2 2 2 2 5 6" xfId="27612" xr:uid="{A412FB0D-6C53-42E2-A6AA-57E0B9ED547A}"/>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17493" xr:uid="{FFB86E7F-423E-4BB5-A2D4-BE3B7B84955F}"/>
    <cellStyle name="Normal 5 2 2 2 2 6 2 2 3" xfId="25940" xr:uid="{F2D021F5-6FDC-48D3-AAEE-79A4483B22DD}"/>
    <cellStyle name="Normal 5 2 2 2 2 6 2 2 4" xfId="34387" xr:uid="{3F0D74B6-098D-4DB5-AEA5-C3ECAD1CBC61}"/>
    <cellStyle name="Normal 5 2 2 2 2 6 2 3" xfId="13276" xr:uid="{8A37C2F3-DDE9-443C-BCB7-BBED36D0D24F}"/>
    <cellStyle name="Normal 5 2 2 2 2 6 2 4" xfId="21723" xr:uid="{C3FF81D3-1AF4-41D8-8539-492581050E6E}"/>
    <cellStyle name="Normal 5 2 2 2 2 6 2 5" xfId="30170" xr:uid="{23A4034D-01A8-44AA-AFA0-FC1C6D39A2D9}"/>
    <cellStyle name="Normal 5 2 2 2 2 6 3" xfId="6022" xr:uid="{00000000-0005-0000-0000-000040170000}"/>
    <cellStyle name="Normal 5 2 2 2 2 6 3 2" xfId="15348" xr:uid="{EED4D936-4BC8-4F93-8677-4BE958B90125}"/>
    <cellStyle name="Normal 5 2 2 2 2 6 3 3" xfId="23795" xr:uid="{743AF7EC-0F97-4425-AB27-C9B02212CEE4}"/>
    <cellStyle name="Normal 5 2 2 2 2 6 3 4" xfId="32242" xr:uid="{47C4993C-3D9A-41C1-8E45-43D0D9F6E41D}"/>
    <cellStyle name="Normal 5 2 2 2 2 6 4" xfId="11131" xr:uid="{F6157445-CF2C-44EC-88D5-6DC71F5A796B}"/>
    <cellStyle name="Normal 5 2 2 2 2 6 5" xfId="19578" xr:uid="{FAC33EE9-D108-466D-B329-0C397563AAC7}"/>
    <cellStyle name="Normal 5 2 2 2 2 6 6" xfId="28025" xr:uid="{E90D07A2-1F6D-48F1-8B3E-70873359E38A}"/>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17906" xr:uid="{38CEF65F-79CA-47C3-BA4D-88C657081DF9}"/>
    <cellStyle name="Normal 5 2 2 2 2 7 2 2 3" xfId="26353" xr:uid="{C2EDD0B7-53B2-4434-AECA-5B61491B81E9}"/>
    <cellStyle name="Normal 5 2 2 2 2 7 2 2 4" xfId="34800" xr:uid="{7FEC27EF-0DF1-4BB6-AFBB-035A222C14C0}"/>
    <cellStyle name="Normal 5 2 2 2 2 7 2 3" xfId="13689" xr:uid="{26807A82-0B80-4751-9465-EF5E636B0BA8}"/>
    <cellStyle name="Normal 5 2 2 2 2 7 2 4" xfId="22136" xr:uid="{224A587E-AB9E-462A-8B7F-F754E28A8825}"/>
    <cellStyle name="Normal 5 2 2 2 2 7 2 5" xfId="30583" xr:uid="{B36BABFE-E437-4ACB-93A8-C68FC762DF85}"/>
    <cellStyle name="Normal 5 2 2 2 2 7 3" xfId="6435" xr:uid="{00000000-0005-0000-0000-000044170000}"/>
    <cellStyle name="Normal 5 2 2 2 2 7 3 2" xfId="15761" xr:uid="{80E92BF5-5B98-4EEF-A9E9-8A9304C2018A}"/>
    <cellStyle name="Normal 5 2 2 2 2 7 3 3" xfId="24208" xr:uid="{28959E03-FAA3-40CE-90CA-C2EED2B85D2F}"/>
    <cellStyle name="Normal 5 2 2 2 2 7 3 4" xfId="32655" xr:uid="{2AC83B5C-9C11-4CB7-96E3-CB47963CCAF5}"/>
    <cellStyle name="Normal 5 2 2 2 2 7 4" xfId="11544" xr:uid="{098C0C04-0050-46A2-A583-705A39DEDF44}"/>
    <cellStyle name="Normal 5 2 2 2 2 7 5" xfId="19991" xr:uid="{7F5E27C8-E0AC-4B1C-870C-063D7AFA2D16}"/>
    <cellStyle name="Normal 5 2 2 2 2 7 6" xfId="28438" xr:uid="{4D1EBB41-DC3B-4F6C-82E6-00A35FEB0C5E}"/>
    <cellStyle name="Normal 5 2 2 2 2 8" xfId="2565" xr:uid="{00000000-0005-0000-0000-000045170000}"/>
    <cellStyle name="Normal 5 2 2 2 2 8 2" xfId="6848" xr:uid="{00000000-0005-0000-0000-000046170000}"/>
    <cellStyle name="Normal 5 2 2 2 2 8 2 2" xfId="16174" xr:uid="{A353E95E-D413-462A-A430-0DBCEA05F5A6}"/>
    <cellStyle name="Normal 5 2 2 2 2 8 2 3" xfId="24621" xr:uid="{E6D02F52-C5D3-48EE-AE21-273A11D70FF1}"/>
    <cellStyle name="Normal 5 2 2 2 2 8 2 4" xfId="33068" xr:uid="{17A4A985-4424-43E9-A91F-A79FA930FFB9}"/>
    <cellStyle name="Normal 5 2 2 2 2 8 3" xfId="11957" xr:uid="{721769D7-46BD-43F8-90F2-789404F0531F}"/>
    <cellStyle name="Normal 5 2 2 2 2 8 4" xfId="20404" xr:uid="{8A5B0A5A-7521-4617-B2C6-4C36805F828C}"/>
    <cellStyle name="Normal 5 2 2 2 2 8 5" xfId="28851" xr:uid="{6B8DB4CB-3A47-4364-91D8-F02C61D3183B}"/>
    <cellStyle name="Normal 5 2 2 2 2 9" xfId="4783" xr:uid="{00000000-0005-0000-0000-000047170000}"/>
    <cellStyle name="Normal 5 2 2 2 2 9 2" xfId="14109" xr:uid="{FD7BEFD1-1E57-403C-8BDB-185FE0884C2F}"/>
    <cellStyle name="Normal 5 2 2 2 2 9 3" xfId="22556" xr:uid="{18242FA3-5F92-459D-8ED6-0F0CF000C56E}"/>
    <cellStyle name="Normal 5 2 2 2 2 9 4" xfId="31003" xr:uid="{7BFB5654-7BAE-4670-8BC4-A820CFA4865E}"/>
    <cellStyle name="Normal 5 2 2 2 3" xfId="414" xr:uid="{00000000-0005-0000-0000-000048170000}"/>
    <cellStyle name="Normal 5 2 2 2 3 10" xfId="9896" xr:uid="{BD075007-9713-42E7-8985-19C42E42009A}"/>
    <cellStyle name="Normal 5 2 2 2 3 11" xfId="18343" xr:uid="{8F70364C-95E1-46B5-BA65-D24BAF620940}"/>
    <cellStyle name="Normal 5 2 2 2 3 12" xfId="26790" xr:uid="{ED3A714E-A34A-4D54-8B1B-C2A852DD1434}"/>
    <cellStyle name="Normal 5 2 2 2 3 2" xfId="415" xr:uid="{00000000-0005-0000-0000-000049170000}"/>
    <cellStyle name="Normal 5 2 2 2 3 2 10" xfId="18344" xr:uid="{4DAE7DBB-7863-4918-84A0-8A280C3C3570}"/>
    <cellStyle name="Normal 5 2 2 2 3 2 11" xfId="26791" xr:uid="{43082CE8-1DE0-426E-9218-C661B4AF7C0B}"/>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16672" xr:uid="{3E069253-BE8E-4B99-9B13-FD48B91C5508}"/>
    <cellStyle name="Normal 5 2 2 2 3 2 2 2 2 3" xfId="25119" xr:uid="{8EE79F5B-93EC-4FF7-A82D-5CAEDFA15502}"/>
    <cellStyle name="Normal 5 2 2 2 3 2 2 2 2 4" xfId="33566" xr:uid="{7DE1DAD0-F826-486B-8F0E-CD4AC34A129A}"/>
    <cellStyle name="Normal 5 2 2 2 3 2 2 2 3" xfId="12455" xr:uid="{15633B9A-897D-4FE6-B1E1-58029AF85BEE}"/>
    <cellStyle name="Normal 5 2 2 2 3 2 2 2 4" xfId="20902" xr:uid="{F33E8295-245E-4B5B-B1E5-024FAB9E677C}"/>
    <cellStyle name="Normal 5 2 2 2 3 2 2 2 5" xfId="29349" xr:uid="{8B82E932-BF09-446F-A29A-B71AC84D8E8A}"/>
    <cellStyle name="Normal 5 2 2 2 3 2 2 3" xfId="5201" xr:uid="{00000000-0005-0000-0000-00004D170000}"/>
    <cellStyle name="Normal 5 2 2 2 3 2 2 3 2" xfId="14527" xr:uid="{E1E75D36-F0D0-453D-A882-39DC754846C1}"/>
    <cellStyle name="Normal 5 2 2 2 3 2 2 3 3" xfId="22974" xr:uid="{BAFC061C-7419-4493-90E0-2281E417A044}"/>
    <cellStyle name="Normal 5 2 2 2 3 2 2 3 4" xfId="31421" xr:uid="{F5DE54DB-6F2D-4682-B943-CAC62857AB04}"/>
    <cellStyle name="Normal 5 2 2 2 3 2 2 4" xfId="9506" xr:uid="{65E8E1F9-5B62-47C9-8131-412DF42F5268}"/>
    <cellStyle name="Normal 5 2 2 2 3 2 2 5" xfId="10310" xr:uid="{01761E92-6BE8-462D-AE59-F9A463C5F99A}"/>
    <cellStyle name="Normal 5 2 2 2 3 2 2 6" xfId="18757" xr:uid="{0E59D32B-42E8-498E-86CE-EE4BF0B544C5}"/>
    <cellStyle name="Normal 5 2 2 2 3 2 2 7" xfId="27204" xr:uid="{4BEE3618-5AD1-4EA4-8A9E-5624C529EACB}"/>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17085" xr:uid="{9E5FB771-22F5-431D-B1B1-4D2549D531DC}"/>
    <cellStyle name="Normal 5 2 2 2 3 2 3 2 2 3" xfId="25532" xr:uid="{5DA1D32C-F02A-4ED1-9FC9-D65126BD93AB}"/>
    <cellStyle name="Normal 5 2 2 2 3 2 3 2 2 4" xfId="33979" xr:uid="{246D394F-CEA4-4A33-A283-27153C00E7C9}"/>
    <cellStyle name="Normal 5 2 2 2 3 2 3 2 3" xfId="12868" xr:uid="{28FBDA22-2CC6-46F7-9678-8C9B7880E36C}"/>
    <cellStyle name="Normal 5 2 2 2 3 2 3 2 4" xfId="21315" xr:uid="{0382DAA6-BEF5-4106-8A56-FC61C1F36F9D}"/>
    <cellStyle name="Normal 5 2 2 2 3 2 3 2 5" xfId="29762" xr:uid="{3EEE5608-59E4-4CE1-BD23-6AA607DF178C}"/>
    <cellStyle name="Normal 5 2 2 2 3 2 3 3" xfId="5614" xr:uid="{00000000-0005-0000-0000-000051170000}"/>
    <cellStyle name="Normal 5 2 2 2 3 2 3 3 2" xfId="14940" xr:uid="{4066F3D7-DAB3-4914-BAC7-C4C4499B0F7C}"/>
    <cellStyle name="Normal 5 2 2 2 3 2 3 3 3" xfId="23387" xr:uid="{C4D9DA9F-EBC7-48CD-BF5A-F3124794EE69}"/>
    <cellStyle name="Normal 5 2 2 2 3 2 3 3 4" xfId="31834" xr:uid="{C77B73D7-04D9-4268-8CA0-373ABB128B3F}"/>
    <cellStyle name="Normal 5 2 2 2 3 2 3 4" xfId="10723" xr:uid="{9513FAA5-1D49-445A-88E0-6432E84BCA92}"/>
    <cellStyle name="Normal 5 2 2 2 3 2 3 5" xfId="19170" xr:uid="{927957D6-DAC1-47F2-89EF-6F8DD2D6B3CC}"/>
    <cellStyle name="Normal 5 2 2 2 3 2 3 6" xfId="27617" xr:uid="{2AAE7EDE-AF92-49E1-83AA-EDE997A05FF1}"/>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17498" xr:uid="{DD273FB0-A482-4A70-B189-24C29595F2AD}"/>
    <cellStyle name="Normal 5 2 2 2 3 2 4 2 2 3" xfId="25945" xr:uid="{5EC28995-D1EE-4FA4-91AF-97852BDBF48A}"/>
    <cellStyle name="Normal 5 2 2 2 3 2 4 2 2 4" xfId="34392" xr:uid="{E5F4B081-2AE0-4A1A-9E41-C17767963137}"/>
    <cellStyle name="Normal 5 2 2 2 3 2 4 2 3" xfId="13281" xr:uid="{64B24A5A-6E93-44AB-81AA-D6C432AB56F8}"/>
    <cellStyle name="Normal 5 2 2 2 3 2 4 2 4" xfId="21728" xr:uid="{0F017200-D47A-4E76-B213-A68F8B04A350}"/>
    <cellStyle name="Normal 5 2 2 2 3 2 4 2 5" xfId="30175" xr:uid="{DA78BC56-9ECF-4662-888A-7E3D8C1ED130}"/>
    <cellStyle name="Normal 5 2 2 2 3 2 4 3" xfId="6027" xr:uid="{00000000-0005-0000-0000-000055170000}"/>
    <cellStyle name="Normal 5 2 2 2 3 2 4 3 2" xfId="15353" xr:uid="{A0340365-127D-4ED3-8F34-32B58A02FA0A}"/>
    <cellStyle name="Normal 5 2 2 2 3 2 4 3 3" xfId="23800" xr:uid="{52BC0274-5D56-4531-B6F3-86D02E816525}"/>
    <cellStyle name="Normal 5 2 2 2 3 2 4 3 4" xfId="32247" xr:uid="{B8B3BA47-A707-4076-9AA0-7C3168223B67}"/>
    <cellStyle name="Normal 5 2 2 2 3 2 4 4" xfId="11136" xr:uid="{7D152F54-3AEE-4662-B094-E29E2022FAF3}"/>
    <cellStyle name="Normal 5 2 2 2 3 2 4 5" xfId="19583" xr:uid="{2587C183-0B12-4FA0-8939-76EB78465D0F}"/>
    <cellStyle name="Normal 5 2 2 2 3 2 4 6" xfId="28030" xr:uid="{D725F9E7-91E1-494A-A292-02B6F54E22E6}"/>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17911" xr:uid="{389E421E-FED6-4A43-A7CE-5EFB236E32E1}"/>
    <cellStyle name="Normal 5 2 2 2 3 2 5 2 2 3" xfId="26358" xr:uid="{6C2126A1-CCB5-42BF-AD70-5FE0563F4432}"/>
    <cellStyle name="Normal 5 2 2 2 3 2 5 2 2 4" xfId="34805" xr:uid="{5EEBC95C-B746-4019-8314-7D73273A94E1}"/>
    <cellStyle name="Normal 5 2 2 2 3 2 5 2 3" xfId="13694" xr:uid="{332398E6-8297-4A84-A8C5-39CB55BCA4D9}"/>
    <cellStyle name="Normal 5 2 2 2 3 2 5 2 4" xfId="22141" xr:uid="{CBF55440-3985-4F24-9792-96179A59A9CC}"/>
    <cellStyle name="Normal 5 2 2 2 3 2 5 2 5" xfId="30588" xr:uid="{376E3E5E-21CA-4C1D-B43D-7608790D2FB1}"/>
    <cellStyle name="Normal 5 2 2 2 3 2 5 3" xfId="6440" xr:uid="{00000000-0005-0000-0000-000059170000}"/>
    <cellStyle name="Normal 5 2 2 2 3 2 5 3 2" xfId="15766" xr:uid="{27AA3E85-0612-4D92-978A-2970F48DB066}"/>
    <cellStyle name="Normal 5 2 2 2 3 2 5 3 3" xfId="24213" xr:uid="{F57EA5CA-1FB2-4047-A5C9-90604F872499}"/>
    <cellStyle name="Normal 5 2 2 2 3 2 5 3 4" xfId="32660" xr:uid="{9056C31A-236F-461F-B64A-03616B69C970}"/>
    <cellStyle name="Normal 5 2 2 2 3 2 5 4" xfId="11549" xr:uid="{B9473637-3939-441E-B4F0-0114FBDB4D60}"/>
    <cellStyle name="Normal 5 2 2 2 3 2 5 5" xfId="19996" xr:uid="{073D21A0-CF8F-4A4E-A3BC-DE8139DB3D6E}"/>
    <cellStyle name="Normal 5 2 2 2 3 2 5 6" xfId="28443" xr:uid="{FBDEEE25-B972-4BFE-AEE8-E1A3CE1266D1}"/>
    <cellStyle name="Normal 5 2 2 2 3 2 6" xfId="2570" xr:uid="{00000000-0005-0000-0000-00005A170000}"/>
    <cellStyle name="Normal 5 2 2 2 3 2 6 2" xfId="6853" xr:uid="{00000000-0005-0000-0000-00005B170000}"/>
    <cellStyle name="Normal 5 2 2 2 3 2 6 2 2" xfId="16179" xr:uid="{B6840489-4153-4803-AF85-9223142E5237}"/>
    <cellStyle name="Normal 5 2 2 2 3 2 6 2 3" xfId="24626" xr:uid="{2C37AE2E-5F5E-4D4A-AB6B-93CD3475A78D}"/>
    <cellStyle name="Normal 5 2 2 2 3 2 6 2 4" xfId="33073" xr:uid="{E97480AF-771F-4D6D-903B-7E601710EC21}"/>
    <cellStyle name="Normal 5 2 2 2 3 2 6 3" xfId="11962" xr:uid="{43E0BC38-F6FC-4AD4-ABAA-4BCB911A8494}"/>
    <cellStyle name="Normal 5 2 2 2 3 2 6 4" xfId="20409" xr:uid="{0549A28B-63B5-4900-A08E-75121B32CF87}"/>
    <cellStyle name="Normal 5 2 2 2 3 2 6 5" xfId="28856" xr:uid="{9AFBF8B6-A2AA-469D-967A-437B26B54CD2}"/>
    <cellStyle name="Normal 5 2 2 2 3 2 7" xfId="4788" xr:uid="{00000000-0005-0000-0000-00005C170000}"/>
    <cellStyle name="Normal 5 2 2 2 3 2 7 2" xfId="14114" xr:uid="{0C11E017-4339-41A4-AF86-05B19EBAD26C}"/>
    <cellStyle name="Normal 5 2 2 2 3 2 7 3" xfId="22561" xr:uid="{50ABEB8C-21FB-471B-AA22-51593E218A20}"/>
    <cellStyle name="Normal 5 2 2 2 3 2 7 4" xfId="31008" xr:uid="{8868451A-D819-4FE6-8405-322B0669AE63}"/>
    <cellStyle name="Normal 5 2 2 2 3 2 8" xfId="9081" xr:uid="{B0400C6D-4400-4F06-9092-2DCAD3324CF1}"/>
    <cellStyle name="Normal 5 2 2 2 3 2 9" xfId="9897" xr:uid="{B8C8E6AE-5A4A-4CA8-86D1-E98C7C6EBBFF}"/>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16671" xr:uid="{396FD3B8-C8F1-47F4-83FD-3DFA75EEF9DB}"/>
    <cellStyle name="Normal 5 2 2 2 3 3 2 2 3" xfId="25118" xr:uid="{A9F3CBFE-C236-4429-8F08-23EAC669D772}"/>
    <cellStyle name="Normal 5 2 2 2 3 3 2 2 4" xfId="33565" xr:uid="{0BDC738E-1971-4633-9EAF-4AB6B29741EB}"/>
    <cellStyle name="Normal 5 2 2 2 3 3 2 3" xfId="12454" xr:uid="{3E018BA7-2053-4394-8856-995DEC24CAD0}"/>
    <cellStyle name="Normal 5 2 2 2 3 3 2 4" xfId="20901" xr:uid="{BB477D2D-0D31-4614-BC7D-E65CCE7A72EA}"/>
    <cellStyle name="Normal 5 2 2 2 3 3 2 5" xfId="29348" xr:uid="{3315C75B-F8DD-460B-9198-30F764C83E1E}"/>
    <cellStyle name="Normal 5 2 2 2 3 3 3" xfId="5200" xr:uid="{00000000-0005-0000-0000-000060170000}"/>
    <cellStyle name="Normal 5 2 2 2 3 3 3 2" xfId="14526" xr:uid="{26791424-AF08-4859-A72C-7078D2099E89}"/>
    <cellStyle name="Normal 5 2 2 2 3 3 3 3" xfId="22973" xr:uid="{B5ECACCC-A873-4FF7-8AEB-71BFBBCA2DF5}"/>
    <cellStyle name="Normal 5 2 2 2 3 3 3 4" xfId="31420" xr:uid="{5E045883-7D42-41AE-882D-1F58E6015E9B}"/>
    <cellStyle name="Normal 5 2 2 2 3 3 4" xfId="9299" xr:uid="{85780536-A38F-4D86-8846-D9FA6BB2D61D}"/>
    <cellStyle name="Normal 5 2 2 2 3 3 5" xfId="10309" xr:uid="{4698FD61-FFA8-47BC-819C-94C020DF3C9E}"/>
    <cellStyle name="Normal 5 2 2 2 3 3 6" xfId="18756" xr:uid="{B6C55925-DED7-45F5-B325-200A4163D967}"/>
    <cellStyle name="Normal 5 2 2 2 3 3 7" xfId="27203" xr:uid="{94C63F84-E624-4BB0-A3CC-5525E44F8587}"/>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17084" xr:uid="{BE1EA04A-7993-480B-817B-964C51F90287}"/>
    <cellStyle name="Normal 5 2 2 2 3 4 2 2 3" xfId="25531" xr:uid="{1BAC5AFA-176F-456F-923E-375182AA8859}"/>
    <cellStyle name="Normal 5 2 2 2 3 4 2 2 4" xfId="33978" xr:uid="{39EA8F33-F9C7-4BD7-A5AF-5C03371D273F}"/>
    <cellStyle name="Normal 5 2 2 2 3 4 2 3" xfId="12867" xr:uid="{F304B37D-40FC-4C97-BDE8-A1CF4341439D}"/>
    <cellStyle name="Normal 5 2 2 2 3 4 2 4" xfId="21314" xr:uid="{EA3E84E0-6E09-41D2-9CB7-FEBC5DA48A37}"/>
    <cellStyle name="Normal 5 2 2 2 3 4 2 5" xfId="29761" xr:uid="{49DD8550-BA6D-484E-B440-A1738B5A6BFF}"/>
    <cellStyle name="Normal 5 2 2 2 3 4 3" xfId="5613" xr:uid="{00000000-0005-0000-0000-000064170000}"/>
    <cellStyle name="Normal 5 2 2 2 3 4 3 2" xfId="14939" xr:uid="{270407DC-260D-4F58-90DB-3396B2652701}"/>
    <cellStyle name="Normal 5 2 2 2 3 4 3 3" xfId="23386" xr:uid="{839AD8E1-A259-4F3D-80F0-ED8E6EFBDEA3}"/>
    <cellStyle name="Normal 5 2 2 2 3 4 3 4" xfId="31833" xr:uid="{4AC4242C-9129-4A6E-89B5-5900C2459588}"/>
    <cellStyle name="Normal 5 2 2 2 3 4 4" xfId="10722" xr:uid="{0D441B44-14DF-4F6C-A9ED-0C801CEFD271}"/>
    <cellStyle name="Normal 5 2 2 2 3 4 5" xfId="19169" xr:uid="{138EE5A7-8DBC-490E-81DD-A5762A6B7EB3}"/>
    <cellStyle name="Normal 5 2 2 2 3 4 6" xfId="27616" xr:uid="{203947C1-69DB-4416-91D5-A5F05984B659}"/>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17497" xr:uid="{141E8F42-C339-4117-8021-6CB303552D39}"/>
    <cellStyle name="Normal 5 2 2 2 3 5 2 2 3" xfId="25944" xr:uid="{D007648B-5D94-4F0E-9F37-858AD8447D37}"/>
    <cellStyle name="Normal 5 2 2 2 3 5 2 2 4" xfId="34391" xr:uid="{F50ED4DD-29FB-4244-BC3B-1F1A57165FF9}"/>
    <cellStyle name="Normal 5 2 2 2 3 5 2 3" xfId="13280" xr:uid="{FDB5E0A5-AEC8-4286-A195-7A3B244B3232}"/>
    <cellStyle name="Normal 5 2 2 2 3 5 2 4" xfId="21727" xr:uid="{469A95C4-ACB4-491E-A62D-9B0C0079F93F}"/>
    <cellStyle name="Normal 5 2 2 2 3 5 2 5" xfId="30174" xr:uid="{17393C78-5547-4956-8DD8-F12C000E5462}"/>
    <cellStyle name="Normal 5 2 2 2 3 5 3" xfId="6026" xr:uid="{00000000-0005-0000-0000-000068170000}"/>
    <cellStyle name="Normal 5 2 2 2 3 5 3 2" xfId="15352" xr:uid="{88934E60-FEA7-48C1-9311-EC28D51FB28F}"/>
    <cellStyle name="Normal 5 2 2 2 3 5 3 3" xfId="23799" xr:uid="{88E1C1BE-EFE4-4E2B-B46F-51DDE37CCBF3}"/>
    <cellStyle name="Normal 5 2 2 2 3 5 3 4" xfId="32246" xr:uid="{530F1B4A-D7C8-4C58-833D-5A6F06EE67D2}"/>
    <cellStyle name="Normal 5 2 2 2 3 5 4" xfId="11135" xr:uid="{4312A826-0004-4DE3-980A-2CAD2840F4FB}"/>
    <cellStyle name="Normal 5 2 2 2 3 5 5" xfId="19582" xr:uid="{1AD0E3EA-88E2-4F96-A5D7-694263E9F81E}"/>
    <cellStyle name="Normal 5 2 2 2 3 5 6" xfId="28029" xr:uid="{D48D50D7-19B3-45EB-9535-8C29F7428AE7}"/>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17910" xr:uid="{47644217-1BFA-4CF0-9702-E227C60DB411}"/>
    <cellStyle name="Normal 5 2 2 2 3 6 2 2 3" xfId="26357" xr:uid="{5DA0F547-CCD7-4F04-B201-5B5315020E67}"/>
    <cellStyle name="Normal 5 2 2 2 3 6 2 2 4" xfId="34804" xr:uid="{AA931977-4A31-4A6E-B5D7-2DFDD922D99D}"/>
    <cellStyle name="Normal 5 2 2 2 3 6 2 3" xfId="13693" xr:uid="{7DB36B0C-0B0D-41AF-A05C-E1597AF2A0F0}"/>
    <cellStyle name="Normal 5 2 2 2 3 6 2 4" xfId="22140" xr:uid="{734D7495-EE47-494E-8AF8-4FA3E1CE263A}"/>
    <cellStyle name="Normal 5 2 2 2 3 6 2 5" xfId="30587" xr:uid="{53C5D1D6-7947-4095-A434-AEDD04E232CB}"/>
    <cellStyle name="Normal 5 2 2 2 3 6 3" xfId="6439" xr:uid="{00000000-0005-0000-0000-00006C170000}"/>
    <cellStyle name="Normal 5 2 2 2 3 6 3 2" xfId="15765" xr:uid="{64B1C08C-CBF7-48DD-83F8-FC64736F749B}"/>
    <cellStyle name="Normal 5 2 2 2 3 6 3 3" xfId="24212" xr:uid="{35D42961-A368-4DF9-B514-C752A5A01D90}"/>
    <cellStyle name="Normal 5 2 2 2 3 6 3 4" xfId="32659" xr:uid="{FBE3B525-4F11-474E-AD9D-7D2870742EF2}"/>
    <cellStyle name="Normal 5 2 2 2 3 6 4" xfId="11548" xr:uid="{E65C02F2-209C-4256-827B-C15227FBDC08}"/>
    <cellStyle name="Normal 5 2 2 2 3 6 5" xfId="19995" xr:uid="{586FC02A-0DF4-4595-AB33-42E87120CFB8}"/>
    <cellStyle name="Normal 5 2 2 2 3 6 6" xfId="28442" xr:uid="{FE65E107-B5E9-41A8-BC18-D2164511339B}"/>
    <cellStyle name="Normal 5 2 2 2 3 7" xfId="2569" xr:uid="{00000000-0005-0000-0000-00006D170000}"/>
    <cellStyle name="Normal 5 2 2 2 3 7 2" xfId="6852" xr:uid="{00000000-0005-0000-0000-00006E170000}"/>
    <cellStyle name="Normal 5 2 2 2 3 7 2 2" xfId="16178" xr:uid="{2760AD6F-52AA-4FBD-A5EE-38F9EB9D5D64}"/>
    <cellStyle name="Normal 5 2 2 2 3 7 2 3" xfId="24625" xr:uid="{76CF8F5E-1AAC-4073-94C0-215291549A09}"/>
    <cellStyle name="Normal 5 2 2 2 3 7 2 4" xfId="33072" xr:uid="{EEFC9C1E-1F12-4051-AA85-0BF612B0CEEE}"/>
    <cellStyle name="Normal 5 2 2 2 3 7 3" xfId="11961" xr:uid="{9F205204-0CF9-4689-83B9-F7E5400840FF}"/>
    <cellStyle name="Normal 5 2 2 2 3 7 4" xfId="20408" xr:uid="{EF8D7AB3-5F99-4B71-9DDB-E39F12E788B2}"/>
    <cellStyle name="Normal 5 2 2 2 3 7 5" xfId="28855" xr:uid="{D8FF838A-AD7F-4873-BDB0-B37FCC9367E1}"/>
    <cellStyle name="Normal 5 2 2 2 3 8" xfId="4787" xr:uid="{00000000-0005-0000-0000-00006F170000}"/>
    <cellStyle name="Normal 5 2 2 2 3 8 2" xfId="14113" xr:uid="{8E0E5DD4-0AFD-4641-AAA5-D079BCD8B26C}"/>
    <cellStyle name="Normal 5 2 2 2 3 8 3" xfId="22560" xr:uid="{5954CD61-CE13-4965-B589-68F386DC8B20}"/>
    <cellStyle name="Normal 5 2 2 2 3 8 4" xfId="31007" xr:uid="{879E20DB-2364-4D5B-AB3A-CDAAC7BE2C8A}"/>
    <cellStyle name="Normal 5 2 2 2 3 9" xfId="8874" xr:uid="{D7CEB9F3-DFA5-483F-B08A-C4A582DD7FE8}"/>
    <cellStyle name="Normal 5 2 2 2 4" xfId="416" xr:uid="{00000000-0005-0000-0000-000070170000}"/>
    <cellStyle name="Normal 5 2 2 2 4 10" xfId="18345" xr:uid="{BF8CE00F-B28D-4C5A-9F16-9740641A7062}"/>
    <cellStyle name="Normal 5 2 2 2 4 11" xfId="26792" xr:uid="{8484FA4D-1ED8-464C-82C6-A2B8892596D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16673" xr:uid="{EF869FFC-93D7-46C0-AAD8-AFC5A4500ECC}"/>
    <cellStyle name="Normal 5 2 2 2 4 2 2 2 3" xfId="25120" xr:uid="{C44BE7C0-3B3B-4EED-B6F4-C46AC130558A}"/>
    <cellStyle name="Normal 5 2 2 2 4 2 2 2 4" xfId="33567" xr:uid="{BADD1D12-EFEF-4672-BD3F-8B9CD5C33C4F}"/>
    <cellStyle name="Normal 5 2 2 2 4 2 2 3" xfId="12456" xr:uid="{2383038F-2EDF-4C41-A579-361063407656}"/>
    <cellStyle name="Normal 5 2 2 2 4 2 2 4" xfId="20903" xr:uid="{7751FC9B-D84C-4A54-82B9-FB1830C1BB5B}"/>
    <cellStyle name="Normal 5 2 2 2 4 2 2 5" xfId="29350" xr:uid="{5140A8E6-F58C-466F-9D6F-20289BF04467}"/>
    <cellStyle name="Normal 5 2 2 2 4 2 3" xfId="5202" xr:uid="{00000000-0005-0000-0000-000074170000}"/>
    <cellStyle name="Normal 5 2 2 2 4 2 3 2" xfId="14528" xr:uid="{49E02A72-70CC-4FAC-969A-45EA9A3AD8A4}"/>
    <cellStyle name="Normal 5 2 2 2 4 2 3 3" xfId="22975" xr:uid="{D8012D94-778A-43EB-85D7-C21AC5400722}"/>
    <cellStyle name="Normal 5 2 2 2 4 2 3 4" xfId="31422" xr:uid="{954021E7-17AE-4089-8DE5-F29682469322}"/>
    <cellStyle name="Normal 5 2 2 2 4 2 4" xfId="9403" xr:uid="{DDA7C497-662A-4A76-A324-A27E6A0A2B3D}"/>
    <cellStyle name="Normal 5 2 2 2 4 2 5" xfId="10311" xr:uid="{2A02C1FF-FDEA-4A7D-9FF3-D85D0FAB8EA5}"/>
    <cellStyle name="Normal 5 2 2 2 4 2 6" xfId="18758" xr:uid="{3553719D-D0B6-4368-97AC-3981B3587217}"/>
    <cellStyle name="Normal 5 2 2 2 4 2 7" xfId="27205" xr:uid="{5BF16F69-E51B-4ED5-B05C-E9F7F2968DA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17086" xr:uid="{F5A7DB62-2DEA-44A7-979D-AAE8F42E4343}"/>
    <cellStyle name="Normal 5 2 2 2 4 3 2 2 3" xfId="25533" xr:uid="{E6710B30-C7B5-4F75-B75C-9F5DFB2CCC6A}"/>
    <cellStyle name="Normal 5 2 2 2 4 3 2 2 4" xfId="33980" xr:uid="{28A605ED-A67B-4183-A88E-8BE83183AFAE}"/>
    <cellStyle name="Normal 5 2 2 2 4 3 2 3" xfId="12869" xr:uid="{CEDFA111-84E1-4F10-A0E7-8990397BF140}"/>
    <cellStyle name="Normal 5 2 2 2 4 3 2 4" xfId="21316" xr:uid="{611C24F1-ECA5-4004-8C64-101F45E86FB0}"/>
    <cellStyle name="Normal 5 2 2 2 4 3 2 5" xfId="29763" xr:uid="{96D7097B-DEF3-4A74-973C-746E12C327C1}"/>
    <cellStyle name="Normal 5 2 2 2 4 3 3" xfId="5615" xr:uid="{00000000-0005-0000-0000-000078170000}"/>
    <cellStyle name="Normal 5 2 2 2 4 3 3 2" xfId="14941" xr:uid="{38EF4D30-1905-4600-AD06-41CE8EFB85E3}"/>
    <cellStyle name="Normal 5 2 2 2 4 3 3 3" xfId="23388" xr:uid="{84F31B04-17C6-4C7D-AFB1-9E7D76C60A9F}"/>
    <cellStyle name="Normal 5 2 2 2 4 3 3 4" xfId="31835" xr:uid="{6AD0174C-780D-4CFC-A261-E1324274DE17}"/>
    <cellStyle name="Normal 5 2 2 2 4 3 4" xfId="10724" xr:uid="{F903179E-DCC0-4390-9295-6713808AB2A8}"/>
    <cellStyle name="Normal 5 2 2 2 4 3 5" xfId="19171" xr:uid="{449BCAC5-3A7C-489F-83B6-434AA9CE1D91}"/>
    <cellStyle name="Normal 5 2 2 2 4 3 6" xfId="27618" xr:uid="{AEFE2511-1B6F-48CD-87D1-81489D9E203C}"/>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17499" xr:uid="{F75F199D-9219-45CD-B1C7-90A2DD0CB78C}"/>
    <cellStyle name="Normal 5 2 2 2 4 4 2 2 3" xfId="25946" xr:uid="{AFFBE2F2-3DA0-45A4-9756-F06A02366BFC}"/>
    <cellStyle name="Normal 5 2 2 2 4 4 2 2 4" xfId="34393" xr:uid="{089CB5D1-9F29-4087-9001-23178C39B7A9}"/>
    <cellStyle name="Normal 5 2 2 2 4 4 2 3" xfId="13282" xr:uid="{BAB3008C-1AD7-41A9-A9FE-5534713E56A9}"/>
    <cellStyle name="Normal 5 2 2 2 4 4 2 4" xfId="21729" xr:uid="{0BAD444F-7538-4C09-A29D-D2786FEF6F16}"/>
    <cellStyle name="Normal 5 2 2 2 4 4 2 5" xfId="30176" xr:uid="{E8019B62-71CD-46F3-9FD6-B956C7CED094}"/>
    <cellStyle name="Normal 5 2 2 2 4 4 3" xfId="6028" xr:uid="{00000000-0005-0000-0000-00007C170000}"/>
    <cellStyle name="Normal 5 2 2 2 4 4 3 2" xfId="15354" xr:uid="{91F1E7CD-A716-4409-9FB7-406CCD518456}"/>
    <cellStyle name="Normal 5 2 2 2 4 4 3 3" xfId="23801" xr:uid="{9D3396EA-B965-43F0-81DE-A363ABF16740}"/>
    <cellStyle name="Normal 5 2 2 2 4 4 3 4" xfId="32248" xr:uid="{B5B762BF-BA44-4F26-9ED3-945D145F9083}"/>
    <cellStyle name="Normal 5 2 2 2 4 4 4" xfId="11137" xr:uid="{B2C13FE9-AA28-4253-8B24-0F7638D46525}"/>
    <cellStyle name="Normal 5 2 2 2 4 4 5" xfId="19584" xr:uid="{0C0078BD-FA10-41D1-B056-93A7D3F7EC21}"/>
    <cellStyle name="Normal 5 2 2 2 4 4 6" xfId="28031" xr:uid="{C43F5054-3327-4963-8F15-3FD5052B7BF1}"/>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17912" xr:uid="{8572D8C8-AA3E-49B9-9C5C-4F3AE5D90C75}"/>
    <cellStyle name="Normal 5 2 2 2 4 5 2 2 3" xfId="26359" xr:uid="{08791F7E-C425-4307-A15A-93677333BE5A}"/>
    <cellStyle name="Normal 5 2 2 2 4 5 2 2 4" xfId="34806" xr:uid="{90F0E863-FA18-402B-A97E-442595688790}"/>
    <cellStyle name="Normal 5 2 2 2 4 5 2 3" xfId="13695" xr:uid="{212A7342-2A7B-4882-B5D1-DBE4067BCD49}"/>
    <cellStyle name="Normal 5 2 2 2 4 5 2 4" xfId="22142" xr:uid="{13330A6D-2F11-4F55-8307-E10AB67FFCA6}"/>
    <cellStyle name="Normal 5 2 2 2 4 5 2 5" xfId="30589" xr:uid="{605783D5-CCDF-415B-8236-93FFB7969E11}"/>
    <cellStyle name="Normal 5 2 2 2 4 5 3" xfId="6441" xr:uid="{00000000-0005-0000-0000-000080170000}"/>
    <cellStyle name="Normal 5 2 2 2 4 5 3 2" xfId="15767" xr:uid="{8534B45D-58C5-43D0-93BF-2EF7A8D23CB4}"/>
    <cellStyle name="Normal 5 2 2 2 4 5 3 3" xfId="24214" xr:uid="{B7EECA15-47A3-4B66-AD84-71752FD0A63D}"/>
    <cellStyle name="Normal 5 2 2 2 4 5 3 4" xfId="32661" xr:uid="{55373F1C-DC4A-4899-A323-2A7857477D99}"/>
    <cellStyle name="Normal 5 2 2 2 4 5 4" xfId="11550" xr:uid="{71E04B67-EDE5-4849-8FA4-9CD13D679D84}"/>
    <cellStyle name="Normal 5 2 2 2 4 5 5" xfId="19997" xr:uid="{F71C0D1C-AAC0-4AB9-96D8-DBEBB964B0C8}"/>
    <cellStyle name="Normal 5 2 2 2 4 5 6" xfId="28444" xr:uid="{61980105-33DC-4C5D-83F4-153D1E2D4D63}"/>
    <cellStyle name="Normal 5 2 2 2 4 6" xfId="2571" xr:uid="{00000000-0005-0000-0000-000081170000}"/>
    <cellStyle name="Normal 5 2 2 2 4 6 2" xfId="6854" xr:uid="{00000000-0005-0000-0000-000082170000}"/>
    <cellStyle name="Normal 5 2 2 2 4 6 2 2" xfId="16180" xr:uid="{C1969A01-6D37-44CE-8ADC-757C6B4F2C2C}"/>
    <cellStyle name="Normal 5 2 2 2 4 6 2 3" xfId="24627" xr:uid="{509C8B1D-3BB6-44AE-9B17-ABED176488C3}"/>
    <cellStyle name="Normal 5 2 2 2 4 6 2 4" xfId="33074" xr:uid="{220FDEAE-D8C2-4C22-AD69-2E6E15E3910B}"/>
    <cellStyle name="Normal 5 2 2 2 4 6 3" xfId="11963" xr:uid="{2A3C707D-0A6C-446D-B476-AE15FD2329CF}"/>
    <cellStyle name="Normal 5 2 2 2 4 6 4" xfId="20410" xr:uid="{58AD6AD1-C70F-4CA0-BBD2-2622C7D0AAD6}"/>
    <cellStyle name="Normal 5 2 2 2 4 6 5" xfId="28857" xr:uid="{236FC7B6-BB09-41EF-98DF-FE0215D08C92}"/>
    <cellStyle name="Normal 5 2 2 2 4 7" xfId="4789" xr:uid="{00000000-0005-0000-0000-000083170000}"/>
    <cellStyle name="Normal 5 2 2 2 4 7 2" xfId="14115" xr:uid="{44F16B25-E203-485B-BEC9-AEAE62CF1395}"/>
    <cellStyle name="Normal 5 2 2 2 4 7 3" xfId="22562" xr:uid="{2D9C8AFB-F161-4655-A5E9-F2BF4407C554}"/>
    <cellStyle name="Normal 5 2 2 2 4 7 4" xfId="31009" xr:uid="{877C3BBE-67C5-4EF1-8399-2FF38A275DBE}"/>
    <cellStyle name="Normal 5 2 2 2 4 8" xfId="8978" xr:uid="{5B5F86B4-BA0F-43A7-920A-E466FD014739}"/>
    <cellStyle name="Normal 5 2 2 2 4 9" xfId="9898" xr:uid="{D6426CAD-7D48-42E1-800B-6E9306B594A5}"/>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16666" xr:uid="{ECF0DAA8-F273-474B-BF62-E3E4F981F089}"/>
    <cellStyle name="Normal 5 2 2 2 5 2 2 3" xfId="25113" xr:uid="{C7DF02FF-8D37-46ED-8784-1A6FEBAD5C83}"/>
    <cellStyle name="Normal 5 2 2 2 5 2 2 4" xfId="33560" xr:uid="{19BFBB11-E36E-473F-9D2D-0EF2EFFF0211}"/>
    <cellStyle name="Normal 5 2 2 2 5 2 3" xfId="12449" xr:uid="{2AF6217E-A4B3-4408-BDCA-B14DBE991E2A}"/>
    <cellStyle name="Normal 5 2 2 2 5 2 4" xfId="20896" xr:uid="{1F110840-BF6B-4CC0-B137-7E3220D92072}"/>
    <cellStyle name="Normal 5 2 2 2 5 2 5" xfId="29343" xr:uid="{82325A38-0530-480E-BF16-80BB96551B2D}"/>
    <cellStyle name="Normal 5 2 2 2 5 3" xfId="5195" xr:uid="{00000000-0005-0000-0000-000087170000}"/>
    <cellStyle name="Normal 5 2 2 2 5 3 2" xfId="14521" xr:uid="{FDDB1E02-CD51-4EC9-B53F-DCB513F5F0D9}"/>
    <cellStyle name="Normal 5 2 2 2 5 3 3" xfId="22968" xr:uid="{FC20CAB4-E89E-401B-A1A7-EC6E38DACBA7}"/>
    <cellStyle name="Normal 5 2 2 2 5 3 4" xfId="31415" xr:uid="{5F82F1C3-53AB-4415-A73D-F33C8198AF06}"/>
    <cellStyle name="Normal 5 2 2 2 5 4" xfId="9195" xr:uid="{A7E71EA0-2CA4-4918-870E-A32EEF45C61A}"/>
    <cellStyle name="Normal 5 2 2 2 5 5" xfId="10304" xr:uid="{A436F937-781A-41AF-945F-E83426DB2AF4}"/>
    <cellStyle name="Normal 5 2 2 2 5 6" xfId="18751" xr:uid="{B3A0DD46-FBD1-4052-BDC3-5316A27DD869}"/>
    <cellStyle name="Normal 5 2 2 2 5 7" xfId="27198" xr:uid="{524618C1-FAA1-4B63-BA6B-872ABFA157F9}"/>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17079" xr:uid="{634769C8-1028-4386-8347-991956076F92}"/>
    <cellStyle name="Normal 5 2 2 2 6 2 2 3" xfId="25526" xr:uid="{C782FE18-9DB1-42B6-8090-704D04BDB669}"/>
    <cellStyle name="Normal 5 2 2 2 6 2 2 4" xfId="33973" xr:uid="{96DB8290-73D2-44B7-8DA0-F5B5CB343D37}"/>
    <cellStyle name="Normal 5 2 2 2 6 2 3" xfId="12862" xr:uid="{EB7535D5-3909-438F-9F47-C52D52EB2DD6}"/>
    <cellStyle name="Normal 5 2 2 2 6 2 4" xfId="21309" xr:uid="{B6525D06-AF7B-4173-9520-B1D496FCAA28}"/>
    <cellStyle name="Normal 5 2 2 2 6 2 5" xfId="29756" xr:uid="{107C14C4-7CFB-40ED-91EF-428797C179A3}"/>
    <cellStyle name="Normal 5 2 2 2 6 3" xfId="5608" xr:uid="{00000000-0005-0000-0000-00008B170000}"/>
    <cellStyle name="Normal 5 2 2 2 6 3 2" xfId="14934" xr:uid="{3FB9F8CE-4AD0-409F-BE4F-B7578A08F7E8}"/>
    <cellStyle name="Normal 5 2 2 2 6 3 3" xfId="23381" xr:uid="{DBE48EE2-6CDD-4260-902D-FA740059D441}"/>
    <cellStyle name="Normal 5 2 2 2 6 3 4" xfId="31828" xr:uid="{FE3C5CF9-BFA8-4ABD-A521-62B8E8E4F0AE}"/>
    <cellStyle name="Normal 5 2 2 2 6 4" xfId="10717" xr:uid="{B649F1C0-AA30-4EF9-BAA3-47C556E1552D}"/>
    <cellStyle name="Normal 5 2 2 2 6 5" xfId="19164" xr:uid="{B2FBA8EA-7E5F-4861-ADB5-5B9D10035BA6}"/>
    <cellStyle name="Normal 5 2 2 2 6 6" xfId="27611" xr:uid="{E54317BB-100C-4B31-931B-C962A3F0A64D}"/>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17492" xr:uid="{F400FD57-8007-4419-8830-28C240942F6A}"/>
    <cellStyle name="Normal 5 2 2 2 7 2 2 3" xfId="25939" xr:uid="{55098C9E-CE5E-49DA-8C01-11CA02D67EBB}"/>
    <cellStyle name="Normal 5 2 2 2 7 2 2 4" xfId="34386" xr:uid="{B5370700-2616-46F5-8B00-3DF59374C104}"/>
    <cellStyle name="Normal 5 2 2 2 7 2 3" xfId="13275" xr:uid="{F96727DF-5429-4C64-A6EC-3C26CEF01042}"/>
    <cellStyle name="Normal 5 2 2 2 7 2 4" xfId="21722" xr:uid="{1BAF853B-0A33-4C55-A628-8DEE8A82DA0D}"/>
    <cellStyle name="Normal 5 2 2 2 7 2 5" xfId="30169" xr:uid="{A4332A72-9083-4C6A-8A61-63010672511B}"/>
    <cellStyle name="Normal 5 2 2 2 7 3" xfId="6021" xr:uid="{00000000-0005-0000-0000-00008F170000}"/>
    <cellStyle name="Normal 5 2 2 2 7 3 2" xfId="15347" xr:uid="{2824EA13-5356-461A-82A3-480043926331}"/>
    <cellStyle name="Normal 5 2 2 2 7 3 3" xfId="23794" xr:uid="{8714BFE5-671E-4738-8E80-15238B7525A0}"/>
    <cellStyle name="Normal 5 2 2 2 7 3 4" xfId="32241" xr:uid="{77CA280E-5A9C-4BCB-B50B-3FAE8D73E883}"/>
    <cellStyle name="Normal 5 2 2 2 7 4" xfId="11130" xr:uid="{EF64A10B-B2D5-4763-8DFA-4E4D27A4CCC7}"/>
    <cellStyle name="Normal 5 2 2 2 7 5" xfId="19577" xr:uid="{CAA8C05C-0299-42A1-A336-48F6DA5FE98C}"/>
    <cellStyle name="Normal 5 2 2 2 7 6" xfId="28024" xr:uid="{8AE33A97-3545-4400-AFAA-D2F1FEC45F31}"/>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17905" xr:uid="{863683C6-4F49-4C43-B93F-95C791603161}"/>
    <cellStyle name="Normal 5 2 2 2 8 2 2 3" xfId="26352" xr:uid="{4B053EF5-53D8-42F6-AC5F-27C5CE804054}"/>
    <cellStyle name="Normal 5 2 2 2 8 2 2 4" xfId="34799" xr:uid="{7CA0C94D-0746-413C-B2FD-371D4F964F5C}"/>
    <cellStyle name="Normal 5 2 2 2 8 2 3" xfId="13688" xr:uid="{6C680791-0609-4C31-8AD9-5282C6AE8DEB}"/>
    <cellStyle name="Normal 5 2 2 2 8 2 4" xfId="22135" xr:uid="{3E4A430A-0E89-4796-BF30-7D4C8986774D}"/>
    <cellStyle name="Normal 5 2 2 2 8 2 5" xfId="30582" xr:uid="{5E8B98DA-6DC7-46C7-B435-33C9BCC405CA}"/>
    <cellStyle name="Normal 5 2 2 2 8 3" xfId="6434" xr:uid="{00000000-0005-0000-0000-000093170000}"/>
    <cellStyle name="Normal 5 2 2 2 8 3 2" xfId="15760" xr:uid="{F254A55D-3B77-4AD1-817A-9FC9D611EB01}"/>
    <cellStyle name="Normal 5 2 2 2 8 3 3" xfId="24207" xr:uid="{F0563EB0-34E2-4F75-ADF4-CFC6BCDAB04D}"/>
    <cellStyle name="Normal 5 2 2 2 8 3 4" xfId="32654" xr:uid="{94071623-1537-49AA-AF64-E76586E19952}"/>
    <cellStyle name="Normal 5 2 2 2 8 4" xfId="11543" xr:uid="{65E039E0-841D-45ED-A18F-1DDEAB9F89E2}"/>
    <cellStyle name="Normal 5 2 2 2 8 5" xfId="19990" xr:uid="{5EF9947A-29CD-4832-9F01-F9E3C507D890}"/>
    <cellStyle name="Normal 5 2 2 2 8 6" xfId="28437" xr:uid="{59AB774F-61F2-4B23-BCCE-243B18E2CD11}"/>
    <cellStyle name="Normal 5 2 2 2 9" xfId="2564" xr:uid="{00000000-0005-0000-0000-000094170000}"/>
    <cellStyle name="Normal 5 2 2 2 9 2" xfId="6847" xr:uid="{00000000-0005-0000-0000-000095170000}"/>
    <cellStyle name="Normal 5 2 2 2 9 2 2" xfId="16173" xr:uid="{11C295E7-88B9-4990-B0B3-BAC2A42F58E7}"/>
    <cellStyle name="Normal 5 2 2 2 9 2 3" xfId="24620" xr:uid="{5CD36CA4-D587-4D6F-9B66-9FB9997D7ED2}"/>
    <cellStyle name="Normal 5 2 2 2 9 2 4" xfId="33067" xr:uid="{5490577F-181B-42F6-AEDB-B219F5FD2C31}"/>
    <cellStyle name="Normal 5 2 2 2 9 3" xfId="11956" xr:uid="{31243C34-743B-41BF-B4C2-B3A85C641E39}"/>
    <cellStyle name="Normal 5 2 2 2 9 4" xfId="20403" xr:uid="{358DE46B-5B7C-43E3-B3D2-48B7135B73A7}"/>
    <cellStyle name="Normal 5 2 2 2 9 5" xfId="28850" xr:uid="{143BA617-72B1-432B-A35D-5AEDE3D0787D}"/>
    <cellStyle name="Normal 5 2 2 3" xfId="417" xr:uid="{00000000-0005-0000-0000-000096170000}"/>
    <cellStyle name="Normal 5 2 2 3 10" xfId="8828" xr:uid="{5CED8211-F967-469B-812B-9DF6FC250177}"/>
    <cellStyle name="Normal 5 2 2 3 11" xfId="9899" xr:uid="{B23CC287-5619-4186-BF49-37B5F1BDE050}"/>
    <cellStyle name="Normal 5 2 2 3 12" xfId="18346" xr:uid="{45E6A6D9-FB7F-41C7-AB8B-89B0FB63742E}"/>
    <cellStyle name="Normal 5 2 2 3 13" xfId="26793" xr:uid="{BBF5E69D-2B7B-4ED6-89B6-B70398156561}"/>
    <cellStyle name="Normal 5 2 2 3 2" xfId="418" xr:uid="{00000000-0005-0000-0000-000097170000}"/>
    <cellStyle name="Normal 5 2 2 3 2 10" xfId="9900" xr:uid="{CE4FC2A1-1382-4A94-A4EB-CD4B5D23ED2D}"/>
    <cellStyle name="Normal 5 2 2 3 2 11" xfId="18347" xr:uid="{691C8BB6-AD49-4A3B-A3BB-6B95A9A37B63}"/>
    <cellStyle name="Normal 5 2 2 3 2 12" xfId="26794" xr:uid="{1C469484-A5F5-4B26-9BBD-1AD997A344EC}"/>
    <cellStyle name="Normal 5 2 2 3 2 2" xfId="419" xr:uid="{00000000-0005-0000-0000-000098170000}"/>
    <cellStyle name="Normal 5 2 2 3 2 2 10" xfId="18348" xr:uid="{6496CC7F-3C61-4332-BCE2-A29442CB93E2}"/>
    <cellStyle name="Normal 5 2 2 3 2 2 11" xfId="26795" xr:uid="{906F44C1-6870-435A-9717-3E2D3EBFD0A7}"/>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16676" xr:uid="{CDEC0769-8404-42B0-9ED4-80BEF276A6E6}"/>
    <cellStyle name="Normal 5 2 2 3 2 2 2 2 2 3" xfId="25123" xr:uid="{E294E0E9-0C27-4C25-8E43-BB2C5636E252}"/>
    <cellStyle name="Normal 5 2 2 3 2 2 2 2 2 4" xfId="33570" xr:uid="{954DB47A-F1B8-49C9-A6E9-35767ACB25AB}"/>
    <cellStyle name="Normal 5 2 2 3 2 2 2 2 3" xfId="12459" xr:uid="{E21677C3-C1D6-4886-B30F-AD38AD7B7F0E}"/>
    <cellStyle name="Normal 5 2 2 3 2 2 2 2 4" xfId="20906" xr:uid="{06E4D3A3-EACE-42EA-86B6-49A24D695DEF}"/>
    <cellStyle name="Normal 5 2 2 3 2 2 2 2 5" xfId="29353" xr:uid="{D23DB4CD-D1B2-4425-B5EB-C138AEA6ED36}"/>
    <cellStyle name="Normal 5 2 2 3 2 2 2 3" xfId="5205" xr:uid="{00000000-0005-0000-0000-00009C170000}"/>
    <cellStyle name="Normal 5 2 2 3 2 2 2 3 2" xfId="14531" xr:uid="{51527EF2-AA0F-41DC-AE73-79FBF3FCAC46}"/>
    <cellStyle name="Normal 5 2 2 3 2 2 2 3 3" xfId="22978" xr:uid="{10993DA1-F47D-415B-B7A0-4D0A56BCFC13}"/>
    <cellStyle name="Normal 5 2 2 3 2 2 2 3 4" xfId="31425" xr:uid="{F231C55F-7DD9-40BB-8718-6BF6F151BC4B}"/>
    <cellStyle name="Normal 5 2 2 3 2 2 2 4" xfId="9563" xr:uid="{804E641C-B5FA-46A3-B805-C1D4AF390C28}"/>
    <cellStyle name="Normal 5 2 2 3 2 2 2 5" xfId="10314" xr:uid="{5884D611-A45D-4AF4-9A7B-CDF15E445AE7}"/>
    <cellStyle name="Normal 5 2 2 3 2 2 2 6" xfId="18761" xr:uid="{CF26356B-1C3D-410B-AFA6-FFD98026F54D}"/>
    <cellStyle name="Normal 5 2 2 3 2 2 2 7" xfId="27208" xr:uid="{DD965D96-B6F1-4F15-AED1-99FECEA7A732}"/>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17089" xr:uid="{534580B6-1444-446C-ABDD-E72041CBB495}"/>
    <cellStyle name="Normal 5 2 2 3 2 2 3 2 2 3" xfId="25536" xr:uid="{84F3E3A9-EE27-4B60-80E0-3B502049E753}"/>
    <cellStyle name="Normal 5 2 2 3 2 2 3 2 2 4" xfId="33983" xr:uid="{3C1E7818-D518-43D8-9276-4C33BA6E42C3}"/>
    <cellStyle name="Normal 5 2 2 3 2 2 3 2 3" xfId="12872" xr:uid="{D3D312DD-3091-4AB4-B91E-147E5BC500A7}"/>
    <cellStyle name="Normal 5 2 2 3 2 2 3 2 4" xfId="21319" xr:uid="{F796DDB3-1918-46B3-95A2-0CE4EEB93FB8}"/>
    <cellStyle name="Normal 5 2 2 3 2 2 3 2 5" xfId="29766" xr:uid="{B769EFC4-1EE8-4128-9D22-E81B5DEABE6E}"/>
    <cellStyle name="Normal 5 2 2 3 2 2 3 3" xfId="5618" xr:uid="{00000000-0005-0000-0000-0000A0170000}"/>
    <cellStyle name="Normal 5 2 2 3 2 2 3 3 2" xfId="14944" xr:uid="{AAFF0BD4-849D-41CE-9B4F-7140CE85400B}"/>
    <cellStyle name="Normal 5 2 2 3 2 2 3 3 3" xfId="23391" xr:uid="{FC75ACBC-2771-484E-9EDF-EA6CC0CB2ABD}"/>
    <cellStyle name="Normal 5 2 2 3 2 2 3 3 4" xfId="31838" xr:uid="{D18E9032-B9D3-4C33-9FE1-2A1DD70AF113}"/>
    <cellStyle name="Normal 5 2 2 3 2 2 3 4" xfId="10727" xr:uid="{76D5A7CE-45BC-4F03-B1E8-3F3A0D4CFAE3}"/>
    <cellStyle name="Normal 5 2 2 3 2 2 3 5" xfId="19174" xr:uid="{39FF28A2-4CDD-48BB-AF22-0611320FE55E}"/>
    <cellStyle name="Normal 5 2 2 3 2 2 3 6" xfId="27621" xr:uid="{F45A83AA-C6D7-4E9D-925C-3A6DEECF161F}"/>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17502" xr:uid="{92CA55AA-B3D7-4CED-8487-7DB5C666E5EB}"/>
    <cellStyle name="Normal 5 2 2 3 2 2 4 2 2 3" xfId="25949" xr:uid="{69C47B46-AA74-497C-946B-75A6BAEA3BD4}"/>
    <cellStyle name="Normal 5 2 2 3 2 2 4 2 2 4" xfId="34396" xr:uid="{7AE4FCB5-4272-4913-BE33-E08679C57E99}"/>
    <cellStyle name="Normal 5 2 2 3 2 2 4 2 3" xfId="13285" xr:uid="{D63D9A02-1862-4CB7-8D55-30A3BC28FB1D}"/>
    <cellStyle name="Normal 5 2 2 3 2 2 4 2 4" xfId="21732" xr:uid="{D5000B3E-93D4-4515-ACC8-C327EC9B33DB}"/>
    <cellStyle name="Normal 5 2 2 3 2 2 4 2 5" xfId="30179" xr:uid="{B0D66A77-1E0C-4586-8F00-10F5405D9EA6}"/>
    <cellStyle name="Normal 5 2 2 3 2 2 4 3" xfId="6031" xr:uid="{00000000-0005-0000-0000-0000A4170000}"/>
    <cellStyle name="Normal 5 2 2 3 2 2 4 3 2" xfId="15357" xr:uid="{697CF0B8-41DF-45CA-87A3-D68C4DCB6CB5}"/>
    <cellStyle name="Normal 5 2 2 3 2 2 4 3 3" xfId="23804" xr:uid="{3F232034-DB22-499F-9FC3-6D681A18ECFD}"/>
    <cellStyle name="Normal 5 2 2 3 2 2 4 3 4" xfId="32251" xr:uid="{007D67DA-ADB2-4779-84FB-3C16600C1AC0}"/>
    <cellStyle name="Normal 5 2 2 3 2 2 4 4" xfId="11140" xr:uid="{BFBFC86D-3F02-4849-8351-02455974B9A7}"/>
    <cellStyle name="Normal 5 2 2 3 2 2 4 5" xfId="19587" xr:uid="{5F91CFBE-EF55-41E9-AD76-B94217176C02}"/>
    <cellStyle name="Normal 5 2 2 3 2 2 4 6" xfId="28034" xr:uid="{1B2CE66D-217C-48CB-8187-4178654F54F4}"/>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17915" xr:uid="{063472EE-1DCA-4844-AC89-EA48AE3196DD}"/>
    <cellStyle name="Normal 5 2 2 3 2 2 5 2 2 3" xfId="26362" xr:uid="{0AD06B60-C1A4-4463-996D-66C769E4CCFE}"/>
    <cellStyle name="Normal 5 2 2 3 2 2 5 2 2 4" xfId="34809" xr:uid="{35EFB316-F476-4E7C-94E5-489B7D6031F2}"/>
    <cellStyle name="Normal 5 2 2 3 2 2 5 2 3" xfId="13698" xr:uid="{663A57D9-B492-4CE8-A918-5A0CF279AD78}"/>
    <cellStyle name="Normal 5 2 2 3 2 2 5 2 4" xfId="22145" xr:uid="{B38E6133-F3F4-4761-B2B6-FDB368FD2764}"/>
    <cellStyle name="Normal 5 2 2 3 2 2 5 2 5" xfId="30592" xr:uid="{367BB2A9-3134-483C-9EA6-633EA2299410}"/>
    <cellStyle name="Normal 5 2 2 3 2 2 5 3" xfId="6444" xr:uid="{00000000-0005-0000-0000-0000A8170000}"/>
    <cellStyle name="Normal 5 2 2 3 2 2 5 3 2" xfId="15770" xr:uid="{3223D70B-6C23-43F4-9BFB-89A9EF3A6B02}"/>
    <cellStyle name="Normal 5 2 2 3 2 2 5 3 3" xfId="24217" xr:uid="{CB575978-0149-46D8-906C-8481A98C5550}"/>
    <cellStyle name="Normal 5 2 2 3 2 2 5 3 4" xfId="32664" xr:uid="{8366EB13-EAD1-4404-8097-67DA70258047}"/>
    <cellStyle name="Normal 5 2 2 3 2 2 5 4" xfId="11553" xr:uid="{C9550CAF-24BA-4EE6-B914-9AC8A2C08C0A}"/>
    <cellStyle name="Normal 5 2 2 3 2 2 5 5" xfId="20000" xr:uid="{F8A4DAD7-D53E-4A35-8630-820E28E5F632}"/>
    <cellStyle name="Normal 5 2 2 3 2 2 5 6" xfId="28447" xr:uid="{9B993935-7CB9-43D5-B3FB-CB8226451519}"/>
    <cellStyle name="Normal 5 2 2 3 2 2 6" xfId="2574" xr:uid="{00000000-0005-0000-0000-0000A9170000}"/>
    <cellStyle name="Normal 5 2 2 3 2 2 6 2" xfId="6857" xr:uid="{00000000-0005-0000-0000-0000AA170000}"/>
    <cellStyle name="Normal 5 2 2 3 2 2 6 2 2" xfId="16183" xr:uid="{80061FF0-ACFF-462B-B53E-416743E97F0F}"/>
    <cellStyle name="Normal 5 2 2 3 2 2 6 2 3" xfId="24630" xr:uid="{FE466E49-6026-4B63-B6BE-77BA7721F301}"/>
    <cellStyle name="Normal 5 2 2 3 2 2 6 2 4" xfId="33077" xr:uid="{C32841FD-72F3-4656-BA06-4235E9A85963}"/>
    <cellStyle name="Normal 5 2 2 3 2 2 6 3" xfId="11966" xr:uid="{9030551D-94F7-44B8-89A1-55DA52724C52}"/>
    <cellStyle name="Normal 5 2 2 3 2 2 6 4" xfId="20413" xr:uid="{B0E62DA9-0707-4E54-AF2C-1A19497C3B70}"/>
    <cellStyle name="Normal 5 2 2 3 2 2 6 5" xfId="28860" xr:uid="{C9B950DE-592C-4650-848D-C8A9DF55B3B1}"/>
    <cellStyle name="Normal 5 2 2 3 2 2 7" xfId="4792" xr:uid="{00000000-0005-0000-0000-0000AB170000}"/>
    <cellStyle name="Normal 5 2 2 3 2 2 7 2" xfId="14118" xr:uid="{EE3239C1-1D6E-4803-A9D9-CB30CBB4746F}"/>
    <cellStyle name="Normal 5 2 2 3 2 2 7 3" xfId="22565" xr:uid="{C50BFB80-CDC8-4A28-BEAB-13524582C7EB}"/>
    <cellStyle name="Normal 5 2 2 3 2 2 7 4" xfId="31012" xr:uid="{4055E87E-1309-4C1C-826D-BA4BBFEFAE73}"/>
    <cellStyle name="Normal 5 2 2 3 2 2 8" xfId="9138" xr:uid="{BE73D583-3CAB-48A9-8A6F-E88EE69D1D1D}"/>
    <cellStyle name="Normal 5 2 2 3 2 2 9" xfId="9901" xr:uid="{F8E2AF47-8851-44F2-B028-8FF43C1229D7}"/>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16675" xr:uid="{88F01299-DF05-4E11-B481-A7965756F76C}"/>
    <cellStyle name="Normal 5 2 2 3 2 3 2 2 3" xfId="25122" xr:uid="{63AA4527-C9D5-4C9C-9CDA-672DB3A6871A}"/>
    <cellStyle name="Normal 5 2 2 3 2 3 2 2 4" xfId="33569" xr:uid="{9EC9C56C-A0D3-415E-919D-AA551A718B04}"/>
    <cellStyle name="Normal 5 2 2 3 2 3 2 3" xfId="12458" xr:uid="{4EB65EE1-13BC-4E98-82E5-9F6661402596}"/>
    <cellStyle name="Normal 5 2 2 3 2 3 2 4" xfId="20905" xr:uid="{CEBC016D-27B4-4A70-865B-4B770CDAA132}"/>
    <cellStyle name="Normal 5 2 2 3 2 3 2 5" xfId="29352" xr:uid="{FB85508D-34DA-4A97-8079-1BFB8587E8ED}"/>
    <cellStyle name="Normal 5 2 2 3 2 3 3" xfId="5204" xr:uid="{00000000-0005-0000-0000-0000AF170000}"/>
    <cellStyle name="Normal 5 2 2 3 2 3 3 2" xfId="14530" xr:uid="{808B2A6C-FAB6-4FFB-80EA-8D9755DED8E9}"/>
    <cellStyle name="Normal 5 2 2 3 2 3 3 3" xfId="22977" xr:uid="{1860CF28-156E-4696-8AA7-969F0DDD7F3F}"/>
    <cellStyle name="Normal 5 2 2 3 2 3 3 4" xfId="31424" xr:uid="{E9D96FCA-4272-425E-99C1-693F3F260519}"/>
    <cellStyle name="Normal 5 2 2 3 2 3 4" xfId="9356" xr:uid="{58BAA3B3-A7A2-4F6F-9929-D8BE9F0A557D}"/>
    <cellStyle name="Normal 5 2 2 3 2 3 5" xfId="10313" xr:uid="{5E42CCBC-9FE0-469D-B336-A27A4BBEC69B}"/>
    <cellStyle name="Normal 5 2 2 3 2 3 6" xfId="18760" xr:uid="{08C6EB2C-00A5-4DED-A90D-AB6ACEC75DDC}"/>
    <cellStyle name="Normal 5 2 2 3 2 3 7" xfId="27207" xr:uid="{094BC6F1-0D9C-4E10-AF13-FD758BE83AD1}"/>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17088" xr:uid="{8602DFC2-1EA5-413B-8B1D-D22DF6DEE758}"/>
    <cellStyle name="Normal 5 2 2 3 2 4 2 2 3" xfId="25535" xr:uid="{6588B589-038E-4C3E-A3F6-4A68FC3B9D55}"/>
    <cellStyle name="Normal 5 2 2 3 2 4 2 2 4" xfId="33982" xr:uid="{0F451E19-A205-4C8A-B14D-0ECD928ACDEF}"/>
    <cellStyle name="Normal 5 2 2 3 2 4 2 3" xfId="12871" xr:uid="{CF07347A-F697-4112-8E28-33326E7AE9DA}"/>
    <cellStyle name="Normal 5 2 2 3 2 4 2 4" xfId="21318" xr:uid="{843035D7-4F58-478B-9851-164350693A71}"/>
    <cellStyle name="Normal 5 2 2 3 2 4 2 5" xfId="29765" xr:uid="{21249D8C-B1B6-4020-ACA8-31C0FAC4B164}"/>
    <cellStyle name="Normal 5 2 2 3 2 4 3" xfId="5617" xr:uid="{00000000-0005-0000-0000-0000B3170000}"/>
    <cellStyle name="Normal 5 2 2 3 2 4 3 2" xfId="14943" xr:uid="{EDD08013-1DCD-4356-9154-8C024667A6CC}"/>
    <cellStyle name="Normal 5 2 2 3 2 4 3 3" xfId="23390" xr:uid="{4388E092-6BCC-4236-8313-40F044092F82}"/>
    <cellStyle name="Normal 5 2 2 3 2 4 3 4" xfId="31837" xr:uid="{05D1082D-9290-4434-92FC-5C521B2D9503}"/>
    <cellStyle name="Normal 5 2 2 3 2 4 4" xfId="10726" xr:uid="{8F7DFFDB-4A32-4D30-A860-C2569F4C2154}"/>
    <cellStyle name="Normal 5 2 2 3 2 4 5" xfId="19173" xr:uid="{F8B00EB9-7F91-4DEC-8458-1065EE5E2331}"/>
    <cellStyle name="Normal 5 2 2 3 2 4 6" xfId="27620" xr:uid="{488F2124-FA4B-4087-BCDF-22E0D33C5CB1}"/>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17501" xr:uid="{99780B31-8647-4B1F-AA30-8315C58EA33D}"/>
    <cellStyle name="Normal 5 2 2 3 2 5 2 2 3" xfId="25948" xr:uid="{3AAFDD43-78B7-4FF0-A00D-5DAB15CBA4F6}"/>
    <cellStyle name="Normal 5 2 2 3 2 5 2 2 4" xfId="34395" xr:uid="{AEB7B41C-04C8-4349-84A2-2C70B67F0043}"/>
    <cellStyle name="Normal 5 2 2 3 2 5 2 3" xfId="13284" xr:uid="{C672DA97-969A-4EB9-9C3C-08447D3A30C8}"/>
    <cellStyle name="Normal 5 2 2 3 2 5 2 4" xfId="21731" xr:uid="{280BE829-1BFF-430C-B44C-E5DCF632D76F}"/>
    <cellStyle name="Normal 5 2 2 3 2 5 2 5" xfId="30178" xr:uid="{3D805189-55E6-4C4B-B49D-57CB07BF8E8F}"/>
    <cellStyle name="Normal 5 2 2 3 2 5 3" xfId="6030" xr:uid="{00000000-0005-0000-0000-0000B7170000}"/>
    <cellStyle name="Normal 5 2 2 3 2 5 3 2" xfId="15356" xr:uid="{BAC51FDB-D838-40DF-91CB-C0554191E606}"/>
    <cellStyle name="Normal 5 2 2 3 2 5 3 3" xfId="23803" xr:uid="{A48AC1E9-8EA1-488E-8224-0083971E1E83}"/>
    <cellStyle name="Normal 5 2 2 3 2 5 3 4" xfId="32250" xr:uid="{BC5F4796-D271-4C26-95BC-2D1826AB5DB3}"/>
    <cellStyle name="Normal 5 2 2 3 2 5 4" xfId="11139" xr:uid="{C8268163-A6FB-47F3-87BA-2A602F2384CB}"/>
    <cellStyle name="Normal 5 2 2 3 2 5 5" xfId="19586" xr:uid="{8009D4C4-CE2D-49D6-943D-A1515E2F02E1}"/>
    <cellStyle name="Normal 5 2 2 3 2 5 6" xfId="28033" xr:uid="{98634D16-1452-46EC-8050-F4E3F672A8B4}"/>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17914" xr:uid="{129A3A34-4289-4577-BAC5-33ABA8F884C3}"/>
    <cellStyle name="Normal 5 2 2 3 2 6 2 2 3" xfId="26361" xr:uid="{757EE0C5-DE00-4244-A2E5-9823337980F8}"/>
    <cellStyle name="Normal 5 2 2 3 2 6 2 2 4" xfId="34808" xr:uid="{E1A28EC1-F4D6-458B-93B8-9310BB757A30}"/>
    <cellStyle name="Normal 5 2 2 3 2 6 2 3" xfId="13697" xr:uid="{15B5A5CC-FC83-40E0-9D59-13BB11F296EC}"/>
    <cellStyle name="Normal 5 2 2 3 2 6 2 4" xfId="22144" xr:uid="{FB76CF72-37F3-4336-A7FF-D474115761BC}"/>
    <cellStyle name="Normal 5 2 2 3 2 6 2 5" xfId="30591" xr:uid="{1B72664A-FF7C-4059-946E-8A14CC1B4FFF}"/>
    <cellStyle name="Normal 5 2 2 3 2 6 3" xfId="6443" xr:uid="{00000000-0005-0000-0000-0000BB170000}"/>
    <cellStyle name="Normal 5 2 2 3 2 6 3 2" xfId="15769" xr:uid="{9B841E6F-2B82-47BF-ACAD-18CF3E495CAA}"/>
    <cellStyle name="Normal 5 2 2 3 2 6 3 3" xfId="24216" xr:uid="{C86FEC7E-3F37-49E5-94C5-30AA82B51441}"/>
    <cellStyle name="Normal 5 2 2 3 2 6 3 4" xfId="32663" xr:uid="{FCF958AF-51EC-4DF7-8E90-CDB558539D77}"/>
    <cellStyle name="Normal 5 2 2 3 2 6 4" xfId="11552" xr:uid="{CDC7AF97-CAE3-4B31-8FF4-ADAAD9B45C0A}"/>
    <cellStyle name="Normal 5 2 2 3 2 6 5" xfId="19999" xr:uid="{FB0989C9-4C37-486A-B8F9-6EFFEA388092}"/>
    <cellStyle name="Normal 5 2 2 3 2 6 6" xfId="28446" xr:uid="{E31C797A-9559-4921-8204-00A33C71685E}"/>
    <cellStyle name="Normal 5 2 2 3 2 7" xfId="2573" xr:uid="{00000000-0005-0000-0000-0000BC170000}"/>
    <cellStyle name="Normal 5 2 2 3 2 7 2" xfId="6856" xr:uid="{00000000-0005-0000-0000-0000BD170000}"/>
    <cellStyle name="Normal 5 2 2 3 2 7 2 2" xfId="16182" xr:uid="{BCA27E98-8470-49E6-A056-C5315D0F0BBF}"/>
    <cellStyle name="Normal 5 2 2 3 2 7 2 3" xfId="24629" xr:uid="{DB58EC14-EBDD-4921-8449-9CCCA59C3427}"/>
    <cellStyle name="Normal 5 2 2 3 2 7 2 4" xfId="33076" xr:uid="{4828ED9C-73B8-4500-8386-AE337883E5CB}"/>
    <cellStyle name="Normal 5 2 2 3 2 7 3" xfId="11965" xr:uid="{3B624A34-F621-4376-AA44-9A5B384491CF}"/>
    <cellStyle name="Normal 5 2 2 3 2 7 4" xfId="20412" xr:uid="{48185BBF-C72E-430A-9D64-AEBB3515C133}"/>
    <cellStyle name="Normal 5 2 2 3 2 7 5" xfId="28859" xr:uid="{3DB878AC-CAF4-4C04-B2AD-6708652D1412}"/>
    <cellStyle name="Normal 5 2 2 3 2 8" xfId="4791" xr:uid="{00000000-0005-0000-0000-0000BE170000}"/>
    <cellStyle name="Normal 5 2 2 3 2 8 2" xfId="14117" xr:uid="{3058DABA-8AC1-43C0-82C9-4FBCFF77925B}"/>
    <cellStyle name="Normal 5 2 2 3 2 8 3" xfId="22564" xr:uid="{DC01F4D6-6D76-4088-AC3B-519CCC17E645}"/>
    <cellStyle name="Normal 5 2 2 3 2 8 4" xfId="31011" xr:uid="{9137D48D-4879-4228-AB43-CF984E1717F0}"/>
    <cellStyle name="Normal 5 2 2 3 2 9" xfId="8931" xr:uid="{E27E09D3-2564-4B82-8EA4-A27330B6B436}"/>
    <cellStyle name="Normal 5 2 2 3 3" xfId="420" xr:uid="{00000000-0005-0000-0000-0000BF170000}"/>
    <cellStyle name="Normal 5 2 2 3 3 10" xfId="18349" xr:uid="{CFE6F4B4-99D0-47AB-A855-91F95FCA408F}"/>
    <cellStyle name="Normal 5 2 2 3 3 11" xfId="26796" xr:uid="{12123F9C-B7CE-448B-9F92-100F0458378C}"/>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16677" xr:uid="{FBBAC8B8-A6DD-4864-853C-6A444DE54A02}"/>
    <cellStyle name="Normal 5 2 2 3 3 2 2 2 3" xfId="25124" xr:uid="{10A922A7-8125-4959-9E4A-09B58489719E}"/>
    <cellStyle name="Normal 5 2 2 3 3 2 2 2 4" xfId="33571" xr:uid="{4876A1E3-E872-4BE4-B660-D05DDDD97D6E}"/>
    <cellStyle name="Normal 5 2 2 3 3 2 2 3" xfId="12460" xr:uid="{7ECAE216-B494-4142-AC12-D5BAA320016C}"/>
    <cellStyle name="Normal 5 2 2 3 3 2 2 4" xfId="20907" xr:uid="{197E3C7F-6440-45AB-8A6E-E64647782F4B}"/>
    <cellStyle name="Normal 5 2 2 3 3 2 2 5" xfId="29354" xr:uid="{C97AAB68-2524-4A99-9267-017033B53520}"/>
    <cellStyle name="Normal 5 2 2 3 3 2 3" xfId="5206" xr:uid="{00000000-0005-0000-0000-0000C3170000}"/>
    <cellStyle name="Normal 5 2 2 3 3 2 3 2" xfId="14532" xr:uid="{07A4D196-4411-420B-888B-3144F513377A}"/>
    <cellStyle name="Normal 5 2 2 3 3 2 3 3" xfId="22979" xr:uid="{AEFC6B55-83E3-4EA4-B9ED-CAEEC178832C}"/>
    <cellStyle name="Normal 5 2 2 3 3 2 3 4" xfId="31426" xr:uid="{FAB27964-2B3D-46A9-8028-97F4AF52D815}"/>
    <cellStyle name="Normal 5 2 2 3 3 2 4" xfId="9460" xr:uid="{423E0BE9-24F3-4EF0-8962-2565594BF831}"/>
    <cellStyle name="Normal 5 2 2 3 3 2 5" xfId="10315" xr:uid="{C9272702-936C-42B2-B0B9-7FAF7536F21E}"/>
    <cellStyle name="Normal 5 2 2 3 3 2 6" xfId="18762" xr:uid="{FE6D8895-5F26-4668-82E7-E17C77311821}"/>
    <cellStyle name="Normal 5 2 2 3 3 2 7" xfId="27209" xr:uid="{613D305F-753A-4EE6-A899-288336FAC697}"/>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17090" xr:uid="{017B979C-E656-4042-B975-8D96167BA389}"/>
    <cellStyle name="Normal 5 2 2 3 3 3 2 2 3" xfId="25537" xr:uid="{75AB6179-7F4E-476B-BC6C-B705EE508391}"/>
    <cellStyle name="Normal 5 2 2 3 3 3 2 2 4" xfId="33984" xr:uid="{EAE62E97-FC88-4B50-997A-50BBFFC35A1D}"/>
    <cellStyle name="Normal 5 2 2 3 3 3 2 3" xfId="12873" xr:uid="{6A4680CD-BE9D-43B7-A31F-EA224F1C72EA}"/>
    <cellStyle name="Normal 5 2 2 3 3 3 2 4" xfId="21320" xr:uid="{78FAAC00-18B4-4D24-9F49-49819386492D}"/>
    <cellStyle name="Normal 5 2 2 3 3 3 2 5" xfId="29767" xr:uid="{F9A065F5-24D4-4E25-BF3F-64A955D804BD}"/>
    <cellStyle name="Normal 5 2 2 3 3 3 3" xfId="5619" xr:uid="{00000000-0005-0000-0000-0000C7170000}"/>
    <cellStyle name="Normal 5 2 2 3 3 3 3 2" xfId="14945" xr:uid="{8B5145B3-EA2E-4DF9-8E37-86ADDE5762D3}"/>
    <cellStyle name="Normal 5 2 2 3 3 3 3 3" xfId="23392" xr:uid="{DFC3D1DA-44CE-43DE-8261-247102655B80}"/>
    <cellStyle name="Normal 5 2 2 3 3 3 3 4" xfId="31839" xr:uid="{11B1E8EA-0800-4664-B1A2-2E1DFFFEF73E}"/>
    <cellStyle name="Normal 5 2 2 3 3 3 4" xfId="10728" xr:uid="{11C9B496-8711-452A-9E69-0BDAD10CD20E}"/>
    <cellStyle name="Normal 5 2 2 3 3 3 5" xfId="19175" xr:uid="{7BDE1B69-8CA5-435C-8F2C-22A2B22EF306}"/>
    <cellStyle name="Normal 5 2 2 3 3 3 6" xfId="27622" xr:uid="{D7664C42-9651-481F-9DB3-940E21E36726}"/>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17503" xr:uid="{2C078A5D-9DF1-481E-9250-2F13B16DB385}"/>
    <cellStyle name="Normal 5 2 2 3 3 4 2 2 3" xfId="25950" xr:uid="{8AE212E6-4D3D-4915-8AC4-290A28FFC9DA}"/>
    <cellStyle name="Normal 5 2 2 3 3 4 2 2 4" xfId="34397" xr:uid="{447677DB-4A08-4012-A2FC-63F441241575}"/>
    <cellStyle name="Normal 5 2 2 3 3 4 2 3" xfId="13286" xr:uid="{AB5D1C4F-1982-4ADB-9EBF-8A7565495D5A}"/>
    <cellStyle name="Normal 5 2 2 3 3 4 2 4" xfId="21733" xr:uid="{31D653FF-484F-4CDE-B52B-64ED2ACBE60B}"/>
    <cellStyle name="Normal 5 2 2 3 3 4 2 5" xfId="30180" xr:uid="{1C2D0081-F4FA-4A1F-B9B7-1E75EF838DF5}"/>
    <cellStyle name="Normal 5 2 2 3 3 4 3" xfId="6032" xr:uid="{00000000-0005-0000-0000-0000CB170000}"/>
    <cellStyle name="Normal 5 2 2 3 3 4 3 2" xfId="15358" xr:uid="{87768E2E-1800-4919-BB60-3984EFB18C05}"/>
    <cellStyle name="Normal 5 2 2 3 3 4 3 3" xfId="23805" xr:uid="{FDED2C69-0F81-4B06-A310-58645415FAF7}"/>
    <cellStyle name="Normal 5 2 2 3 3 4 3 4" xfId="32252" xr:uid="{9D818B39-384E-4073-AD6A-5B89C5264698}"/>
    <cellStyle name="Normal 5 2 2 3 3 4 4" xfId="11141" xr:uid="{B0E6B37C-B915-4C2B-8EFF-207E748EA9E0}"/>
    <cellStyle name="Normal 5 2 2 3 3 4 5" xfId="19588" xr:uid="{A1F27DDC-5F05-47C5-93E4-5E9E5F43F57D}"/>
    <cellStyle name="Normal 5 2 2 3 3 4 6" xfId="28035" xr:uid="{CFD6B812-A792-4EC9-90EC-BDFAB85F6732}"/>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17916" xr:uid="{9C9A8150-BCC6-430E-BF56-21E7E7CC8A10}"/>
    <cellStyle name="Normal 5 2 2 3 3 5 2 2 3" xfId="26363" xr:uid="{DF4337B8-8E57-4790-B51F-D9EDC68A6E43}"/>
    <cellStyle name="Normal 5 2 2 3 3 5 2 2 4" xfId="34810" xr:uid="{69FD2336-D34D-48AB-891E-F82AC459A2AF}"/>
    <cellStyle name="Normal 5 2 2 3 3 5 2 3" xfId="13699" xr:uid="{2F59B7D8-9E33-4303-B776-BC8F73D6A4B3}"/>
    <cellStyle name="Normal 5 2 2 3 3 5 2 4" xfId="22146" xr:uid="{F1A09003-6693-4EBB-9BCC-BE49958AFAC2}"/>
    <cellStyle name="Normal 5 2 2 3 3 5 2 5" xfId="30593" xr:uid="{5A732E0A-A7DF-48C5-9CCF-E3C31C71B6DB}"/>
    <cellStyle name="Normal 5 2 2 3 3 5 3" xfId="6445" xr:uid="{00000000-0005-0000-0000-0000CF170000}"/>
    <cellStyle name="Normal 5 2 2 3 3 5 3 2" xfId="15771" xr:uid="{0257B4BF-8AC6-4CCE-97A6-8255024A9873}"/>
    <cellStyle name="Normal 5 2 2 3 3 5 3 3" xfId="24218" xr:uid="{4E0603F4-D914-492F-A835-650CD689DA6E}"/>
    <cellStyle name="Normal 5 2 2 3 3 5 3 4" xfId="32665" xr:uid="{1E1143ED-19BA-4767-8414-D4D51F7EE26E}"/>
    <cellStyle name="Normal 5 2 2 3 3 5 4" xfId="11554" xr:uid="{6531D06E-71BC-42D5-8E47-8C9BAF5A5FF1}"/>
    <cellStyle name="Normal 5 2 2 3 3 5 5" xfId="20001" xr:uid="{0E1FF523-A521-4DFA-860E-282A590A7EE1}"/>
    <cellStyle name="Normal 5 2 2 3 3 5 6" xfId="28448" xr:uid="{B85644DC-3177-46B2-B123-4025768D4FB2}"/>
    <cellStyle name="Normal 5 2 2 3 3 6" xfId="2575" xr:uid="{00000000-0005-0000-0000-0000D0170000}"/>
    <cellStyle name="Normal 5 2 2 3 3 6 2" xfId="6858" xr:uid="{00000000-0005-0000-0000-0000D1170000}"/>
    <cellStyle name="Normal 5 2 2 3 3 6 2 2" xfId="16184" xr:uid="{FA45EE10-3B29-4959-BCEF-D1329795F4C4}"/>
    <cellStyle name="Normal 5 2 2 3 3 6 2 3" xfId="24631" xr:uid="{0A25FAAA-13D0-423C-AFC6-0227DF4E471E}"/>
    <cellStyle name="Normal 5 2 2 3 3 6 2 4" xfId="33078" xr:uid="{C8515352-EA14-44E6-8234-F2DAED46D402}"/>
    <cellStyle name="Normal 5 2 2 3 3 6 3" xfId="11967" xr:uid="{E266C456-E5F8-473C-8DE5-CACA0D4841BF}"/>
    <cellStyle name="Normal 5 2 2 3 3 6 4" xfId="20414" xr:uid="{A7F52095-FEDA-4D10-9A6F-C61E41817A6F}"/>
    <cellStyle name="Normal 5 2 2 3 3 6 5" xfId="28861" xr:uid="{8A914C28-BA8B-496E-8494-2FB1E8A1101E}"/>
    <cellStyle name="Normal 5 2 2 3 3 7" xfId="4793" xr:uid="{00000000-0005-0000-0000-0000D2170000}"/>
    <cellStyle name="Normal 5 2 2 3 3 7 2" xfId="14119" xr:uid="{66E9883B-0D30-4E65-9300-F69A5F5AC802}"/>
    <cellStyle name="Normal 5 2 2 3 3 7 3" xfId="22566" xr:uid="{68C56B88-52AF-4D23-80A6-0D26E47D899F}"/>
    <cellStyle name="Normal 5 2 2 3 3 7 4" xfId="31013" xr:uid="{F7DC86E1-A8E3-4724-A536-DB0AD91FA058}"/>
    <cellStyle name="Normal 5 2 2 3 3 8" xfId="9035" xr:uid="{6AC57173-16AF-4847-A277-E4254AACDA36}"/>
    <cellStyle name="Normal 5 2 2 3 3 9" xfId="9902" xr:uid="{A41F6E83-C6F2-4A0B-B060-DA17C52DE23B}"/>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16674" xr:uid="{5ED7DB62-6A2A-46CC-B97B-CB25D11427EB}"/>
    <cellStyle name="Normal 5 2 2 3 4 2 2 3" xfId="25121" xr:uid="{D6F75537-5798-4823-A3BC-0B70119D2BBD}"/>
    <cellStyle name="Normal 5 2 2 3 4 2 2 4" xfId="33568" xr:uid="{530BA427-AA80-4785-88BF-384BD385F28F}"/>
    <cellStyle name="Normal 5 2 2 3 4 2 3" xfId="12457" xr:uid="{77876B1D-B0B2-4AF0-B993-5691E134422B}"/>
    <cellStyle name="Normal 5 2 2 3 4 2 4" xfId="20904" xr:uid="{A45449A0-1352-4BD3-9BD4-78E49EB3B9CD}"/>
    <cellStyle name="Normal 5 2 2 3 4 2 5" xfId="29351" xr:uid="{A75B1F15-F20B-4E3A-A3BF-C7DED5FB69E1}"/>
    <cellStyle name="Normal 5 2 2 3 4 3" xfId="5203" xr:uid="{00000000-0005-0000-0000-0000D6170000}"/>
    <cellStyle name="Normal 5 2 2 3 4 3 2" xfId="14529" xr:uid="{6CA831E0-0B2D-46CD-B864-260A5275BA9C}"/>
    <cellStyle name="Normal 5 2 2 3 4 3 3" xfId="22976" xr:uid="{B0D44794-A402-455D-8B8C-6EBAD5F0DD36}"/>
    <cellStyle name="Normal 5 2 2 3 4 3 4" xfId="31423" xr:uid="{E5164973-AEAB-47BE-B183-FE3D77F0448E}"/>
    <cellStyle name="Normal 5 2 2 3 4 4" xfId="9253" xr:uid="{A5C3AAF9-67DD-41B1-A0BF-05B69F588F71}"/>
    <cellStyle name="Normal 5 2 2 3 4 5" xfId="10312" xr:uid="{E81F244D-F2BC-4D2F-B293-298A6DF6E431}"/>
    <cellStyle name="Normal 5 2 2 3 4 6" xfId="18759" xr:uid="{776811AF-4C40-418A-9E58-7DC2CC8B2A76}"/>
    <cellStyle name="Normal 5 2 2 3 4 7" xfId="27206" xr:uid="{D130489A-C005-4B15-AC90-DF5771988F05}"/>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17087" xr:uid="{E6CC7C8E-B893-4EA7-BD6F-E957DC14F7CD}"/>
    <cellStyle name="Normal 5 2 2 3 5 2 2 3" xfId="25534" xr:uid="{0BF550C8-2CF0-4461-B5F5-5CA64F71A9C7}"/>
    <cellStyle name="Normal 5 2 2 3 5 2 2 4" xfId="33981" xr:uid="{63DAFFC7-5254-406D-9B28-3E4B7177181D}"/>
    <cellStyle name="Normal 5 2 2 3 5 2 3" xfId="12870" xr:uid="{398C9CD4-6B35-4863-B340-FC7B09157375}"/>
    <cellStyle name="Normal 5 2 2 3 5 2 4" xfId="21317" xr:uid="{6BB9723D-C718-4CAF-B885-C84439179909}"/>
    <cellStyle name="Normal 5 2 2 3 5 2 5" xfId="29764" xr:uid="{B5404BBA-FA7E-4143-9A90-C61D49E7D503}"/>
    <cellStyle name="Normal 5 2 2 3 5 3" xfId="5616" xr:uid="{00000000-0005-0000-0000-0000DA170000}"/>
    <cellStyle name="Normal 5 2 2 3 5 3 2" xfId="14942" xr:uid="{04A33CFD-8E36-4984-9993-7240192D04AF}"/>
    <cellStyle name="Normal 5 2 2 3 5 3 3" xfId="23389" xr:uid="{60947E57-F06B-408A-80EB-B20ECEDCEBA7}"/>
    <cellStyle name="Normal 5 2 2 3 5 3 4" xfId="31836" xr:uid="{B8F8DB2A-1651-4CEC-A41E-2947758BE582}"/>
    <cellStyle name="Normal 5 2 2 3 5 4" xfId="10725" xr:uid="{57CDE3F5-8F67-4003-BEE4-A6360A8E0E7F}"/>
    <cellStyle name="Normal 5 2 2 3 5 5" xfId="19172" xr:uid="{1B827D46-5A59-46E3-B44C-76636BBD1D3C}"/>
    <cellStyle name="Normal 5 2 2 3 5 6" xfId="27619" xr:uid="{70EE434B-89D4-4609-AE5A-14BCD51808F9}"/>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17500" xr:uid="{1A3C5DDB-65E1-453E-8ACC-E34B1B6D26A3}"/>
    <cellStyle name="Normal 5 2 2 3 6 2 2 3" xfId="25947" xr:uid="{D93A3BF7-75DB-4DF9-B294-95AB8D36533D}"/>
    <cellStyle name="Normal 5 2 2 3 6 2 2 4" xfId="34394" xr:uid="{F5382826-3237-4243-B1C5-5FE611E4A37A}"/>
    <cellStyle name="Normal 5 2 2 3 6 2 3" xfId="13283" xr:uid="{46741123-D6C8-41E1-A718-60286B461113}"/>
    <cellStyle name="Normal 5 2 2 3 6 2 4" xfId="21730" xr:uid="{FD373BAA-18C8-43E5-9255-09745EAF3EB6}"/>
    <cellStyle name="Normal 5 2 2 3 6 2 5" xfId="30177" xr:uid="{152E1979-0682-4590-BF2E-78809DF735E6}"/>
    <cellStyle name="Normal 5 2 2 3 6 3" xfId="6029" xr:uid="{00000000-0005-0000-0000-0000DE170000}"/>
    <cellStyle name="Normal 5 2 2 3 6 3 2" xfId="15355" xr:uid="{27C8B976-D762-4E86-A5E8-DF03F8DB5C2C}"/>
    <cellStyle name="Normal 5 2 2 3 6 3 3" xfId="23802" xr:uid="{E20C86C0-11E2-41A5-BEAF-7E3C431F1429}"/>
    <cellStyle name="Normal 5 2 2 3 6 3 4" xfId="32249" xr:uid="{D43078C1-7A74-4534-BC93-C017D941753E}"/>
    <cellStyle name="Normal 5 2 2 3 6 4" xfId="11138" xr:uid="{8AD40B63-22F5-494C-BB89-074C42C4DD31}"/>
    <cellStyle name="Normal 5 2 2 3 6 5" xfId="19585" xr:uid="{1BF31A4E-E905-4418-91FD-600F8FA0CFFB}"/>
    <cellStyle name="Normal 5 2 2 3 6 6" xfId="28032" xr:uid="{13F340FE-B06B-4E36-8D62-E757C6AE5D92}"/>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17913" xr:uid="{CB0EBF96-4139-406C-967E-E8F7839AA60E}"/>
    <cellStyle name="Normal 5 2 2 3 7 2 2 3" xfId="26360" xr:uid="{DA510864-0FC6-4B6C-AD94-39D275CA2A84}"/>
    <cellStyle name="Normal 5 2 2 3 7 2 2 4" xfId="34807" xr:uid="{97001A26-EF4A-43CF-A86F-86A342036582}"/>
    <cellStyle name="Normal 5 2 2 3 7 2 3" xfId="13696" xr:uid="{D102F274-95DA-4989-ABF8-A000538D41D0}"/>
    <cellStyle name="Normal 5 2 2 3 7 2 4" xfId="22143" xr:uid="{9E191E3D-8FCB-4586-A36A-D77A88F2C6DB}"/>
    <cellStyle name="Normal 5 2 2 3 7 2 5" xfId="30590" xr:uid="{927B5A0D-DA2E-4F07-869B-BE87FF6F63E0}"/>
    <cellStyle name="Normal 5 2 2 3 7 3" xfId="6442" xr:uid="{00000000-0005-0000-0000-0000E2170000}"/>
    <cellStyle name="Normal 5 2 2 3 7 3 2" xfId="15768" xr:uid="{19BBA0D7-5332-4FA8-9032-D28578A1544E}"/>
    <cellStyle name="Normal 5 2 2 3 7 3 3" xfId="24215" xr:uid="{0A959676-1F49-46C3-9AC9-1FE8AA3472C1}"/>
    <cellStyle name="Normal 5 2 2 3 7 3 4" xfId="32662" xr:uid="{BCCF7F6C-149D-4970-99B0-448E05A5BACE}"/>
    <cellStyle name="Normal 5 2 2 3 7 4" xfId="11551" xr:uid="{495A20A9-C7F6-4DF3-8863-808F7A14A1A3}"/>
    <cellStyle name="Normal 5 2 2 3 7 5" xfId="19998" xr:uid="{C320B422-C365-478E-9B28-06A7DFB839E2}"/>
    <cellStyle name="Normal 5 2 2 3 7 6" xfId="28445" xr:uid="{5EF48FDC-4BB7-4DD1-96AE-B3C98E986849}"/>
    <cellStyle name="Normal 5 2 2 3 8" xfId="2572" xr:uid="{00000000-0005-0000-0000-0000E3170000}"/>
    <cellStyle name="Normal 5 2 2 3 8 2" xfId="6855" xr:uid="{00000000-0005-0000-0000-0000E4170000}"/>
    <cellStyle name="Normal 5 2 2 3 8 2 2" xfId="16181" xr:uid="{86EA5C62-77F7-4B71-9465-F249E17D7592}"/>
    <cellStyle name="Normal 5 2 2 3 8 2 3" xfId="24628" xr:uid="{3B72A935-93CB-4842-BEA7-48615CF79C1E}"/>
    <cellStyle name="Normal 5 2 2 3 8 2 4" xfId="33075" xr:uid="{13379EFE-2BC7-4AF7-87C2-980F04AD3E6B}"/>
    <cellStyle name="Normal 5 2 2 3 8 3" xfId="11964" xr:uid="{C8670AB8-1931-4BAA-9449-3AC15ACEB22D}"/>
    <cellStyle name="Normal 5 2 2 3 8 4" xfId="20411" xr:uid="{4F5C4A7D-4C98-47F7-833E-DFEEBDB3E488}"/>
    <cellStyle name="Normal 5 2 2 3 8 5" xfId="28858" xr:uid="{6FF5292B-29CD-4207-AAEA-404E5C3A3435}"/>
    <cellStyle name="Normal 5 2 2 3 9" xfId="4790" xr:uid="{00000000-0005-0000-0000-0000E5170000}"/>
    <cellStyle name="Normal 5 2 2 3 9 2" xfId="14116" xr:uid="{0BC239AB-7182-4DB4-AC88-EDBCC8BD7B9E}"/>
    <cellStyle name="Normal 5 2 2 3 9 3" xfId="22563" xr:uid="{42228820-6873-48C5-AC51-FF6B0DB35345}"/>
    <cellStyle name="Normal 5 2 2 3 9 4" xfId="31010" xr:uid="{B7D4EB20-DDF6-4B07-9771-C44188D7BD17}"/>
    <cellStyle name="Normal 5 2 2 4" xfId="421" xr:uid="{00000000-0005-0000-0000-0000E6170000}"/>
    <cellStyle name="Normal 5 2 2 4 10" xfId="9903" xr:uid="{DE94D61F-9510-4A03-A776-956FAEB2877E}"/>
    <cellStyle name="Normal 5 2 2 4 11" xfId="18350" xr:uid="{25F2F375-00C7-4EF3-A21E-608C99B8CA84}"/>
    <cellStyle name="Normal 5 2 2 4 12" xfId="26797" xr:uid="{C321E54E-F509-47D2-B38C-ED8C795A849D}"/>
    <cellStyle name="Normal 5 2 2 4 2" xfId="422" xr:uid="{00000000-0005-0000-0000-0000E7170000}"/>
    <cellStyle name="Normal 5 2 2 4 2 10" xfId="18351" xr:uid="{EBEA2A50-F70E-4E7A-BED6-3ED8F3A24F69}"/>
    <cellStyle name="Normal 5 2 2 4 2 11" xfId="26798" xr:uid="{98150A41-4D38-41E3-857C-DABB5B41A395}"/>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16679" xr:uid="{06328FFF-CB6A-4AC9-8EAD-62917A281B16}"/>
    <cellStyle name="Normal 5 2 2 4 2 2 2 2 3" xfId="25126" xr:uid="{16F14835-8F83-43EA-B9E8-86690E85FCCA}"/>
    <cellStyle name="Normal 5 2 2 4 2 2 2 2 4" xfId="33573" xr:uid="{AC4E2DCF-5DA0-4178-9A91-EA91867A5609}"/>
    <cellStyle name="Normal 5 2 2 4 2 2 2 3" xfId="12462" xr:uid="{7F268653-6B97-4477-AC83-681FA97C8C65}"/>
    <cellStyle name="Normal 5 2 2 4 2 2 2 4" xfId="20909" xr:uid="{49EDF477-70EA-4BDC-82C5-A0051F92082F}"/>
    <cellStyle name="Normal 5 2 2 4 2 2 2 5" xfId="29356" xr:uid="{72403AB9-D1ED-4DFD-85F2-CB07E77D9B13}"/>
    <cellStyle name="Normal 5 2 2 4 2 2 3" xfId="5208" xr:uid="{00000000-0005-0000-0000-0000EB170000}"/>
    <cellStyle name="Normal 5 2 2 4 2 2 3 2" xfId="14534" xr:uid="{44E4F9D0-254C-4D06-A7B1-A405754CC709}"/>
    <cellStyle name="Normal 5 2 2 4 2 2 3 3" xfId="22981" xr:uid="{5A3AFC07-DCE8-4E42-A9F9-C654256845E6}"/>
    <cellStyle name="Normal 5 2 2 4 2 2 3 4" xfId="31428" xr:uid="{F2D64E5C-FF21-43F6-9EA9-7E7528642573}"/>
    <cellStyle name="Normal 5 2 2 4 2 2 4" xfId="9488" xr:uid="{2997B11D-E810-48A4-BD3C-4498479B295E}"/>
    <cellStyle name="Normal 5 2 2 4 2 2 5" xfId="10317" xr:uid="{F25B20B7-327B-4CA1-AE65-5E7F706A3246}"/>
    <cellStyle name="Normal 5 2 2 4 2 2 6" xfId="18764" xr:uid="{43CF7796-BC32-40B4-8AAF-3A1525176C94}"/>
    <cellStyle name="Normal 5 2 2 4 2 2 7" xfId="27211" xr:uid="{573D6529-685D-4899-9D38-56E731B3B474}"/>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17092" xr:uid="{9424FF54-853E-412B-8FD6-56C3394AC5A5}"/>
    <cellStyle name="Normal 5 2 2 4 2 3 2 2 3" xfId="25539" xr:uid="{8813DF0F-C9D6-473F-9BDA-E1E8E96BBA91}"/>
    <cellStyle name="Normal 5 2 2 4 2 3 2 2 4" xfId="33986" xr:uid="{E55E8A06-4A42-4632-A3B9-B4D2C3F76294}"/>
    <cellStyle name="Normal 5 2 2 4 2 3 2 3" xfId="12875" xr:uid="{06795667-D7DF-4B11-8E49-56D138CFA0BC}"/>
    <cellStyle name="Normal 5 2 2 4 2 3 2 4" xfId="21322" xr:uid="{ADCBA052-BDC6-49CE-9B58-C46C1B30810E}"/>
    <cellStyle name="Normal 5 2 2 4 2 3 2 5" xfId="29769" xr:uid="{B5870165-C2D8-4EFF-BD3B-E7F2DD2B4104}"/>
    <cellStyle name="Normal 5 2 2 4 2 3 3" xfId="5621" xr:uid="{00000000-0005-0000-0000-0000EF170000}"/>
    <cellStyle name="Normal 5 2 2 4 2 3 3 2" xfId="14947" xr:uid="{39569C51-15F0-43C8-BECB-517488B19DEE}"/>
    <cellStyle name="Normal 5 2 2 4 2 3 3 3" xfId="23394" xr:uid="{C903CC06-97E0-4F68-9B2C-00F77ABCFE6E}"/>
    <cellStyle name="Normal 5 2 2 4 2 3 3 4" xfId="31841" xr:uid="{308DE81A-B881-4DC9-BB58-F830C855A9CD}"/>
    <cellStyle name="Normal 5 2 2 4 2 3 4" xfId="10730" xr:uid="{54845C15-CB6F-4B41-BAA2-1CD981FF4E19}"/>
    <cellStyle name="Normal 5 2 2 4 2 3 5" xfId="19177" xr:uid="{01CB577E-2B74-414F-BF23-6FBEB9F0AB41}"/>
    <cellStyle name="Normal 5 2 2 4 2 3 6" xfId="27624" xr:uid="{6EA7518A-B3D7-4284-8FBA-EE180A95E5B7}"/>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17505" xr:uid="{E77C2E39-123B-4B89-9EA3-B8CFCF66CF16}"/>
    <cellStyle name="Normal 5 2 2 4 2 4 2 2 3" xfId="25952" xr:uid="{711D6D93-2643-45A2-B414-9744BB14BB15}"/>
    <cellStyle name="Normal 5 2 2 4 2 4 2 2 4" xfId="34399" xr:uid="{CF708410-3E49-45F3-B411-5B92992F2B95}"/>
    <cellStyle name="Normal 5 2 2 4 2 4 2 3" xfId="13288" xr:uid="{87CDDB52-F204-4638-9200-D2623674BEFF}"/>
    <cellStyle name="Normal 5 2 2 4 2 4 2 4" xfId="21735" xr:uid="{0A674B63-DCB5-46B9-9B30-72E91CAF8B03}"/>
    <cellStyle name="Normal 5 2 2 4 2 4 2 5" xfId="30182" xr:uid="{1671226F-5840-4840-8055-C1BBB42A4E59}"/>
    <cellStyle name="Normal 5 2 2 4 2 4 3" xfId="6034" xr:uid="{00000000-0005-0000-0000-0000F3170000}"/>
    <cellStyle name="Normal 5 2 2 4 2 4 3 2" xfId="15360" xr:uid="{2D608FC6-91E9-4C06-A049-3A66C1B45CEF}"/>
    <cellStyle name="Normal 5 2 2 4 2 4 3 3" xfId="23807" xr:uid="{ABF7D546-DE79-4807-AD91-C1F55E7AC28C}"/>
    <cellStyle name="Normal 5 2 2 4 2 4 3 4" xfId="32254" xr:uid="{1D55AD61-7341-4EBE-BB78-77C93D7C41BF}"/>
    <cellStyle name="Normal 5 2 2 4 2 4 4" xfId="11143" xr:uid="{433CD149-B22E-4747-BE0C-95747BFBEAAF}"/>
    <cellStyle name="Normal 5 2 2 4 2 4 5" xfId="19590" xr:uid="{85BDD1BC-1D56-4BDF-B90F-213241253FC6}"/>
    <cellStyle name="Normal 5 2 2 4 2 4 6" xfId="28037" xr:uid="{4A731B1B-AEA2-4F71-ACA6-6ACAE595D04E}"/>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17918" xr:uid="{A58F90C3-8842-421C-803B-06C3633B8286}"/>
    <cellStyle name="Normal 5 2 2 4 2 5 2 2 3" xfId="26365" xr:uid="{7A124F68-6B7E-4ADA-A67A-73F01F276BE8}"/>
    <cellStyle name="Normal 5 2 2 4 2 5 2 2 4" xfId="34812" xr:uid="{D0DCFFB9-E0BF-4701-BBAE-6D3D287883FE}"/>
    <cellStyle name="Normal 5 2 2 4 2 5 2 3" xfId="13701" xr:uid="{8C917898-FB1B-44D4-828B-4965970C8BAB}"/>
    <cellStyle name="Normal 5 2 2 4 2 5 2 4" xfId="22148" xr:uid="{2EFD4CC7-CF3B-49F4-8077-BDFB62A3692A}"/>
    <cellStyle name="Normal 5 2 2 4 2 5 2 5" xfId="30595" xr:uid="{DC4D4CFC-AFC9-4459-8092-17EC6F60755F}"/>
    <cellStyle name="Normal 5 2 2 4 2 5 3" xfId="6447" xr:uid="{00000000-0005-0000-0000-0000F7170000}"/>
    <cellStyle name="Normal 5 2 2 4 2 5 3 2" xfId="15773" xr:uid="{8F5672B0-F865-456A-9A68-B695081768E5}"/>
    <cellStyle name="Normal 5 2 2 4 2 5 3 3" xfId="24220" xr:uid="{FC91D5E0-92BB-4C0B-A105-A885CC7FA59E}"/>
    <cellStyle name="Normal 5 2 2 4 2 5 3 4" xfId="32667" xr:uid="{EA468151-7191-4AE9-9A29-7BE41861B1EB}"/>
    <cellStyle name="Normal 5 2 2 4 2 5 4" xfId="11556" xr:uid="{C1CEC3CE-8EC5-4427-AA23-9A21B0374B85}"/>
    <cellStyle name="Normal 5 2 2 4 2 5 5" xfId="20003" xr:uid="{57A1564E-5DAB-4D68-AECD-EC34E7143B93}"/>
    <cellStyle name="Normal 5 2 2 4 2 5 6" xfId="28450" xr:uid="{F6BB5A64-5140-4BDA-84ED-293FBF8479BF}"/>
    <cellStyle name="Normal 5 2 2 4 2 6" xfId="2577" xr:uid="{00000000-0005-0000-0000-0000F8170000}"/>
    <cellStyle name="Normal 5 2 2 4 2 6 2" xfId="6860" xr:uid="{00000000-0005-0000-0000-0000F9170000}"/>
    <cellStyle name="Normal 5 2 2 4 2 6 2 2" xfId="16186" xr:uid="{17DA6E47-0949-4ED7-A91D-D1E378BDFFF9}"/>
    <cellStyle name="Normal 5 2 2 4 2 6 2 3" xfId="24633" xr:uid="{AAB94575-19B5-48BA-94CA-659674C80DD7}"/>
    <cellStyle name="Normal 5 2 2 4 2 6 2 4" xfId="33080" xr:uid="{7B71142E-BA17-44C4-9401-A3A64F53F8DD}"/>
    <cellStyle name="Normal 5 2 2 4 2 6 3" xfId="11969" xr:uid="{DAAEC6E3-D5A8-4114-B39A-4C1808B559BC}"/>
    <cellStyle name="Normal 5 2 2 4 2 6 4" xfId="20416" xr:uid="{A27B8CA4-8590-4C46-864C-54E721BE8063}"/>
    <cellStyle name="Normal 5 2 2 4 2 6 5" xfId="28863" xr:uid="{AA8AB5EF-312E-4D2D-83E3-6D3813740D38}"/>
    <cellStyle name="Normal 5 2 2 4 2 7" xfId="4795" xr:uid="{00000000-0005-0000-0000-0000FA170000}"/>
    <cellStyle name="Normal 5 2 2 4 2 7 2" xfId="14121" xr:uid="{2E3AE8EF-1C31-4386-BD7B-AA4620DDD5D3}"/>
    <cellStyle name="Normal 5 2 2 4 2 7 3" xfId="22568" xr:uid="{5A7C51F0-28AB-4507-8B22-DCE1F3C4EC3F}"/>
    <cellStyle name="Normal 5 2 2 4 2 7 4" xfId="31015" xr:uid="{4D85F91B-7961-49F5-80A5-1519B9B8B6AD}"/>
    <cellStyle name="Normal 5 2 2 4 2 8" xfId="9063" xr:uid="{3B1AA107-8D7F-4938-A60C-EED41E9B9A2A}"/>
    <cellStyle name="Normal 5 2 2 4 2 9" xfId="9904" xr:uid="{DDD5800A-E4DA-48AB-87BA-016414D0C9F2}"/>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16678" xr:uid="{0FFA6C6A-5977-42B1-918F-8570666C5020}"/>
    <cellStyle name="Normal 5 2 2 4 3 2 2 3" xfId="25125" xr:uid="{8AFF3A38-31D4-48A4-8334-416EA7DC52A7}"/>
    <cellStyle name="Normal 5 2 2 4 3 2 2 4" xfId="33572" xr:uid="{3E63C35A-25CE-46CA-809D-9DC3B3B746ED}"/>
    <cellStyle name="Normal 5 2 2 4 3 2 3" xfId="12461" xr:uid="{6EE059C3-06F4-4AD6-91FF-0723269C9FC3}"/>
    <cellStyle name="Normal 5 2 2 4 3 2 4" xfId="20908" xr:uid="{02473A98-876B-4655-9AC8-3F24A6737C31}"/>
    <cellStyle name="Normal 5 2 2 4 3 2 5" xfId="29355" xr:uid="{252ABE11-3448-4E0F-B30A-5074DE356A9E}"/>
    <cellStyle name="Normal 5 2 2 4 3 3" xfId="5207" xr:uid="{00000000-0005-0000-0000-0000FE170000}"/>
    <cellStyle name="Normal 5 2 2 4 3 3 2" xfId="14533" xr:uid="{30597B5C-3EDC-4641-894D-14CF538E8363}"/>
    <cellStyle name="Normal 5 2 2 4 3 3 3" xfId="22980" xr:uid="{444F752A-9D4E-4FC3-8102-A1A901147E49}"/>
    <cellStyle name="Normal 5 2 2 4 3 3 4" xfId="31427" xr:uid="{EC6CD7B8-1BD5-4544-9F28-D647F9E5A471}"/>
    <cellStyle name="Normal 5 2 2 4 3 4" xfId="9281" xr:uid="{9304050F-95A7-4BE3-AD21-FEBB7D0875B2}"/>
    <cellStyle name="Normal 5 2 2 4 3 5" xfId="10316" xr:uid="{5F0659B6-BC6B-4359-BD8E-146CBCDF1312}"/>
    <cellStyle name="Normal 5 2 2 4 3 6" xfId="18763" xr:uid="{19EE5015-6967-4B31-8431-6A8BED209549}"/>
    <cellStyle name="Normal 5 2 2 4 3 7" xfId="27210" xr:uid="{DF4DC1D2-8CE5-4167-9F5F-51C04A352422}"/>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17091" xr:uid="{D8540B41-A377-47CD-B518-036FF52200AF}"/>
    <cellStyle name="Normal 5 2 2 4 4 2 2 3" xfId="25538" xr:uid="{4429BB01-8896-449B-AB45-45B1372FCF62}"/>
    <cellStyle name="Normal 5 2 2 4 4 2 2 4" xfId="33985" xr:uid="{7483DE80-50A0-4F53-869D-15A957565C3F}"/>
    <cellStyle name="Normal 5 2 2 4 4 2 3" xfId="12874" xr:uid="{FD84F6AE-5C51-4FFA-8407-0CB549371E22}"/>
    <cellStyle name="Normal 5 2 2 4 4 2 4" xfId="21321" xr:uid="{42C45BC1-855E-4DB6-8D8A-C8A85BB5F185}"/>
    <cellStyle name="Normal 5 2 2 4 4 2 5" xfId="29768" xr:uid="{8A39D3AE-97DE-48C9-9E63-77B8D94D5336}"/>
    <cellStyle name="Normal 5 2 2 4 4 3" xfId="5620" xr:uid="{00000000-0005-0000-0000-000002180000}"/>
    <cellStyle name="Normal 5 2 2 4 4 3 2" xfId="14946" xr:uid="{D6A6074B-81B6-4DC1-A1BC-6D17EEB709A4}"/>
    <cellStyle name="Normal 5 2 2 4 4 3 3" xfId="23393" xr:uid="{A568CE37-9E06-4545-887E-6D29B1F4E0FC}"/>
    <cellStyle name="Normal 5 2 2 4 4 3 4" xfId="31840" xr:uid="{FD9617D6-F655-4121-9AD8-27DD25B409E8}"/>
    <cellStyle name="Normal 5 2 2 4 4 4" xfId="10729" xr:uid="{7CA2F49D-EB8B-4F96-B87A-C2DAC7F7C4CC}"/>
    <cellStyle name="Normal 5 2 2 4 4 5" xfId="19176" xr:uid="{C8318ECA-8E8A-4D2C-935C-F6CF28515A81}"/>
    <cellStyle name="Normal 5 2 2 4 4 6" xfId="27623" xr:uid="{E80479FC-7D4B-4377-9233-93A6101D29A3}"/>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17504" xr:uid="{7EC13572-C696-4D9C-9294-87FD14357C6C}"/>
    <cellStyle name="Normal 5 2 2 4 5 2 2 3" xfId="25951" xr:uid="{699D28CB-E143-4037-A698-8D0595A97C1C}"/>
    <cellStyle name="Normal 5 2 2 4 5 2 2 4" xfId="34398" xr:uid="{B3162E3A-065A-4FF6-8A5A-ECACFAE6F99C}"/>
    <cellStyle name="Normal 5 2 2 4 5 2 3" xfId="13287" xr:uid="{A1C149CF-659B-4AE6-A6E2-B477B8120597}"/>
    <cellStyle name="Normal 5 2 2 4 5 2 4" xfId="21734" xr:uid="{1DB8AAE6-CAD3-41DA-B9A6-37EDEFC138EF}"/>
    <cellStyle name="Normal 5 2 2 4 5 2 5" xfId="30181" xr:uid="{FE980314-FEC7-4994-B33F-E9D7AF418A48}"/>
    <cellStyle name="Normal 5 2 2 4 5 3" xfId="6033" xr:uid="{00000000-0005-0000-0000-000006180000}"/>
    <cellStyle name="Normal 5 2 2 4 5 3 2" xfId="15359" xr:uid="{BD66654B-F7E1-4C69-9FF8-9BE249A51121}"/>
    <cellStyle name="Normal 5 2 2 4 5 3 3" xfId="23806" xr:uid="{A4CC87D5-36ED-4922-BECF-C88A7E992B65}"/>
    <cellStyle name="Normal 5 2 2 4 5 3 4" xfId="32253" xr:uid="{798F65C9-E180-4864-9198-1A6AE709BB32}"/>
    <cellStyle name="Normal 5 2 2 4 5 4" xfId="11142" xr:uid="{483ECFE9-F043-4BB3-947D-A73B55449EE8}"/>
    <cellStyle name="Normal 5 2 2 4 5 5" xfId="19589" xr:uid="{86C4EDD5-43BA-42E7-8E63-E568C5F06970}"/>
    <cellStyle name="Normal 5 2 2 4 5 6" xfId="28036" xr:uid="{A5BA69D0-CC69-4E51-806D-C2148C58BFB0}"/>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17917" xr:uid="{1AF485CC-B80E-476B-BEA2-66A68AE8DB38}"/>
    <cellStyle name="Normal 5 2 2 4 6 2 2 3" xfId="26364" xr:uid="{83D2DC41-3FCE-4573-BF1D-3D8CCE31B0F3}"/>
    <cellStyle name="Normal 5 2 2 4 6 2 2 4" xfId="34811" xr:uid="{3412B73C-3FC4-419D-9CBB-3994E2DE2CC8}"/>
    <cellStyle name="Normal 5 2 2 4 6 2 3" xfId="13700" xr:uid="{91F70544-6FEF-456A-959F-4E41E349E400}"/>
    <cellStyle name="Normal 5 2 2 4 6 2 4" xfId="22147" xr:uid="{BCACAC46-4D25-41A7-9691-64E5CEC715AB}"/>
    <cellStyle name="Normal 5 2 2 4 6 2 5" xfId="30594" xr:uid="{95B85BF8-A549-4EC8-BB8C-79806EC027D1}"/>
    <cellStyle name="Normal 5 2 2 4 6 3" xfId="6446" xr:uid="{00000000-0005-0000-0000-00000A180000}"/>
    <cellStyle name="Normal 5 2 2 4 6 3 2" xfId="15772" xr:uid="{71AE620E-905E-4C9F-B1CF-DD1206FD0A72}"/>
    <cellStyle name="Normal 5 2 2 4 6 3 3" xfId="24219" xr:uid="{46851B05-0AD5-4882-906E-30DFC13EEA90}"/>
    <cellStyle name="Normal 5 2 2 4 6 3 4" xfId="32666" xr:uid="{7F18B56B-C74D-48FA-AAF2-88FCF6910175}"/>
    <cellStyle name="Normal 5 2 2 4 6 4" xfId="11555" xr:uid="{58119260-FAFF-48EE-9EBC-AED544BAC949}"/>
    <cellStyle name="Normal 5 2 2 4 6 5" xfId="20002" xr:uid="{0C8D2498-DC15-4A30-BEEF-EF9CD60C6A06}"/>
    <cellStyle name="Normal 5 2 2 4 6 6" xfId="28449" xr:uid="{274BC3AF-F0D1-4D1B-88B3-BDB129AB19A3}"/>
    <cellStyle name="Normal 5 2 2 4 7" xfId="2576" xr:uid="{00000000-0005-0000-0000-00000B180000}"/>
    <cellStyle name="Normal 5 2 2 4 7 2" xfId="6859" xr:uid="{00000000-0005-0000-0000-00000C180000}"/>
    <cellStyle name="Normal 5 2 2 4 7 2 2" xfId="16185" xr:uid="{32E9D541-C86B-4472-B5D1-73B98C1DA725}"/>
    <cellStyle name="Normal 5 2 2 4 7 2 3" xfId="24632" xr:uid="{99E8C997-1633-41AA-BB4A-2DB5C8512D72}"/>
    <cellStyle name="Normal 5 2 2 4 7 2 4" xfId="33079" xr:uid="{75A07D54-4A2F-4E60-BEEE-ABA49D191FC2}"/>
    <cellStyle name="Normal 5 2 2 4 7 3" xfId="11968" xr:uid="{0EB51981-9B6E-4204-BC84-0C068E62F33D}"/>
    <cellStyle name="Normal 5 2 2 4 7 4" xfId="20415" xr:uid="{D99C2BEF-140D-4BA6-9EA8-E2DC1D3678F5}"/>
    <cellStyle name="Normal 5 2 2 4 7 5" xfId="28862" xr:uid="{9E50198D-9EF6-426C-973E-7B45A058AEDB}"/>
    <cellStyle name="Normal 5 2 2 4 8" xfId="4794" xr:uid="{00000000-0005-0000-0000-00000D180000}"/>
    <cellStyle name="Normal 5 2 2 4 8 2" xfId="14120" xr:uid="{47079505-8B90-4393-909E-A48D7DFD4DE0}"/>
    <cellStyle name="Normal 5 2 2 4 8 3" xfId="22567" xr:uid="{B8D212C4-13F8-4E31-AD6B-57351DAE67B0}"/>
    <cellStyle name="Normal 5 2 2 4 8 4" xfId="31014" xr:uid="{D909C4CB-C988-48C1-BA9C-CBEEE19A7924}"/>
    <cellStyle name="Normal 5 2 2 4 9" xfId="8856" xr:uid="{8A537EF5-BE1D-4B82-9546-B2DC1F74308F}"/>
    <cellStyle name="Normal 5 2 2 5" xfId="423" xr:uid="{00000000-0005-0000-0000-00000E180000}"/>
    <cellStyle name="Normal 5 2 2 5 10" xfId="18352" xr:uid="{15100535-DC34-4ABF-B886-1706516D5ED3}"/>
    <cellStyle name="Normal 5 2 2 5 11" xfId="26799" xr:uid="{9A3B03A2-ED39-4518-B2CF-B405C63971D7}"/>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16680" xr:uid="{49504DB8-2804-41D3-A5DC-E439CA2D5399}"/>
    <cellStyle name="Normal 5 2 2 5 2 2 2 3" xfId="25127" xr:uid="{21291F81-96DA-4F2D-BA0F-015D90A594C8}"/>
    <cellStyle name="Normal 5 2 2 5 2 2 2 4" xfId="33574" xr:uid="{0AAF5830-5959-47D7-9EA1-F308DD00B2B9}"/>
    <cellStyle name="Normal 5 2 2 5 2 2 3" xfId="12463" xr:uid="{B709BA14-4075-4A59-811E-43A351A27777}"/>
    <cellStyle name="Normal 5 2 2 5 2 2 4" xfId="20910" xr:uid="{58837065-2690-4139-AC60-CBB6A4B0CFB7}"/>
    <cellStyle name="Normal 5 2 2 5 2 2 5" xfId="29357" xr:uid="{334DF957-74CF-4D30-867E-CC51410C24A7}"/>
    <cellStyle name="Normal 5 2 2 5 2 3" xfId="5209" xr:uid="{00000000-0005-0000-0000-000012180000}"/>
    <cellStyle name="Normal 5 2 2 5 2 3 2" xfId="14535" xr:uid="{AD5C7E7C-A112-4215-9206-5D96629A1EB4}"/>
    <cellStyle name="Normal 5 2 2 5 2 3 3" xfId="22982" xr:uid="{DF1F7410-3417-4DBA-851D-D34B09D04AB0}"/>
    <cellStyle name="Normal 5 2 2 5 2 3 4" xfId="31429" xr:uid="{032B05B4-2653-47CA-9404-B536D8611286}"/>
    <cellStyle name="Normal 5 2 2 5 2 4" xfId="9397" xr:uid="{3CB0B9A4-F907-4F52-ACFC-7970F7AF9B13}"/>
    <cellStyle name="Normal 5 2 2 5 2 5" xfId="10318" xr:uid="{D534B505-5E5D-4FFA-89D1-2122D8066FB0}"/>
    <cellStyle name="Normal 5 2 2 5 2 6" xfId="18765" xr:uid="{8861047E-34E9-45D5-9A1F-DB66B2FB12C7}"/>
    <cellStyle name="Normal 5 2 2 5 2 7" xfId="27212" xr:uid="{717BA847-168A-4C3F-A8CA-AE92F4D07612}"/>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17093" xr:uid="{CCD1B427-1043-4EF2-BE56-62119371446A}"/>
    <cellStyle name="Normal 5 2 2 5 3 2 2 3" xfId="25540" xr:uid="{69BE7B87-7502-454D-9A41-C8DCDEFAA21E}"/>
    <cellStyle name="Normal 5 2 2 5 3 2 2 4" xfId="33987" xr:uid="{977681DC-9D27-4BF2-A0AF-741241FC5F1C}"/>
    <cellStyle name="Normal 5 2 2 5 3 2 3" xfId="12876" xr:uid="{51C8735A-3CA9-4BEC-BE00-FDFB4F446820}"/>
    <cellStyle name="Normal 5 2 2 5 3 2 4" xfId="21323" xr:uid="{406BA47D-6495-4B1C-A54F-5355489E3573}"/>
    <cellStyle name="Normal 5 2 2 5 3 2 5" xfId="29770" xr:uid="{AA545788-724B-4C2A-BEAF-8C626A86C4E0}"/>
    <cellStyle name="Normal 5 2 2 5 3 3" xfId="5622" xr:uid="{00000000-0005-0000-0000-000016180000}"/>
    <cellStyle name="Normal 5 2 2 5 3 3 2" xfId="14948" xr:uid="{62885D36-6281-4F05-AA69-E3AF399B4005}"/>
    <cellStyle name="Normal 5 2 2 5 3 3 3" xfId="23395" xr:uid="{210E9854-D298-4F18-BB03-78F2CB1D9F1B}"/>
    <cellStyle name="Normal 5 2 2 5 3 3 4" xfId="31842" xr:uid="{2804F5C4-2439-48FF-9D25-0C6F4306A330}"/>
    <cellStyle name="Normal 5 2 2 5 3 4" xfId="10731" xr:uid="{0F1DF42F-439A-4048-9A41-C971C6BB2B9E}"/>
    <cellStyle name="Normal 5 2 2 5 3 5" xfId="19178" xr:uid="{F443C9D8-EEB1-4C32-94B0-576F2F59D976}"/>
    <cellStyle name="Normal 5 2 2 5 3 6" xfId="27625" xr:uid="{FA146BFE-D669-4BA6-9D43-3AA1D0862C01}"/>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17506" xr:uid="{AEBCF0B9-8EC3-485E-B17C-82DDEB81BA96}"/>
    <cellStyle name="Normal 5 2 2 5 4 2 2 3" xfId="25953" xr:uid="{C3C1F0BC-34F7-4BFA-8494-050374EE07F5}"/>
    <cellStyle name="Normal 5 2 2 5 4 2 2 4" xfId="34400" xr:uid="{41F3E968-BC2F-4CE1-A2CD-9464AD94DDA1}"/>
    <cellStyle name="Normal 5 2 2 5 4 2 3" xfId="13289" xr:uid="{D345619B-8D1A-4254-84AA-4B59B7E7126E}"/>
    <cellStyle name="Normal 5 2 2 5 4 2 4" xfId="21736" xr:uid="{F9BD45C8-A7DB-4DA5-9464-09846BAC4365}"/>
    <cellStyle name="Normal 5 2 2 5 4 2 5" xfId="30183" xr:uid="{2B63B085-FB45-498C-A194-2F5FDB9E2DC0}"/>
    <cellStyle name="Normal 5 2 2 5 4 3" xfId="6035" xr:uid="{00000000-0005-0000-0000-00001A180000}"/>
    <cellStyle name="Normal 5 2 2 5 4 3 2" xfId="15361" xr:uid="{9EF359E0-2E46-4D4A-A6A2-422463AC3D38}"/>
    <cellStyle name="Normal 5 2 2 5 4 3 3" xfId="23808" xr:uid="{FCE13046-00C7-4E8D-8783-00FDEA0BB562}"/>
    <cellStyle name="Normal 5 2 2 5 4 3 4" xfId="32255" xr:uid="{E49ADA2A-AA05-4009-B23C-F305B2ACD8B7}"/>
    <cellStyle name="Normal 5 2 2 5 4 4" xfId="11144" xr:uid="{C8E3EF9F-6967-4E9B-8EEB-70C76C4A5161}"/>
    <cellStyle name="Normal 5 2 2 5 4 5" xfId="19591" xr:uid="{13389F86-C05B-49D4-9C42-BD630A47F082}"/>
    <cellStyle name="Normal 5 2 2 5 4 6" xfId="28038" xr:uid="{58883DA8-64B2-4EB1-A3AF-8FED37C61A43}"/>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17919" xr:uid="{A7B7F7D9-68B3-46D0-892D-354E7F9F5CF2}"/>
    <cellStyle name="Normal 5 2 2 5 5 2 2 3" xfId="26366" xr:uid="{F10F7AB9-1E73-4C46-BD35-5EE727807E6B}"/>
    <cellStyle name="Normal 5 2 2 5 5 2 2 4" xfId="34813" xr:uid="{EB60D389-E7FD-48D0-A2DC-26D73489C3B4}"/>
    <cellStyle name="Normal 5 2 2 5 5 2 3" xfId="13702" xr:uid="{66D271C4-007A-46BC-9DCB-3578C0FAF8B3}"/>
    <cellStyle name="Normal 5 2 2 5 5 2 4" xfId="22149" xr:uid="{8B5BFF41-83E9-4AA8-965D-7DE6CA9A1922}"/>
    <cellStyle name="Normal 5 2 2 5 5 2 5" xfId="30596" xr:uid="{3DBC85EE-5A39-4BC3-96C2-21D4F5170707}"/>
    <cellStyle name="Normal 5 2 2 5 5 3" xfId="6448" xr:uid="{00000000-0005-0000-0000-00001E180000}"/>
    <cellStyle name="Normal 5 2 2 5 5 3 2" xfId="15774" xr:uid="{1A0FFB9E-3D0B-45CC-9D53-F5278FE71934}"/>
    <cellStyle name="Normal 5 2 2 5 5 3 3" xfId="24221" xr:uid="{B9D23244-35EE-47EE-9068-DA857617FA3D}"/>
    <cellStyle name="Normal 5 2 2 5 5 3 4" xfId="32668" xr:uid="{DB8E3726-9C46-47C2-8DF3-12B07E0DA237}"/>
    <cellStyle name="Normal 5 2 2 5 5 4" xfId="11557" xr:uid="{085746E1-7C6D-42CD-9A0D-B29B6E64D61D}"/>
    <cellStyle name="Normal 5 2 2 5 5 5" xfId="20004" xr:uid="{CABF656E-E935-40EF-B58A-9A588A0A0899}"/>
    <cellStyle name="Normal 5 2 2 5 5 6" xfId="28451" xr:uid="{7F26D611-2586-46CB-B2C6-88FB822AB7AD}"/>
    <cellStyle name="Normal 5 2 2 5 6" xfId="2578" xr:uid="{00000000-0005-0000-0000-00001F180000}"/>
    <cellStyle name="Normal 5 2 2 5 6 2" xfId="6861" xr:uid="{00000000-0005-0000-0000-000020180000}"/>
    <cellStyle name="Normal 5 2 2 5 6 2 2" xfId="16187" xr:uid="{A1E90E6B-38BC-445A-82EB-9753F09DCFCE}"/>
    <cellStyle name="Normal 5 2 2 5 6 2 3" xfId="24634" xr:uid="{3366CDD1-01F7-4108-9B36-983DAF656170}"/>
    <cellStyle name="Normal 5 2 2 5 6 2 4" xfId="33081" xr:uid="{AC250FBB-22B1-405E-AA43-E6D14C1D70AC}"/>
    <cellStyle name="Normal 5 2 2 5 6 3" xfId="11970" xr:uid="{5989ADDB-6CF5-4C80-A5D0-5CC2F26F8D8E}"/>
    <cellStyle name="Normal 5 2 2 5 6 4" xfId="20417" xr:uid="{4860BA7C-2C18-4935-933B-447497244C3B}"/>
    <cellStyle name="Normal 5 2 2 5 6 5" xfId="28864" xr:uid="{63E9822E-B1A0-4EF4-90F5-AF9D85D7AE58}"/>
    <cellStyle name="Normal 5 2 2 5 7" xfId="4796" xr:uid="{00000000-0005-0000-0000-000021180000}"/>
    <cellStyle name="Normal 5 2 2 5 7 2" xfId="14122" xr:uid="{BC214F60-F5C2-4A75-9C37-4BABED7DFFFC}"/>
    <cellStyle name="Normal 5 2 2 5 7 3" xfId="22569" xr:uid="{FF176D25-ECF0-4131-911D-4EB450F56331}"/>
    <cellStyle name="Normal 5 2 2 5 7 4" xfId="31016" xr:uid="{7923444F-3086-42F3-8FCA-3BBB88BCB976}"/>
    <cellStyle name="Normal 5 2 2 5 8" xfId="8972" xr:uid="{3CCC8856-6464-4309-A4F9-43F74A48C503}"/>
    <cellStyle name="Normal 5 2 2 5 9" xfId="9905" xr:uid="{97DAEE23-8382-4024-99D0-CFBBBD8E5845}"/>
    <cellStyle name="Normal 5 2 2 6" xfId="882" xr:uid="{00000000-0005-0000-0000-000022180000}"/>
    <cellStyle name="Normal 5 2 2 6 2" xfId="3117" xr:uid="{00000000-0005-0000-0000-000023180000}"/>
    <cellStyle name="Normal 5 2 2 6 2 2" xfId="7339" xr:uid="{00000000-0005-0000-0000-000024180000}"/>
    <cellStyle name="Normal 5 2 2 6 2 2 2" xfId="16665" xr:uid="{677960E0-0762-4192-9C4F-D3B4CB1FDE14}"/>
    <cellStyle name="Normal 5 2 2 6 2 2 3" xfId="25112" xr:uid="{B0D3EB59-C28E-4FD3-A9F3-846604C1B054}"/>
    <cellStyle name="Normal 5 2 2 6 2 2 4" xfId="33559" xr:uid="{5BEAA77B-2E37-4BAB-87A3-A8ACA84FE80D}"/>
    <cellStyle name="Normal 5 2 2 6 2 3" xfId="12448" xr:uid="{65C3D0BA-DB3F-4202-865E-C3EF0C3BB63C}"/>
    <cellStyle name="Normal 5 2 2 6 2 4" xfId="20895" xr:uid="{27C863E0-CB72-4877-8305-73DA7EA1E467}"/>
    <cellStyle name="Normal 5 2 2 6 2 5" xfId="29342" xr:uid="{802CDD71-9087-415B-923C-EC18F6BC897A}"/>
    <cellStyle name="Normal 5 2 2 6 3" xfId="5194" xr:uid="{00000000-0005-0000-0000-000025180000}"/>
    <cellStyle name="Normal 5 2 2 6 3 2" xfId="14520" xr:uid="{2E38395B-0359-4520-A53D-C40FAFCF52DB}"/>
    <cellStyle name="Normal 5 2 2 6 3 3" xfId="22967" xr:uid="{A9054808-EF5A-4BD4-8A44-520480BA0A8A}"/>
    <cellStyle name="Normal 5 2 2 6 3 4" xfId="31414" xr:uid="{9CF65CE9-C62A-4363-92E5-AE9B7E2E191F}"/>
    <cellStyle name="Normal 5 2 2 6 4" xfId="9175" xr:uid="{A0BC076A-DB75-4963-A17E-57836FA6391D}"/>
    <cellStyle name="Normal 5 2 2 6 5" xfId="10303" xr:uid="{AD0A5EE9-18DB-4722-9950-528597063CE6}"/>
    <cellStyle name="Normal 5 2 2 6 6" xfId="18750" xr:uid="{89D9B244-4F10-4161-827B-6685E1ABB742}"/>
    <cellStyle name="Normal 5 2 2 6 7" xfId="27197" xr:uid="{CA352A74-C052-4AA7-94E0-D4B1715E1781}"/>
    <cellStyle name="Normal 5 2 2 7" xfId="1300" xr:uid="{00000000-0005-0000-0000-000026180000}"/>
    <cellStyle name="Normal 5 2 2 7 2" xfId="3530" xr:uid="{00000000-0005-0000-0000-000027180000}"/>
    <cellStyle name="Normal 5 2 2 7 2 2" xfId="7752" xr:uid="{00000000-0005-0000-0000-000028180000}"/>
    <cellStyle name="Normal 5 2 2 7 2 2 2" xfId="17078" xr:uid="{A2039B8F-B3B5-4B42-AF56-2A226DD2A456}"/>
    <cellStyle name="Normal 5 2 2 7 2 2 3" xfId="25525" xr:uid="{0F3931E8-1EB1-4F55-A7F7-5913EC2BA28A}"/>
    <cellStyle name="Normal 5 2 2 7 2 2 4" xfId="33972" xr:uid="{F4B706BF-9DB0-4139-BD5A-400DDC948D08}"/>
    <cellStyle name="Normal 5 2 2 7 2 3" xfId="12861" xr:uid="{67E4842C-B82F-4DB0-BE58-D221B1FA817F}"/>
    <cellStyle name="Normal 5 2 2 7 2 4" xfId="21308" xr:uid="{09440C54-1711-46A9-8B17-E33D6400759F}"/>
    <cellStyle name="Normal 5 2 2 7 2 5" xfId="29755" xr:uid="{2FA4CFC5-C435-48C0-A387-B91121021476}"/>
    <cellStyle name="Normal 5 2 2 7 3" xfId="5607" xr:uid="{00000000-0005-0000-0000-000029180000}"/>
    <cellStyle name="Normal 5 2 2 7 3 2" xfId="14933" xr:uid="{6BD0AB18-ECEE-4C22-A8CD-31EAF169A1EA}"/>
    <cellStyle name="Normal 5 2 2 7 3 3" xfId="23380" xr:uid="{3DE680D9-5D7B-4D64-8346-C90B9C49EE87}"/>
    <cellStyle name="Normal 5 2 2 7 3 4" xfId="31827" xr:uid="{2FBF02C6-C904-4600-A874-67AF53527543}"/>
    <cellStyle name="Normal 5 2 2 7 4" xfId="10716" xr:uid="{2D0C2927-1DAC-4AE9-8CEF-723A98883436}"/>
    <cellStyle name="Normal 5 2 2 7 5" xfId="19163" xr:uid="{1A8F7509-AE76-43E5-B433-15113F33F23B}"/>
    <cellStyle name="Normal 5 2 2 7 6" xfId="27610" xr:uid="{F92A56E2-92DD-475A-81D5-503064068130}"/>
    <cellStyle name="Normal 5 2 2 8" xfId="1713" xr:uid="{00000000-0005-0000-0000-00002A180000}"/>
    <cellStyle name="Normal 5 2 2 8 2" xfId="3943" xr:uid="{00000000-0005-0000-0000-00002B180000}"/>
    <cellStyle name="Normal 5 2 2 8 2 2" xfId="8165" xr:uid="{00000000-0005-0000-0000-00002C180000}"/>
    <cellStyle name="Normal 5 2 2 8 2 2 2" xfId="17491" xr:uid="{2934227C-7F3A-4E41-BBB8-A6086BD4B80A}"/>
    <cellStyle name="Normal 5 2 2 8 2 2 3" xfId="25938" xr:uid="{329AEBE7-C420-472F-ADD3-516803D1B9CB}"/>
    <cellStyle name="Normal 5 2 2 8 2 2 4" xfId="34385" xr:uid="{9EB9CD1A-515F-43DD-8A42-BBA9E0343D92}"/>
    <cellStyle name="Normal 5 2 2 8 2 3" xfId="13274" xr:uid="{0204E40A-5C8A-4FAD-B980-546709DC7C81}"/>
    <cellStyle name="Normal 5 2 2 8 2 4" xfId="21721" xr:uid="{5DE6D41D-A56C-48A8-A8C9-FADCE76C5CBD}"/>
    <cellStyle name="Normal 5 2 2 8 2 5" xfId="30168" xr:uid="{474A3C0F-AD28-4746-A655-24D600A27FB2}"/>
    <cellStyle name="Normal 5 2 2 8 3" xfId="6020" xr:uid="{00000000-0005-0000-0000-00002D180000}"/>
    <cellStyle name="Normal 5 2 2 8 3 2" xfId="15346" xr:uid="{A2C8A215-853B-43C5-9507-5A32E1064BC6}"/>
    <cellStyle name="Normal 5 2 2 8 3 3" xfId="23793" xr:uid="{75176EAD-839E-4CFF-B901-1BDBE7EA65CD}"/>
    <cellStyle name="Normal 5 2 2 8 3 4" xfId="32240" xr:uid="{3BE86D42-646E-4E51-A68A-FFC4892FBF99}"/>
    <cellStyle name="Normal 5 2 2 8 4" xfId="11129" xr:uid="{E132FE1F-CFAB-4790-A89E-EF44BC934174}"/>
    <cellStyle name="Normal 5 2 2 8 5" xfId="19576" xr:uid="{180E9E04-B3C3-4750-914E-E4F74EFCDAEC}"/>
    <cellStyle name="Normal 5 2 2 8 6" xfId="28023" xr:uid="{7C3D836D-693E-45A0-B371-7802CF52B1CA}"/>
    <cellStyle name="Normal 5 2 2 9" xfId="2127" xr:uid="{00000000-0005-0000-0000-00002E180000}"/>
    <cellStyle name="Normal 5 2 2 9 2" xfId="4356" xr:uid="{00000000-0005-0000-0000-00002F180000}"/>
    <cellStyle name="Normal 5 2 2 9 2 2" xfId="8578" xr:uid="{00000000-0005-0000-0000-000030180000}"/>
    <cellStyle name="Normal 5 2 2 9 2 2 2" xfId="17904" xr:uid="{8E91C3B0-7C42-415F-ADB1-A26BEBD31FFD}"/>
    <cellStyle name="Normal 5 2 2 9 2 2 3" xfId="26351" xr:uid="{E76376BD-7A4F-40BA-A72B-2A6FA21B29F4}"/>
    <cellStyle name="Normal 5 2 2 9 2 2 4" xfId="34798" xr:uid="{E28C3ECA-A10D-4601-8DF0-C7DF569AA007}"/>
    <cellStyle name="Normal 5 2 2 9 2 3" xfId="13687" xr:uid="{87E518AA-1104-42D4-8597-3514BA191A99}"/>
    <cellStyle name="Normal 5 2 2 9 2 4" xfId="22134" xr:uid="{2D73D6D2-E225-45EC-B7A7-B52EC364183F}"/>
    <cellStyle name="Normal 5 2 2 9 2 5" xfId="30581" xr:uid="{2E33492B-22FF-4931-B425-D246BE9563AF}"/>
    <cellStyle name="Normal 5 2 2 9 3" xfId="6433" xr:uid="{00000000-0005-0000-0000-000031180000}"/>
    <cellStyle name="Normal 5 2 2 9 3 2" xfId="15759" xr:uid="{DD9AF2DC-9374-4619-9FC8-FFE0F73B9679}"/>
    <cellStyle name="Normal 5 2 2 9 3 3" xfId="24206" xr:uid="{975A1CC5-9041-4A39-BA4C-87ED146AB00A}"/>
    <cellStyle name="Normal 5 2 2 9 3 4" xfId="32653" xr:uid="{A04CF93B-B519-4909-BD94-A2567113B5E4}"/>
    <cellStyle name="Normal 5 2 2 9 4" xfId="11542" xr:uid="{056FD311-DC9D-41F8-91AF-51D0916D704C}"/>
    <cellStyle name="Normal 5 2 2 9 5" xfId="19989" xr:uid="{09174AA5-8536-475D-90CA-7385894729E7}"/>
    <cellStyle name="Normal 5 2 2 9 6" xfId="28436" xr:uid="{3C591D8F-45B6-4028-8BED-912042B22C52}"/>
    <cellStyle name="Normal 5 2 3" xfId="424" xr:uid="{00000000-0005-0000-0000-000032180000}"/>
    <cellStyle name="Normal 5 2 3 10" xfId="4797" xr:uid="{00000000-0005-0000-0000-000033180000}"/>
    <cellStyle name="Normal 5 2 3 10 2" xfId="14123" xr:uid="{A9666DCF-347E-4EA8-A6E3-FEEC681D253F}"/>
    <cellStyle name="Normal 5 2 3 10 3" xfId="22570" xr:uid="{2A00C744-D35F-43EC-AA93-795B04691B8E}"/>
    <cellStyle name="Normal 5 2 3 10 4" xfId="31017" xr:uid="{662EE406-1810-4357-B0B4-E190DA984637}"/>
    <cellStyle name="Normal 5 2 3 11" xfId="8776" xr:uid="{883173D2-CE3E-48F3-8E13-32EAEF7B08C3}"/>
    <cellStyle name="Normal 5 2 3 12" xfId="9906" xr:uid="{2B7BA787-1F9E-46D9-9BDC-7B78D2BD3537}"/>
    <cellStyle name="Normal 5 2 3 13" xfId="18353" xr:uid="{20B58CB6-DD85-4664-91B4-960E8B619020}"/>
    <cellStyle name="Normal 5 2 3 14" xfId="26800" xr:uid="{53F5C1AA-2A2C-4715-B695-9601488E4766}"/>
    <cellStyle name="Normal 5 2 3 2" xfId="425" xr:uid="{00000000-0005-0000-0000-000034180000}"/>
    <cellStyle name="Normal 5 2 3 2 10" xfId="8830" xr:uid="{287E15F2-6F23-4B3E-B8AA-9DE92D950FBA}"/>
    <cellStyle name="Normal 5 2 3 2 11" xfId="9907" xr:uid="{589295DA-6CBA-454C-9D13-53D6E31F3C6C}"/>
    <cellStyle name="Normal 5 2 3 2 12" xfId="18354" xr:uid="{5951B2B8-9778-426E-A950-9BC4510F9FFA}"/>
    <cellStyle name="Normal 5 2 3 2 13" xfId="26801" xr:uid="{4FBF55B7-0736-4C02-8332-AF3D06E18C9A}"/>
    <cellStyle name="Normal 5 2 3 2 2" xfId="426" xr:uid="{00000000-0005-0000-0000-000035180000}"/>
    <cellStyle name="Normal 5 2 3 2 2 10" xfId="9908" xr:uid="{20ED5701-EBC5-4E5B-BD54-B4E0FB898E7A}"/>
    <cellStyle name="Normal 5 2 3 2 2 11" xfId="18355" xr:uid="{D05A8A2A-A461-48A3-BBFB-27C3E1865EDE}"/>
    <cellStyle name="Normal 5 2 3 2 2 12" xfId="26802" xr:uid="{6EA378CC-AD7D-460F-9CB9-5D46659C3788}"/>
    <cellStyle name="Normal 5 2 3 2 2 2" xfId="427" xr:uid="{00000000-0005-0000-0000-000036180000}"/>
    <cellStyle name="Normal 5 2 3 2 2 2 10" xfId="18356" xr:uid="{6E4F98DE-B32A-4F1D-BBE0-1A85538379E2}"/>
    <cellStyle name="Normal 5 2 3 2 2 2 11" xfId="26803" xr:uid="{CF770DF0-6B7E-42B2-88BC-703307A0E8F4}"/>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16684" xr:uid="{328C7A18-A68B-4C8D-9F15-3C4D15323271}"/>
    <cellStyle name="Normal 5 2 3 2 2 2 2 2 2 3" xfId="25131" xr:uid="{38325CF6-57C1-43F8-8E95-92C77F4CA7A5}"/>
    <cellStyle name="Normal 5 2 3 2 2 2 2 2 2 4" xfId="33578" xr:uid="{0EE57DEA-CC7A-4F0B-A8F2-F8BF633EF4DE}"/>
    <cellStyle name="Normal 5 2 3 2 2 2 2 2 3" xfId="12467" xr:uid="{9D581836-57C7-430E-8C8B-0F414B21158E}"/>
    <cellStyle name="Normal 5 2 3 2 2 2 2 2 4" xfId="20914" xr:uid="{ED3611E0-1F17-4F96-87A2-CCC74B9A3D98}"/>
    <cellStyle name="Normal 5 2 3 2 2 2 2 2 5" xfId="29361" xr:uid="{204A6ACA-4579-4952-BD10-4968218E9DB1}"/>
    <cellStyle name="Normal 5 2 3 2 2 2 2 3" xfId="5213" xr:uid="{00000000-0005-0000-0000-00003A180000}"/>
    <cellStyle name="Normal 5 2 3 2 2 2 2 3 2" xfId="14539" xr:uid="{5CDD7069-5D66-49C4-84AA-E11580689760}"/>
    <cellStyle name="Normal 5 2 3 2 2 2 2 3 3" xfId="22986" xr:uid="{48C40D4D-BA62-4156-BBB8-DB2544D73D75}"/>
    <cellStyle name="Normal 5 2 3 2 2 2 2 3 4" xfId="31433" xr:uid="{5934CF81-F76E-4D4F-88B7-630ACF0CE16C}"/>
    <cellStyle name="Normal 5 2 3 2 2 2 2 4" xfId="9565" xr:uid="{B33C5ECB-02D9-4BAF-B467-F38E8EEB7F6E}"/>
    <cellStyle name="Normal 5 2 3 2 2 2 2 5" xfId="10322" xr:uid="{F2F0F765-8682-4FCD-8B9C-8B3A9D4FCFFB}"/>
    <cellStyle name="Normal 5 2 3 2 2 2 2 6" xfId="18769" xr:uid="{A9E0742D-4731-463F-8A4A-B7D56917515B}"/>
    <cellStyle name="Normal 5 2 3 2 2 2 2 7" xfId="27216" xr:uid="{A55C19BC-90A9-4273-BF11-9713B2B80489}"/>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17097" xr:uid="{9F2B3D82-22AD-48C7-BC99-2ABFB3404C09}"/>
    <cellStyle name="Normal 5 2 3 2 2 2 3 2 2 3" xfId="25544" xr:uid="{07F9B72B-5DBB-4F72-B5EC-E9C1BFBF7C5D}"/>
    <cellStyle name="Normal 5 2 3 2 2 2 3 2 2 4" xfId="33991" xr:uid="{430DDA04-5EE2-4F61-AFCD-35865AD9B611}"/>
    <cellStyle name="Normal 5 2 3 2 2 2 3 2 3" xfId="12880" xr:uid="{97C550F1-7BF2-4587-8657-94AA5E015866}"/>
    <cellStyle name="Normal 5 2 3 2 2 2 3 2 4" xfId="21327" xr:uid="{9298EC8C-8AA0-4019-A24D-E2128D3A5FE1}"/>
    <cellStyle name="Normal 5 2 3 2 2 2 3 2 5" xfId="29774" xr:uid="{19401FA6-E902-4B93-8E9A-501556AC6907}"/>
    <cellStyle name="Normal 5 2 3 2 2 2 3 3" xfId="5626" xr:uid="{00000000-0005-0000-0000-00003E180000}"/>
    <cellStyle name="Normal 5 2 3 2 2 2 3 3 2" xfId="14952" xr:uid="{D3EE8B68-8EFD-4852-91D3-16C60C293C4A}"/>
    <cellStyle name="Normal 5 2 3 2 2 2 3 3 3" xfId="23399" xr:uid="{E0CBCC4B-8B09-42BD-BB38-E2AAB2DA1B42}"/>
    <cellStyle name="Normal 5 2 3 2 2 2 3 3 4" xfId="31846" xr:uid="{41140D8F-50BC-4BF7-8C14-CACD0306084A}"/>
    <cellStyle name="Normal 5 2 3 2 2 2 3 4" xfId="10735" xr:uid="{55713EA4-C4DE-475D-9F30-C915BFCA06FD}"/>
    <cellStyle name="Normal 5 2 3 2 2 2 3 5" xfId="19182" xr:uid="{E8E0BE40-0669-4702-B14C-BB3B9CBD471F}"/>
    <cellStyle name="Normal 5 2 3 2 2 2 3 6" xfId="27629" xr:uid="{75A54E01-75D7-461E-ADDE-4EB920F7C311}"/>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17510" xr:uid="{B9BDA49F-62D1-492B-B7B0-14475D11E49E}"/>
    <cellStyle name="Normal 5 2 3 2 2 2 4 2 2 3" xfId="25957" xr:uid="{6AD0BA09-7B60-4C24-9F09-79D70A8FBB0B}"/>
    <cellStyle name="Normal 5 2 3 2 2 2 4 2 2 4" xfId="34404" xr:uid="{0FBD4F8A-AD66-4115-A281-F2E1D088AB9F}"/>
    <cellStyle name="Normal 5 2 3 2 2 2 4 2 3" xfId="13293" xr:uid="{4EE1E4DD-B2F5-497C-84F9-C0BCA169633E}"/>
    <cellStyle name="Normal 5 2 3 2 2 2 4 2 4" xfId="21740" xr:uid="{9A3FFB44-C3FC-4D68-9851-4531D71554E7}"/>
    <cellStyle name="Normal 5 2 3 2 2 2 4 2 5" xfId="30187" xr:uid="{A2B1A882-BB91-47EA-97CE-4FA41DFE111A}"/>
    <cellStyle name="Normal 5 2 3 2 2 2 4 3" xfId="6039" xr:uid="{00000000-0005-0000-0000-000042180000}"/>
    <cellStyle name="Normal 5 2 3 2 2 2 4 3 2" xfId="15365" xr:uid="{25BC0357-4293-4923-95A3-7699264E6BC9}"/>
    <cellStyle name="Normal 5 2 3 2 2 2 4 3 3" xfId="23812" xr:uid="{78B9D23F-92AC-4C06-B34F-9322543C7D3A}"/>
    <cellStyle name="Normal 5 2 3 2 2 2 4 3 4" xfId="32259" xr:uid="{4FA34B8C-9A48-47BC-B1D2-0DD8E4D5397B}"/>
    <cellStyle name="Normal 5 2 3 2 2 2 4 4" xfId="11148" xr:uid="{2CFF8790-4A06-483F-A8F4-298AF50C5D67}"/>
    <cellStyle name="Normal 5 2 3 2 2 2 4 5" xfId="19595" xr:uid="{9D30BDB4-A097-4D97-B723-6F1C4C63D80C}"/>
    <cellStyle name="Normal 5 2 3 2 2 2 4 6" xfId="28042" xr:uid="{31520E99-95E5-44D7-8BA6-3829793A5CD1}"/>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17923" xr:uid="{E46F3602-7929-41BD-AFDD-9E513A018590}"/>
    <cellStyle name="Normal 5 2 3 2 2 2 5 2 2 3" xfId="26370" xr:uid="{515FF4EA-0004-4BAE-807F-E501C0ED133D}"/>
    <cellStyle name="Normal 5 2 3 2 2 2 5 2 2 4" xfId="34817" xr:uid="{CBE308A6-3688-4750-83A6-5A770AEF4B0E}"/>
    <cellStyle name="Normal 5 2 3 2 2 2 5 2 3" xfId="13706" xr:uid="{5880D684-DDDD-46D5-9B15-F826F3D0AC60}"/>
    <cellStyle name="Normal 5 2 3 2 2 2 5 2 4" xfId="22153" xr:uid="{887BA526-1B35-4A32-977E-EB9DADD000FE}"/>
    <cellStyle name="Normal 5 2 3 2 2 2 5 2 5" xfId="30600" xr:uid="{7038DA9C-E772-452D-9EC6-CD55A58E365B}"/>
    <cellStyle name="Normal 5 2 3 2 2 2 5 3" xfId="6452" xr:uid="{00000000-0005-0000-0000-000046180000}"/>
    <cellStyle name="Normal 5 2 3 2 2 2 5 3 2" xfId="15778" xr:uid="{763A93B2-8D86-4384-919B-7FE86EA4F33D}"/>
    <cellStyle name="Normal 5 2 3 2 2 2 5 3 3" xfId="24225" xr:uid="{9E8F576A-9D63-4308-B64F-39B8368BE8EB}"/>
    <cellStyle name="Normal 5 2 3 2 2 2 5 3 4" xfId="32672" xr:uid="{D2732F20-FEC3-4123-BEF7-24F023A642E9}"/>
    <cellStyle name="Normal 5 2 3 2 2 2 5 4" xfId="11561" xr:uid="{88B1B61E-53CB-4616-82A3-7D2AE888CB39}"/>
    <cellStyle name="Normal 5 2 3 2 2 2 5 5" xfId="20008" xr:uid="{E95F712A-7082-46D1-B1FE-0DECB5A2F197}"/>
    <cellStyle name="Normal 5 2 3 2 2 2 5 6" xfId="28455" xr:uid="{55B5CA03-B0A7-4C6B-A881-1DBA6838FE30}"/>
    <cellStyle name="Normal 5 2 3 2 2 2 6" xfId="2582" xr:uid="{00000000-0005-0000-0000-000047180000}"/>
    <cellStyle name="Normal 5 2 3 2 2 2 6 2" xfId="6865" xr:uid="{00000000-0005-0000-0000-000048180000}"/>
    <cellStyle name="Normal 5 2 3 2 2 2 6 2 2" xfId="16191" xr:uid="{F61C011A-7C3E-4927-A766-C1235C158D09}"/>
    <cellStyle name="Normal 5 2 3 2 2 2 6 2 3" xfId="24638" xr:uid="{9F8CC0A8-4D10-4C35-BC79-748418F0246F}"/>
    <cellStyle name="Normal 5 2 3 2 2 2 6 2 4" xfId="33085" xr:uid="{3B798CA4-183E-4C77-B796-84D2A6602F1E}"/>
    <cellStyle name="Normal 5 2 3 2 2 2 6 3" xfId="11974" xr:uid="{F85EBEBD-011C-491C-B92C-4F6E1F1B0154}"/>
    <cellStyle name="Normal 5 2 3 2 2 2 6 4" xfId="20421" xr:uid="{78C0B517-7E17-477F-96D2-3AEB21127D8B}"/>
    <cellStyle name="Normal 5 2 3 2 2 2 6 5" xfId="28868" xr:uid="{8D35FCA2-3A18-426D-BDA9-2D9AF1C05A64}"/>
    <cellStyle name="Normal 5 2 3 2 2 2 7" xfId="4800" xr:uid="{00000000-0005-0000-0000-000049180000}"/>
    <cellStyle name="Normal 5 2 3 2 2 2 7 2" xfId="14126" xr:uid="{99D7F6D2-7406-4F37-89C0-63D230C85613}"/>
    <cellStyle name="Normal 5 2 3 2 2 2 7 3" xfId="22573" xr:uid="{D8816DA7-A87E-4EAF-B2A7-B9A3500E30CB}"/>
    <cellStyle name="Normal 5 2 3 2 2 2 7 4" xfId="31020" xr:uid="{98CD16B5-B375-4499-B1F3-B1DBE7844A4E}"/>
    <cellStyle name="Normal 5 2 3 2 2 2 8" xfId="9140" xr:uid="{175A16DB-BA54-4083-AB68-1FA46DB27A86}"/>
    <cellStyle name="Normal 5 2 3 2 2 2 9" xfId="9909" xr:uid="{F29B433F-796A-4AB1-B620-EB7088663FAF}"/>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16683" xr:uid="{774F656D-76F3-4F2A-89A7-E0A7B3F46740}"/>
    <cellStyle name="Normal 5 2 3 2 2 3 2 2 3" xfId="25130" xr:uid="{F5B5D48F-D6A9-46E3-9D62-8D1F88B287E7}"/>
    <cellStyle name="Normal 5 2 3 2 2 3 2 2 4" xfId="33577" xr:uid="{57FAD3F5-2864-4FF0-AB33-7007325E9802}"/>
    <cellStyle name="Normal 5 2 3 2 2 3 2 3" xfId="12466" xr:uid="{368525FD-3B3A-49A4-B9C6-247583CA57F4}"/>
    <cellStyle name="Normal 5 2 3 2 2 3 2 4" xfId="20913" xr:uid="{EC41D589-AD2F-4590-81B4-428A7119F856}"/>
    <cellStyle name="Normal 5 2 3 2 2 3 2 5" xfId="29360" xr:uid="{081C2E5B-5ADC-4D3B-9F7E-D923032D02D8}"/>
    <cellStyle name="Normal 5 2 3 2 2 3 3" xfId="5212" xr:uid="{00000000-0005-0000-0000-00004D180000}"/>
    <cellStyle name="Normal 5 2 3 2 2 3 3 2" xfId="14538" xr:uid="{248B3DF7-64F6-4608-A537-2E2AE8B46B8A}"/>
    <cellStyle name="Normal 5 2 3 2 2 3 3 3" xfId="22985" xr:uid="{7498A4F0-2FC5-47A3-B056-8EAFCBAEA769}"/>
    <cellStyle name="Normal 5 2 3 2 2 3 3 4" xfId="31432" xr:uid="{C8859C27-7829-499B-B1C6-993251ACC772}"/>
    <cellStyle name="Normal 5 2 3 2 2 3 4" xfId="9358" xr:uid="{5B196E7D-8DD9-4C59-A83C-7626B0E60040}"/>
    <cellStyle name="Normal 5 2 3 2 2 3 5" xfId="10321" xr:uid="{BA32207C-7D07-49F5-8CA2-0F1E281906F7}"/>
    <cellStyle name="Normal 5 2 3 2 2 3 6" xfId="18768" xr:uid="{A917D388-2A6F-40AF-92CA-4DB84B3C52B9}"/>
    <cellStyle name="Normal 5 2 3 2 2 3 7" xfId="27215" xr:uid="{04491A91-2B61-4555-B61A-DA985C477D48}"/>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17096" xr:uid="{A1333F37-EA62-4EB5-B324-3C80C0D6F851}"/>
    <cellStyle name="Normal 5 2 3 2 2 4 2 2 3" xfId="25543" xr:uid="{ABC00E81-F8F2-4F7A-9AF2-D739C1352638}"/>
    <cellStyle name="Normal 5 2 3 2 2 4 2 2 4" xfId="33990" xr:uid="{80A5A452-99E4-40FD-B60E-F70A1C3039B0}"/>
    <cellStyle name="Normal 5 2 3 2 2 4 2 3" xfId="12879" xr:uid="{A066C1DB-3964-4C20-8256-9F2976C73594}"/>
    <cellStyle name="Normal 5 2 3 2 2 4 2 4" xfId="21326" xr:uid="{C3631CEC-821C-40A3-A2D4-12D7E21084A7}"/>
    <cellStyle name="Normal 5 2 3 2 2 4 2 5" xfId="29773" xr:uid="{D842D37B-92E7-4081-975B-542D600BD8E0}"/>
    <cellStyle name="Normal 5 2 3 2 2 4 3" xfId="5625" xr:uid="{00000000-0005-0000-0000-000051180000}"/>
    <cellStyle name="Normal 5 2 3 2 2 4 3 2" xfId="14951" xr:uid="{89298077-5065-4FC3-9F0B-770F4A117D79}"/>
    <cellStyle name="Normal 5 2 3 2 2 4 3 3" xfId="23398" xr:uid="{B89CBF7B-2C1B-4FA6-BE5E-75704DC2E012}"/>
    <cellStyle name="Normal 5 2 3 2 2 4 3 4" xfId="31845" xr:uid="{D242798A-3543-4717-BB7A-9AEC84A4FBF9}"/>
    <cellStyle name="Normal 5 2 3 2 2 4 4" xfId="10734" xr:uid="{C9BD7F4E-0B12-49F0-AE99-1AE201BC16FA}"/>
    <cellStyle name="Normal 5 2 3 2 2 4 5" xfId="19181" xr:uid="{E322ECED-32D4-4E02-B34C-8D26225ADC0E}"/>
    <cellStyle name="Normal 5 2 3 2 2 4 6" xfId="27628" xr:uid="{099A0D5E-BBEB-4755-9361-C36259838C0A}"/>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17509" xr:uid="{39BAD94A-9703-41ED-BBFB-84227E29EADE}"/>
    <cellStyle name="Normal 5 2 3 2 2 5 2 2 3" xfId="25956" xr:uid="{118E69AF-C99A-48CD-912D-307EF6CDA90F}"/>
    <cellStyle name="Normal 5 2 3 2 2 5 2 2 4" xfId="34403" xr:uid="{64DB2FD1-A6A5-4F1F-B7C6-2EBF235BD15C}"/>
    <cellStyle name="Normal 5 2 3 2 2 5 2 3" xfId="13292" xr:uid="{A855F1A1-5F92-44B2-BC3E-F8772BCAE0DE}"/>
    <cellStyle name="Normal 5 2 3 2 2 5 2 4" xfId="21739" xr:uid="{CA990E92-079E-4564-8224-C8C23CD1C712}"/>
    <cellStyle name="Normal 5 2 3 2 2 5 2 5" xfId="30186" xr:uid="{DBF54043-EBF4-43C7-9F7A-06B49B584838}"/>
    <cellStyle name="Normal 5 2 3 2 2 5 3" xfId="6038" xr:uid="{00000000-0005-0000-0000-000055180000}"/>
    <cellStyle name="Normal 5 2 3 2 2 5 3 2" xfId="15364" xr:uid="{B635C8D6-3767-4EE6-8208-F2FB6E2AAE31}"/>
    <cellStyle name="Normal 5 2 3 2 2 5 3 3" xfId="23811" xr:uid="{07278758-63D8-4D9F-91C2-297806D6C0DA}"/>
    <cellStyle name="Normal 5 2 3 2 2 5 3 4" xfId="32258" xr:uid="{32269160-0FFF-4E14-9350-8021E0E31881}"/>
    <cellStyle name="Normal 5 2 3 2 2 5 4" xfId="11147" xr:uid="{931AD977-A949-475A-A5A9-ECF057FC1E79}"/>
    <cellStyle name="Normal 5 2 3 2 2 5 5" xfId="19594" xr:uid="{B7EFDDE2-468B-40F2-87D0-C25872E18B36}"/>
    <cellStyle name="Normal 5 2 3 2 2 5 6" xfId="28041" xr:uid="{1AF77F6A-B1AF-4512-9619-4B71D38E7888}"/>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17922" xr:uid="{39F0553D-DB9A-4CD5-A4E2-FB84B278DD00}"/>
    <cellStyle name="Normal 5 2 3 2 2 6 2 2 3" xfId="26369" xr:uid="{6928D1A2-C5E3-4D9F-8EDE-C1CE8B681F84}"/>
    <cellStyle name="Normal 5 2 3 2 2 6 2 2 4" xfId="34816" xr:uid="{2265B76C-FB34-4542-AC2D-91FE60904CCF}"/>
    <cellStyle name="Normal 5 2 3 2 2 6 2 3" xfId="13705" xr:uid="{987806D0-104B-4626-B606-6464FD164D7F}"/>
    <cellStyle name="Normal 5 2 3 2 2 6 2 4" xfId="22152" xr:uid="{57B7D174-0062-401F-A948-297F4A250548}"/>
    <cellStyle name="Normal 5 2 3 2 2 6 2 5" xfId="30599" xr:uid="{E44C044D-A2AC-447A-83BC-87A360635EE1}"/>
    <cellStyle name="Normal 5 2 3 2 2 6 3" xfId="6451" xr:uid="{00000000-0005-0000-0000-000059180000}"/>
    <cellStyle name="Normal 5 2 3 2 2 6 3 2" xfId="15777" xr:uid="{F961F789-BF59-4721-B455-6B8663EE16CD}"/>
    <cellStyle name="Normal 5 2 3 2 2 6 3 3" xfId="24224" xr:uid="{0CAB3F89-DDFF-42EC-9C1D-C770BF28087C}"/>
    <cellStyle name="Normal 5 2 3 2 2 6 3 4" xfId="32671" xr:uid="{CEDF4C9B-E866-457B-8B9A-C99C66CD921A}"/>
    <cellStyle name="Normal 5 2 3 2 2 6 4" xfId="11560" xr:uid="{FDA7DD1B-3528-4769-97B8-BD2015FD1921}"/>
    <cellStyle name="Normal 5 2 3 2 2 6 5" xfId="20007" xr:uid="{B9FBBBB8-CF6F-4087-B71F-7AC7D6F635B6}"/>
    <cellStyle name="Normal 5 2 3 2 2 6 6" xfId="28454" xr:uid="{E8CCC1CC-6370-47C0-BC64-000BD98EF4C5}"/>
    <cellStyle name="Normal 5 2 3 2 2 7" xfId="2581" xr:uid="{00000000-0005-0000-0000-00005A180000}"/>
    <cellStyle name="Normal 5 2 3 2 2 7 2" xfId="6864" xr:uid="{00000000-0005-0000-0000-00005B180000}"/>
    <cellStyle name="Normal 5 2 3 2 2 7 2 2" xfId="16190" xr:uid="{F49A25E3-0ABD-4CD6-8033-F9FFDA322F72}"/>
    <cellStyle name="Normal 5 2 3 2 2 7 2 3" xfId="24637" xr:uid="{1DA36B72-66FD-4E8D-A045-CD960C8D4010}"/>
    <cellStyle name="Normal 5 2 3 2 2 7 2 4" xfId="33084" xr:uid="{8B729B5D-86C5-4BB5-BEC8-DA31402905FA}"/>
    <cellStyle name="Normal 5 2 3 2 2 7 3" xfId="11973" xr:uid="{D51B2CD2-D8AA-4F6E-AE99-F8A3CB7F6806}"/>
    <cellStyle name="Normal 5 2 3 2 2 7 4" xfId="20420" xr:uid="{DB84B3D4-D014-4D36-9DA4-C0FA057982C2}"/>
    <cellStyle name="Normal 5 2 3 2 2 7 5" xfId="28867" xr:uid="{794E5023-BE02-4662-A769-734C68C636FA}"/>
    <cellStyle name="Normal 5 2 3 2 2 8" xfId="4799" xr:uid="{00000000-0005-0000-0000-00005C180000}"/>
    <cellStyle name="Normal 5 2 3 2 2 8 2" xfId="14125" xr:uid="{2CEF72CB-2209-49A1-81C2-84D7056AFA6E}"/>
    <cellStyle name="Normal 5 2 3 2 2 8 3" xfId="22572" xr:uid="{DEC336E5-36E0-4CB6-80F8-503255B6153C}"/>
    <cellStyle name="Normal 5 2 3 2 2 8 4" xfId="31019" xr:uid="{2A6D2C8D-C530-4444-9966-E222CE745C5E}"/>
    <cellStyle name="Normal 5 2 3 2 2 9" xfId="8933" xr:uid="{2228AC18-CB51-4AF4-A227-403A8409C6C2}"/>
    <cellStyle name="Normal 5 2 3 2 3" xfId="428" xr:uid="{00000000-0005-0000-0000-00005D180000}"/>
    <cellStyle name="Normal 5 2 3 2 3 10" xfId="18357" xr:uid="{8F2AED3E-113B-4482-89F4-C03F04C497D6}"/>
    <cellStyle name="Normal 5 2 3 2 3 11" xfId="26804" xr:uid="{7034BCE7-E8C3-4634-88E6-F986CD583283}"/>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16685" xr:uid="{40CB7F09-5BAF-4D64-A7BD-1FD4BAF52C95}"/>
    <cellStyle name="Normal 5 2 3 2 3 2 2 2 3" xfId="25132" xr:uid="{537E6E73-9184-4692-97B8-265343FE0128}"/>
    <cellStyle name="Normal 5 2 3 2 3 2 2 2 4" xfId="33579" xr:uid="{79A06A9E-9ECF-4857-8C64-6590936D22AF}"/>
    <cellStyle name="Normal 5 2 3 2 3 2 2 3" xfId="12468" xr:uid="{9C759452-8181-4354-8666-378DAAA8087A}"/>
    <cellStyle name="Normal 5 2 3 2 3 2 2 4" xfId="20915" xr:uid="{A356F731-EF1D-46A7-B68A-25D5B840171B}"/>
    <cellStyle name="Normal 5 2 3 2 3 2 2 5" xfId="29362" xr:uid="{BD6DBF75-A8A6-4C17-8289-60FDEA7270FA}"/>
    <cellStyle name="Normal 5 2 3 2 3 2 3" xfId="5214" xr:uid="{00000000-0005-0000-0000-000061180000}"/>
    <cellStyle name="Normal 5 2 3 2 3 2 3 2" xfId="14540" xr:uid="{D5503915-DF18-4D17-9680-A0ADF44E176E}"/>
    <cellStyle name="Normal 5 2 3 2 3 2 3 3" xfId="22987" xr:uid="{37520ABA-5137-4D89-B370-A68CB944C332}"/>
    <cellStyle name="Normal 5 2 3 2 3 2 3 4" xfId="31434" xr:uid="{8887DFF6-D3AB-439B-9310-ED90540917DB}"/>
    <cellStyle name="Normal 5 2 3 2 3 2 4" xfId="9462" xr:uid="{B4C14F1A-A88A-428F-A7F8-BAFD7E5CD045}"/>
    <cellStyle name="Normal 5 2 3 2 3 2 5" xfId="10323" xr:uid="{D06695D3-A425-4A00-B5F9-BDA5B85D3C55}"/>
    <cellStyle name="Normal 5 2 3 2 3 2 6" xfId="18770" xr:uid="{33124925-AD83-49EB-9A9A-E4E654068E12}"/>
    <cellStyle name="Normal 5 2 3 2 3 2 7" xfId="27217" xr:uid="{EC71B609-58BD-4577-8670-09ED5CB5B36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17098" xr:uid="{41E7D9B4-F5A0-4185-9638-FD8138E5E2A4}"/>
    <cellStyle name="Normal 5 2 3 2 3 3 2 2 3" xfId="25545" xr:uid="{4916CE76-2EB6-40AF-A861-E80FF7F19B49}"/>
    <cellStyle name="Normal 5 2 3 2 3 3 2 2 4" xfId="33992" xr:uid="{09C78BBA-2071-40C4-95BE-B92C95C7BCB1}"/>
    <cellStyle name="Normal 5 2 3 2 3 3 2 3" xfId="12881" xr:uid="{6AC52CAC-42E6-42AD-A5F9-AE72CB6092DA}"/>
    <cellStyle name="Normal 5 2 3 2 3 3 2 4" xfId="21328" xr:uid="{C117CFB7-2343-4162-B32C-45C338176A68}"/>
    <cellStyle name="Normal 5 2 3 2 3 3 2 5" xfId="29775" xr:uid="{04C2BB66-6556-416F-8328-47694D7FE5B3}"/>
    <cellStyle name="Normal 5 2 3 2 3 3 3" xfId="5627" xr:uid="{00000000-0005-0000-0000-000065180000}"/>
    <cellStyle name="Normal 5 2 3 2 3 3 3 2" xfId="14953" xr:uid="{90E9E088-CCE7-4C61-839E-7B49F2076F5F}"/>
    <cellStyle name="Normal 5 2 3 2 3 3 3 3" xfId="23400" xr:uid="{91F3C941-AB80-4454-8841-F80FBA3EB544}"/>
    <cellStyle name="Normal 5 2 3 2 3 3 3 4" xfId="31847" xr:uid="{C74FFFED-BBDC-461E-939A-FD422030765C}"/>
    <cellStyle name="Normal 5 2 3 2 3 3 4" xfId="10736" xr:uid="{06927A22-4177-4CFB-B7AE-A25DFDA50A54}"/>
    <cellStyle name="Normal 5 2 3 2 3 3 5" xfId="19183" xr:uid="{18A92546-3B06-4E56-B2BD-BC32131239BE}"/>
    <cellStyle name="Normal 5 2 3 2 3 3 6" xfId="27630" xr:uid="{B6EB4EFA-041B-433B-BC3A-243078A53042}"/>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17511" xr:uid="{E4553645-5085-4EA4-AFE5-74F3B7A7BF1B}"/>
    <cellStyle name="Normal 5 2 3 2 3 4 2 2 3" xfId="25958" xr:uid="{74977760-CBBF-4512-9F9B-798B79800ED7}"/>
    <cellStyle name="Normal 5 2 3 2 3 4 2 2 4" xfId="34405" xr:uid="{A99885CA-52BE-49A5-9FCB-6A04625CEDDA}"/>
    <cellStyle name="Normal 5 2 3 2 3 4 2 3" xfId="13294" xr:uid="{35775705-78D4-4000-AC92-655E0E638AB8}"/>
    <cellStyle name="Normal 5 2 3 2 3 4 2 4" xfId="21741" xr:uid="{639D6952-056C-49D2-9DDD-04D778F90CEC}"/>
    <cellStyle name="Normal 5 2 3 2 3 4 2 5" xfId="30188" xr:uid="{5DFEEA8E-177E-4732-9C0A-6E3FCDEE9258}"/>
    <cellStyle name="Normal 5 2 3 2 3 4 3" xfId="6040" xr:uid="{00000000-0005-0000-0000-000069180000}"/>
    <cellStyle name="Normal 5 2 3 2 3 4 3 2" xfId="15366" xr:uid="{AFA345A3-1D2E-403A-8AC0-A1E7155E2D9E}"/>
    <cellStyle name="Normal 5 2 3 2 3 4 3 3" xfId="23813" xr:uid="{A04C3B0F-6ED9-4F0F-8CDA-019C5BD3591F}"/>
    <cellStyle name="Normal 5 2 3 2 3 4 3 4" xfId="32260" xr:uid="{2EFE7570-2A19-4E3F-AC3A-C8D4C13066D4}"/>
    <cellStyle name="Normal 5 2 3 2 3 4 4" xfId="11149" xr:uid="{36D7B1B3-D396-4723-B971-896963EA26E0}"/>
    <cellStyle name="Normal 5 2 3 2 3 4 5" xfId="19596" xr:uid="{32352F69-069E-41DE-A061-4131E39A5179}"/>
    <cellStyle name="Normal 5 2 3 2 3 4 6" xfId="28043" xr:uid="{AB5A2543-520E-4F0B-959B-722343997ABE}"/>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17924" xr:uid="{3F28097F-89B7-43EB-919E-C75C0BA7B0AA}"/>
    <cellStyle name="Normal 5 2 3 2 3 5 2 2 3" xfId="26371" xr:uid="{9A4FA402-8800-4847-A4E3-640C40C37399}"/>
    <cellStyle name="Normal 5 2 3 2 3 5 2 2 4" xfId="34818" xr:uid="{A2F1BDB2-7C46-45F9-ADF1-226476AFC430}"/>
    <cellStyle name="Normal 5 2 3 2 3 5 2 3" xfId="13707" xr:uid="{05ACA768-928C-4B8D-B45D-B4D4D59E7E80}"/>
    <cellStyle name="Normal 5 2 3 2 3 5 2 4" xfId="22154" xr:uid="{8C029AF6-B3D1-4D75-8DDC-D25F8CD771B7}"/>
    <cellStyle name="Normal 5 2 3 2 3 5 2 5" xfId="30601" xr:uid="{723D57F6-B46A-42A7-B52E-23CFB2089068}"/>
    <cellStyle name="Normal 5 2 3 2 3 5 3" xfId="6453" xr:uid="{00000000-0005-0000-0000-00006D180000}"/>
    <cellStyle name="Normal 5 2 3 2 3 5 3 2" xfId="15779" xr:uid="{B38B849A-941A-4A55-8176-C911EF526051}"/>
    <cellStyle name="Normal 5 2 3 2 3 5 3 3" xfId="24226" xr:uid="{0ECA371A-9A0A-4EF2-BA39-423A789E854B}"/>
    <cellStyle name="Normal 5 2 3 2 3 5 3 4" xfId="32673" xr:uid="{38B249E6-099A-4840-80F2-7F827099FC42}"/>
    <cellStyle name="Normal 5 2 3 2 3 5 4" xfId="11562" xr:uid="{FA69A6E3-DD96-477F-A54F-8478FBF1B346}"/>
    <cellStyle name="Normal 5 2 3 2 3 5 5" xfId="20009" xr:uid="{247911F0-4D21-4ECD-8333-D4BD8B60914D}"/>
    <cellStyle name="Normal 5 2 3 2 3 5 6" xfId="28456" xr:uid="{413B945C-9616-4B2F-8A01-7EEF13387666}"/>
    <cellStyle name="Normal 5 2 3 2 3 6" xfId="2583" xr:uid="{00000000-0005-0000-0000-00006E180000}"/>
    <cellStyle name="Normal 5 2 3 2 3 6 2" xfId="6866" xr:uid="{00000000-0005-0000-0000-00006F180000}"/>
    <cellStyle name="Normal 5 2 3 2 3 6 2 2" xfId="16192" xr:uid="{D43F6DF2-7847-4AC8-978D-6D7679965628}"/>
    <cellStyle name="Normal 5 2 3 2 3 6 2 3" xfId="24639" xr:uid="{EF1C91AE-939E-46F2-A4DB-556BE924D877}"/>
    <cellStyle name="Normal 5 2 3 2 3 6 2 4" xfId="33086" xr:uid="{327CDF43-063E-4428-888F-4E87127157F5}"/>
    <cellStyle name="Normal 5 2 3 2 3 6 3" xfId="11975" xr:uid="{F5F73AFB-E05E-4F06-BC70-8A44D5C36198}"/>
    <cellStyle name="Normal 5 2 3 2 3 6 4" xfId="20422" xr:uid="{A2A555E1-29F3-411F-9498-E49BA1F512D9}"/>
    <cellStyle name="Normal 5 2 3 2 3 6 5" xfId="28869" xr:uid="{8730D5C7-EA5E-4C5D-B225-303B1F099F3A}"/>
    <cellStyle name="Normal 5 2 3 2 3 7" xfId="4801" xr:uid="{00000000-0005-0000-0000-000070180000}"/>
    <cellStyle name="Normal 5 2 3 2 3 7 2" xfId="14127" xr:uid="{225CD5C3-CF47-4F47-990F-00452226BCDF}"/>
    <cellStyle name="Normal 5 2 3 2 3 7 3" xfId="22574" xr:uid="{B12BD2EE-A40D-489C-8CEE-2BD896415944}"/>
    <cellStyle name="Normal 5 2 3 2 3 7 4" xfId="31021" xr:uid="{DED3E9A3-45C0-4203-B3AD-57D94EC68F3D}"/>
    <cellStyle name="Normal 5 2 3 2 3 8" xfId="9037" xr:uid="{EED46D7F-EFCD-4AC1-931D-AB06B694E7BE}"/>
    <cellStyle name="Normal 5 2 3 2 3 9" xfId="9910" xr:uid="{182BFA71-D95E-4F20-AE63-8EE2587FD61F}"/>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16682" xr:uid="{22BE5026-25B2-47FB-8AB5-125430CC3257}"/>
    <cellStyle name="Normal 5 2 3 2 4 2 2 3" xfId="25129" xr:uid="{58DFDAD1-BA5E-4323-A557-5A0DCD0AC543}"/>
    <cellStyle name="Normal 5 2 3 2 4 2 2 4" xfId="33576" xr:uid="{5E3618DA-1FAA-4E1A-ABBA-B9BF71DEACE2}"/>
    <cellStyle name="Normal 5 2 3 2 4 2 3" xfId="12465" xr:uid="{651F4499-8570-48B5-8A57-2CFFE0109E46}"/>
    <cellStyle name="Normal 5 2 3 2 4 2 4" xfId="20912" xr:uid="{EE10C79F-0DE6-419B-85BC-C95035050E58}"/>
    <cellStyle name="Normal 5 2 3 2 4 2 5" xfId="29359" xr:uid="{B4DD691C-B358-4EE1-8440-AEBF9736CFFC}"/>
    <cellStyle name="Normal 5 2 3 2 4 3" xfId="5211" xr:uid="{00000000-0005-0000-0000-000074180000}"/>
    <cellStyle name="Normal 5 2 3 2 4 3 2" xfId="14537" xr:uid="{998F2E31-86AC-4B0B-98C1-217BE57A81DA}"/>
    <cellStyle name="Normal 5 2 3 2 4 3 3" xfId="22984" xr:uid="{729D173D-229A-4BC2-941C-9EFD29690B33}"/>
    <cellStyle name="Normal 5 2 3 2 4 3 4" xfId="31431" xr:uid="{A6621139-27B9-4D68-A3D4-221356602004}"/>
    <cellStyle name="Normal 5 2 3 2 4 4" xfId="9255" xr:uid="{C5A161BB-6C4F-4A9D-BBA7-7500B0B26A70}"/>
    <cellStyle name="Normal 5 2 3 2 4 5" xfId="10320" xr:uid="{A697759A-2450-4557-9024-473421ADAB5A}"/>
    <cellStyle name="Normal 5 2 3 2 4 6" xfId="18767" xr:uid="{E989644C-40A3-4409-96EA-4DDE90E4F2C2}"/>
    <cellStyle name="Normal 5 2 3 2 4 7" xfId="27214" xr:uid="{B2E8E6FD-13CC-42C7-93B5-562601471483}"/>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17095" xr:uid="{60E16484-4413-4A6E-A4A1-40310F621A32}"/>
    <cellStyle name="Normal 5 2 3 2 5 2 2 3" xfId="25542" xr:uid="{A690ECA5-239F-4C26-8253-9D59D5F45E3E}"/>
    <cellStyle name="Normal 5 2 3 2 5 2 2 4" xfId="33989" xr:uid="{A3AEAF1F-A4FA-4277-B60E-CEC3C00D5D94}"/>
    <cellStyle name="Normal 5 2 3 2 5 2 3" xfId="12878" xr:uid="{EDEF29C1-2015-426B-B772-5D485956637D}"/>
    <cellStyle name="Normal 5 2 3 2 5 2 4" xfId="21325" xr:uid="{E364E4E3-4AE4-43FB-80C1-0692D916E68C}"/>
    <cellStyle name="Normal 5 2 3 2 5 2 5" xfId="29772" xr:uid="{836F5AD8-414E-4C55-A648-4DEE0FBB10DE}"/>
    <cellStyle name="Normal 5 2 3 2 5 3" xfId="5624" xr:uid="{00000000-0005-0000-0000-000078180000}"/>
    <cellStyle name="Normal 5 2 3 2 5 3 2" xfId="14950" xr:uid="{8C08D859-B990-4E08-8BA2-BDBD8929C67F}"/>
    <cellStyle name="Normal 5 2 3 2 5 3 3" xfId="23397" xr:uid="{56AE3050-B034-40F7-9D0E-F2215B649020}"/>
    <cellStyle name="Normal 5 2 3 2 5 3 4" xfId="31844" xr:uid="{A9FB3BC5-9501-4124-88B3-1C950B07F8EC}"/>
    <cellStyle name="Normal 5 2 3 2 5 4" xfId="10733" xr:uid="{38CB4A6D-0AAB-484D-BC75-AC91AE70FF75}"/>
    <cellStyle name="Normal 5 2 3 2 5 5" xfId="19180" xr:uid="{E1E1B376-BBD0-488B-B941-747A62DAD913}"/>
    <cellStyle name="Normal 5 2 3 2 5 6" xfId="27627" xr:uid="{B0982214-ED7F-4A71-A348-72CA85FA3CEE}"/>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17508" xr:uid="{408022D3-796D-4DC9-98EE-CAD24965A191}"/>
    <cellStyle name="Normal 5 2 3 2 6 2 2 3" xfId="25955" xr:uid="{356AD8B5-2377-4352-ADE8-BFB513FD0ADD}"/>
    <cellStyle name="Normal 5 2 3 2 6 2 2 4" xfId="34402" xr:uid="{88F6ACDC-57CC-4A91-A69B-CEB8660AA0FB}"/>
    <cellStyle name="Normal 5 2 3 2 6 2 3" xfId="13291" xr:uid="{9717E077-A11A-46C1-B2A2-80CD6115A95D}"/>
    <cellStyle name="Normal 5 2 3 2 6 2 4" xfId="21738" xr:uid="{546BC422-E90C-490C-888C-AAFAE7C206D1}"/>
    <cellStyle name="Normal 5 2 3 2 6 2 5" xfId="30185" xr:uid="{7A0B868A-69E0-4937-8BDD-12B549618B9B}"/>
    <cellStyle name="Normal 5 2 3 2 6 3" xfId="6037" xr:uid="{00000000-0005-0000-0000-00007C180000}"/>
    <cellStyle name="Normal 5 2 3 2 6 3 2" xfId="15363" xr:uid="{21F2D3D3-D073-47C7-97CA-337B995A4D10}"/>
    <cellStyle name="Normal 5 2 3 2 6 3 3" xfId="23810" xr:uid="{6F156B63-D916-463D-9A78-1654DCEF878B}"/>
    <cellStyle name="Normal 5 2 3 2 6 3 4" xfId="32257" xr:uid="{BDB8BCCB-DFDB-431D-B2E0-79E6161CAE87}"/>
    <cellStyle name="Normal 5 2 3 2 6 4" xfId="11146" xr:uid="{8D525B23-2F70-4BD7-BD53-79F4F02C69E7}"/>
    <cellStyle name="Normal 5 2 3 2 6 5" xfId="19593" xr:uid="{36995E8A-05FB-4663-BAEF-B3BFE2C3DB23}"/>
    <cellStyle name="Normal 5 2 3 2 6 6" xfId="28040" xr:uid="{A3A9D97C-63A7-449E-8ABF-7425F7C12361}"/>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17921" xr:uid="{302DDD2C-C215-4571-AC43-B6DB6E6EE4BC}"/>
    <cellStyle name="Normal 5 2 3 2 7 2 2 3" xfId="26368" xr:uid="{4D03EF23-6B6C-4D2C-B931-344B2205D00E}"/>
    <cellStyle name="Normal 5 2 3 2 7 2 2 4" xfId="34815" xr:uid="{FC492302-00E0-4424-8828-87A506364EC9}"/>
    <cellStyle name="Normal 5 2 3 2 7 2 3" xfId="13704" xr:uid="{75AF24C9-3111-4366-AF9F-EE2F1D9858C5}"/>
    <cellStyle name="Normal 5 2 3 2 7 2 4" xfId="22151" xr:uid="{0CFE2B7D-ECAF-4591-A672-0D8358A2C602}"/>
    <cellStyle name="Normal 5 2 3 2 7 2 5" xfId="30598" xr:uid="{CF76A54C-DF1B-4697-AE0D-9A12FF498438}"/>
    <cellStyle name="Normal 5 2 3 2 7 3" xfId="6450" xr:uid="{00000000-0005-0000-0000-000080180000}"/>
    <cellStyle name="Normal 5 2 3 2 7 3 2" xfId="15776" xr:uid="{CA45BF6B-A3C2-45F9-8CBD-01702D0F990F}"/>
    <cellStyle name="Normal 5 2 3 2 7 3 3" xfId="24223" xr:uid="{0D637042-ECAE-46CD-8586-7412FFA3D2BF}"/>
    <cellStyle name="Normal 5 2 3 2 7 3 4" xfId="32670" xr:uid="{0730AC31-D529-426C-9326-E7DE71406836}"/>
    <cellStyle name="Normal 5 2 3 2 7 4" xfId="11559" xr:uid="{C47F62F7-3693-44EB-B56E-C8CC0524E67E}"/>
    <cellStyle name="Normal 5 2 3 2 7 5" xfId="20006" xr:uid="{B306361C-CD31-4426-B838-A895B2EB6DCE}"/>
    <cellStyle name="Normal 5 2 3 2 7 6" xfId="28453" xr:uid="{770DAB1F-10DB-41CB-BCC1-950F5B1D2D7B}"/>
    <cellStyle name="Normal 5 2 3 2 8" xfId="2580" xr:uid="{00000000-0005-0000-0000-000081180000}"/>
    <cellStyle name="Normal 5 2 3 2 8 2" xfId="6863" xr:uid="{00000000-0005-0000-0000-000082180000}"/>
    <cellStyle name="Normal 5 2 3 2 8 2 2" xfId="16189" xr:uid="{993C5A5B-B1CE-4D6C-987D-A65EB5A84765}"/>
    <cellStyle name="Normal 5 2 3 2 8 2 3" xfId="24636" xr:uid="{D24EC282-DCF6-4759-A8D7-22D851DCBF82}"/>
    <cellStyle name="Normal 5 2 3 2 8 2 4" xfId="33083" xr:uid="{55B409C2-C89C-4413-95D2-FFF766644FA8}"/>
    <cellStyle name="Normal 5 2 3 2 8 3" xfId="11972" xr:uid="{8E972C02-AE0F-441D-BE06-6DEB722A5EA3}"/>
    <cellStyle name="Normal 5 2 3 2 8 4" xfId="20419" xr:uid="{575A46BE-5934-41AD-98F6-5903838E4384}"/>
    <cellStyle name="Normal 5 2 3 2 8 5" xfId="28866" xr:uid="{66AF1296-6930-49BA-96E1-B6E879F43C4F}"/>
    <cellStyle name="Normal 5 2 3 2 9" xfId="4798" xr:uid="{00000000-0005-0000-0000-000083180000}"/>
    <cellStyle name="Normal 5 2 3 2 9 2" xfId="14124" xr:uid="{DE890946-3715-409D-B14F-BF1F4C09AC3D}"/>
    <cellStyle name="Normal 5 2 3 2 9 3" xfId="22571" xr:uid="{E34017ED-89EB-4B5D-8DD3-758C21E90936}"/>
    <cellStyle name="Normal 5 2 3 2 9 4" xfId="31018" xr:uid="{40FC1116-D27C-45C8-9B79-628AF2C64E5B}"/>
    <cellStyle name="Normal 5 2 3 3" xfId="429" xr:uid="{00000000-0005-0000-0000-000084180000}"/>
    <cellStyle name="Normal 5 2 3 3 10" xfId="9911" xr:uid="{11FC3937-796C-4A47-AC3A-3190101A7F89}"/>
    <cellStyle name="Normal 5 2 3 3 11" xfId="18358" xr:uid="{9A465CCB-A4F9-4B6A-A3F5-AEBAE9167D31}"/>
    <cellStyle name="Normal 5 2 3 3 12" xfId="26805" xr:uid="{5EBF79E4-8320-41E3-9CF0-3D8CAF481A5D}"/>
    <cellStyle name="Normal 5 2 3 3 2" xfId="430" xr:uid="{00000000-0005-0000-0000-000085180000}"/>
    <cellStyle name="Normal 5 2 3 3 2 10" xfId="18359" xr:uid="{A3C9F02E-815A-4CA3-BD7E-89C888E3BB83}"/>
    <cellStyle name="Normal 5 2 3 3 2 11" xfId="26806" xr:uid="{B9C63A2D-FD2E-43C9-AC8F-CB09E5C9905F}"/>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16687" xr:uid="{411DCAC3-23B0-4E0E-9F91-0FD14B7116D2}"/>
    <cellStyle name="Normal 5 2 3 3 2 2 2 2 3" xfId="25134" xr:uid="{9D28CFFD-3E59-447A-9244-06EB0A01C515}"/>
    <cellStyle name="Normal 5 2 3 3 2 2 2 2 4" xfId="33581" xr:uid="{EAE71EDB-5A3B-44E6-B29A-C2EEED94548F}"/>
    <cellStyle name="Normal 5 2 3 3 2 2 2 3" xfId="12470" xr:uid="{62651243-8889-46AA-B37E-AD97493DEF0A}"/>
    <cellStyle name="Normal 5 2 3 3 2 2 2 4" xfId="20917" xr:uid="{6EC55A23-09B5-46B9-AC25-CFDA5C6102DE}"/>
    <cellStyle name="Normal 5 2 3 3 2 2 2 5" xfId="29364" xr:uid="{AD8DEACE-4F2E-456F-869E-2A542EDD966D}"/>
    <cellStyle name="Normal 5 2 3 3 2 2 3" xfId="5216" xr:uid="{00000000-0005-0000-0000-000089180000}"/>
    <cellStyle name="Normal 5 2 3 3 2 2 3 2" xfId="14542" xr:uid="{54A7619C-2C33-4D30-9E8D-C5AD4F39A49D}"/>
    <cellStyle name="Normal 5 2 3 3 2 2 3 3" xfId="22989" xr:uid="{CD810B51-DB88-41B2-85E3-15F13634EC77}"/>
    <cellStyle name="Normal 5 2 3 3 2 2 3 4" xfId="31436" xr:uid="{2730420F-2DA1-4AFE-817E-DBB037140774}"/>
    <cellStyle name="Normal 5 2 3 3 2 2 4" xfId="9511" xr:uid="{75EF02F8-0397-4B30-A858-343ADCA7C08D}"/>
    <cellStyle name="Normal 5 2 3 3 2 2 5" xfId="10325" xr:uid="{837CDB83-222C-4B26-8BFE-7CD0A6FFD7A7}"/>
    <cellStyle name="Normal 5 2 3 3 2 2 6" xfId="18772" xr:uid="{F1490758-8620-4F6D-809B-60F88A3CD90E}"/>
    <cellStyle name="Normal 5 2 3 3 2 2 7" xfId="27219" xr:uid="{1B1A3FBA-EF2D-437D-8D99-13B4A29FE3C9}"/>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17100" xr:uid="{96EC4123-9479-4C15-A31D-095D62160BAA}"/>
    <cellStyle name="Normal 5 2 3 3 2 3 2 2 3" xfId="25547" xr:uid="{F703C8F9-0AA9-4882-A37D-9EABD32D5972}"/>
    <cellStyle name="Normal 5 2 3 3 2 3 2 2 4" xfId="33994" xr:uid="{98BF7CD6-8151-4E82-BE5A-3AE5B7977523}"/>
    <cellStyle name="Normal 5 2 3 3 2 3 2 3" xfId="12883" xr:uid="{8DA260CC-605F-467E-8599-829E62031597}"/>
    <cellStyle name="Normal 5 2 3 3 2 3 2 4" xfId="21330" xr:uid="{C9A3C801-6BFD-4FD9-A82C-B81F0C42BFD3}"/>
    <cellStyle name="Normal 5 2 3 3 2 3 2 5" xfId="29777" xr:uid="{3FC1EB14-022A-4932-BF99-0AE72A5C2539}"/>
    <cellStyle name="Normal 5 2 3 3 2 3 3" xfId="5629" xr:uid="{00000000-0005-0000-0000-00008D180000}"/>
    <cellStyle name="Normal 5 2 3 3 2 3 3 2" xfId="14955" xr:uid="{496DFAAE-7BA9-43CA-B759-BB4DEC3FD28F}"/>
    <cellStyle name="Normal 5 2 3 3 2 3 3 3" xfId="23402" xr:uid="{259DAABD-BF08-4682-A8BE-EECDACAE566A}"/>
    <cellStyle name="Normal 5 2 3 3 2 3 3 4" xfId="31849" xr:uid="{60449CDD-E26E-4FE5-AE7D-942BB21907AA}"/>
    <cellStyle name="Normal 5 2 3 3 2 3 4" xfId="10738" xr:uid="{E6C23507-5021-49F9-A27F-DB87387F7D99}"/>
    <cellStyle name="Normal 5 2 3 3 2 3 5" xfId="19185" xr:uid="{98F86D0D-8207-4D67-B1F2-5AC0C055391A}"/>
    <cellStyle name="Normal 5 2 3 3 2 3 6" xfId="27632" xr:uid="{270EF18C-A302-4A6A-BF79-5282340008FC}"/>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17513" xr:uid="{441D3E3B-132B-4403-965F-47576628A34E}"/>
    <cellStyle name="Normal 5 2 3 3 2 4 2 2 3" xfId="25960" xr:uid="{B7112FD2-E066-4E29-9F0A-9FD44E6AECAB}"/>
    <cellStyle name="Normal 5 2 3 3 2 4 2 2 4" xfId="34407" xr:uid="{EE8ACB76-4EB1-41DE-A904-88C7D5B4BA83}"/>
    <cellStyle name="Normal 5 2 3 3 2 4 2 3" xfId="13296" xr:uid="{EC3CD2C9-E1AA-4CD1-9F72-CDB22A74B070}"/>
    <cellStyle name="Normal 5 2 3 3 2 4 2 4" xfId="21743" xr:uid="{0880A549-FD5A-4E38-B19E-0E8613ACCB8D}"/>
    <cellStyle name="Normal 5 2 3 3 2 4 2 5" xfId="30190" xr:uid="{591B1822-A7ED-4EB4-BE35-1925003FAE0C}"/>
    <cellStyle name="Normal 5 2 3 3 2 4 3" xfId="6042" xr:uid="{00000000-0005-0000-0000-000091180000}"/>
    <cellStyle name="Normal 5 2 3 3 2 4 3 2" xfId="15368" xr:uid="{35E3DB88-59AA-4906-B1FB-2C0C2B5498D0}"/>
    <cellStyle name="Normal 5 2 3 3 2 4 3 3" xfId="23815" xr:uid="{017BBE74-D6C0-4DA5-B836-4A1679F38117}"/>
    <cellStyle name="Normal 5 2 3 3 2 4 3 4" xfId="32262" xr:uid="{3BAFB12E-247F-4888-84CD-77B9FDD90A5C}"/>
    <cellStyle name="Normal 5 2 3 3 2 4 4" xfId="11151" xr:uid="{036329E1-5DF5-44C6-8E41-F58B837E1060}"/>
    <cellStyle name="Normal 5 2 3 3 2 4 5" xfId="19598" xr:uid="{547A93B4-5D8A-4261-9868-2544BD61DA74}"/>
    <cellStyle name="Normal 5 2 3 3 2 4 6" xfId="28045" xr:uid="{0AA1E180-1979-4579-97A4-8D00BB6193BB}"/>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17926" xr:uid="{0839723C-CB07-4B4F-B2FD-D3B5121E29D7}"/>
    <cellStyle name="Normal 5 2 3 3 2 5 2 2 3" xfId="26373" xr:uid="{C1219B16-2CA0-4C3D-A671-CC073478011B}"/>
    <cellStyle name="Normal 5 2 3 3 2 5 2 2 4" xfId="34820" xr:uid="{EB3B1378-3C47-457F-B17C-68FBAFDEB727}"/>
    <cellStyle name="Normal 5 2 3 3 2 5 2 3" xfId="13709" xr:uid="{43D7570D-CBA0-4DEF-BD12-808CD8FED90E}"/>
    <cellStyle name="Normal 5 2 3 3 2 5 2 4" xfId="22156" xr:uid="{4D3E5EB7-C57D-48A0-BA48-2905AF2F2AB9}"/>
    <cellStyle name="Normal 5 2 3 3 2 5 2 5" xfId="30603" xr:uid="{270CBB33-F375-439C-8B45-111413B73A69}"/>
    <cellStyle name="Normal 5 2 3 3 2 5 3" xfId="6455" xr:uid="{00000000-0005-0000-0000-000095180000}"/>
    <cellStyle name="Normal 5 2 3 3 2 5 3 2" xfId="15781" xr:uid="{66748443-60B6-459A-B274-82C0FEB11D1C}"/>
    <cellStyle name="Normal 5 2 3 3 2 5 3 3" xfId="24228" xr:uid="{4FC3B6A0-397D-4CC1-8051-455016691CD3}"/>
    <cellStyle name="Normal 5 2 3 3 2 5 3 4" xfId="32675" xr:uid="{123156B8-230B-42DE-84C7-97C79CE29130}"/>
    <cellStyle name="Normal 5 2 3 3 2 5 4" xfId="11564" xr:uid="{FAE7B7D8-0D97-4DFE-A35F-510A6DBE53BE}"/>
    <cellStyle name="Normal 5 2 3 3 2 5 5" xfId="20011" xr:uid="{660D8801-A6B8-448A-A99F-A8EA5672F8DF}"/>
    <cellStyle name="Normal 5 2 3 3 2 5 6" xfId="28458" xr:uid="{B34A9C3B-BB1E-4A98-9C91-E491B6EB640C}"/>
    <cellStyle name="Normal 5 2 3 3 2 6" xfId="2585" xr:uid="{00000000-0005-0000-0000-000096180000}"/>
    <cellStyle name="Normal 5 2 3 3 2 6 2" xfId="6868" xr:uid="{00000000-0005-0000-0000-000097180000}"/>
    <cellStyle name="Normal 5 2 3 3 2 6 2 2" xfId="16194" xr:uid="{8BE0BDE9-CCBB-41E9-B451-6BF4699AFE15}"/>
    <cellStyle name="Normal 5 2 3 3 2 6 2 3" xfId="24641" xr:uid="{A58A5C55-866C-483E-83B2-118428BF2E97}"/>
    <cellStyle name="Normal 5 2 3 3 2 6 2 4" xfId="33088" xr:uid="{AF78B4A3-DF0B-43EE-B8D4-A8177BCE07A7}"/>
    <cellStyle name="Normal 5 2 3 3 2 6 3" xfId="11977" xr:uid="{906BFBA5-6590-45AF-83B4-4B9638C10BE0}"/>
    <cellStyle name="Normal 5 2 3 3 2 6 4" xfId="20424" xr:uid="{DDB95792-EAFB-4D6D-8F75-2B62A3BC7FAC}"/>
    <cellStyle name="Normal 5 2 3 3 2 6 5" xfId="28871" xr:uid="{7C837033-7148-493F-8386-32CD30022806}"/>
    <cellStyle name="Normal 5 2 3 3 2 7" xfId="4803" xr:uid="{00000000-0005-0000-0000-000098180000}"/>
    <cellStyle name="Normal 5 2 3 3 2 7 2" xfId="14129" xr:uid="{B57C7A82-8878-4715-9ABE-28F5A2D98CA2}"/>
    <cellStyle name="Normal 5 2 3 3 2 7 3" xfId="22576" xr:uid="{F8F474B3-B2FF-4276-B6B7-31E99DB59B0C}"/>
    <cellStyle name="Normal 5 2 3 3 2 7 4" xfId="31023" xr:uid="{936EF371-63D5-4FF8-B010-A5F6A58207FD}"/>
    <cellStyle name="Normal 5 2 3 3 2 8" xfId="9086" xr:uid="{442E5F61-F00C-4774-822F-4985AB3E1CB7}"/>
    <cellStyle name="Normal 5 2 3 3 2 9" xfId="9912" xr:uid="{EFED44BA-D270-47D0-B22E-4FC9AA6CA784}"/>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16686" xr:uid="{D6C85129-0B83-4AF7-B981-725DE3F07C5D}"/>
    <cellStyle name="Normal 5 2 3 3 3 2 2 3" xfId="25133" xr:uid="{5AE0C9B1-94F0-4ED8-AF55-F150E28C904D}"/>
    <cellStyle name="Normal 5 2 3 3 3 2 2 4" xfId="33580" xr:uid="{96BD4A69-449F-4E48-9921-3F4727F21A0C}"/>
    <cellStyle name="Normal 5 2 3 3 3 2 3" xfId="12469" xr:uid="{584C69E2-A7AA-437D-B845-A43D22BD25D6}"/>
    <cellStyle name="Normal 5 2 3 3 3 2 4" xfId="20916" xr:uid="{DAD6277E-E2B9-4C5D-B71F-080F9523F345}"/>
    <cellStyle name="Normal 5 2 3 3 3 2 5" xfId="29363" xr:uid="{CE784781-0BA4-4AED-9F5D-20933FCD867A}"/>
    <cellStyle name="Normal 5 2 3 3 3 3" xfId="5215" xr:uid="{00000000-0005-0000-0000-00009C180000}"/>
    <cellStyle name="Normal 5 2 3 3 3 3 2" xfId="14541" xr:uid="{A38CF417-503A-44D9-82D9-AAF41D996A03}"/>
    <cellStyle name="Normal 5 2 3 3 3 3 3" xfId="22988" xr:uid="{ED6DC49C-AB36-4435-B910-DEFBF185BC92}"/>
    <cellStyle name="Normal 5 2 3 3 3 3 4" xfId="31435" xr:uid="{7A234D20-D66F-4C59-A308-DC47B46DBC29}"/>
    <cellStyle name="Normal 5 2 3 3 3 4" xfId="9304" xr:uid="{2C783A77-F32A-4E64-807E-062B95DB0310}"/>
    <cellStyle name="Normal 5 2 3 3 3 5" xfId="10324" xr:uid="{C26F11AE-0330-4FA1-B5C7-6184DE76CFF7}"/>
    <cellStyle name="Normal 5 2 3 3 3 6" xfId="18771" xr:uid="{8C1FEA73-58E9-401F-BC01-9277E4DB3CFE}"/>
    <cellStyle name="Normal 5 2 3 3 3 7" xfId="27218" xr:uid="{3929D7B7-ED28-43FF-8DAF-BA642E6910E9}"/>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17099" xr:uid="{DD28AF39-AC58-4B03-83BC-2DA541EBB284}"/>
    <cellStyle name="Normal 5 2 3 3 4 2 2 3" xfId="25546" xr:uid="{266705C0-6A73-454C-BE5B-41B77AC3A052}"/>
    <cellStyle name="Normal 5 2 3 3 4 2 2 4" xfId="33993" xr:uid="{DB5DD758-3C84-49BE-9516-688972EA7DA6}"/>
    <cellStyle name="Normal 5 2 3 3 4 2 3" xfId="12882" xr:uid="{F9779C62-5A4A-4C0A-8CCC-866B1CE523E7}"/>
    <cellStyle name="Normal 5 2 3 3 4 2 4" xfId="21329" xr:uid="{CBEC064C-9B81-4EC5-80F0-C3EAB65A5EC4}"/>
    <cellStyle name="Normal 5 2 3 3 4 2 5" xfId="29776" xr:uid="{FCD26BF8-CEDB-4C99-9F95-99F09938EA9D}"/>
    <cellStyle name="Normal 5 2 3 3 4 3" xfId="5628" xr:uid="{00000000-0005-0000-0000-0000A0180000}"/>
    <cellStyle name="Normal 5 2 3 3 4 3 2" xfId="14954" xr:uid="{39E14DFA-2E54-4B8E-B047-20FEBC2D8EA9}"/>
    <cellStyle name="Normal 5 2 3 3 4 3 3" xfId="23401" xr:uid="{462B49BA-E2E3-48CA-9D77-F67C013446C9}"/>
    <cellStyle name="Normal 5 2 3 3 4 3 4" xfId="31848" xr:uid="{66711B57-CFCE-4F42-B641-708C3F111483}"/>
    <cellStyle name="Normal 5 2 3 3 4 4" xfId="10737" xr:uid="{E858B4E1-1BF5-48CB-9AB2-B668D21BE527}"/>
    <cellStyle name="Normal 5 2 3 3 4 5" xfId="19184" xr:uid="{24EE4D0E-7534-4B51-A5CA-2DF7721642F8}"/>
    <cellStyle name="Normal 5 2 3 3 4 6" xfId="27631" xr:uid="{96E0ECF6-AD29-4B74-BD64-A0D36B842D9B}"/>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17512" xr:uid="{44AF6050-71E6-44D0-89D7-3164CABD78C4}"/>
    <cellStyle name="Normal 5 2 3 3 5 2 2 3" xfId="25959" xr:uid="{ACE7AF27-9A18-4CDA-AF73-F4AED6353655}"/>
    <cellStyle name="Normal 5 2 3 3 5 2 2 4" xfId="34406" xr:uid="{A86BEFD5-5995-46A7-802C-3CF1D76FD11C}"/>
    <cellStyle name="Normal 5 2 3 3 5 2 3" xfId="13295" xr:uid="{F6FA6C0F-DBA4-4881-8A53-A159080D77EF}"/>
    <cellStyle name="Normal 5 2 3 3 5 2 4" xfId="21742" xr:uid="{924013DA-F796-461D-92DF-6173A2B195C3}"/>
    <cellStyle name="Normal 5 2 3 3 5 2 5" xfId="30189" xr:uid="{53DACAE5-855E-4CA2-946E-4953C0A90208}"/>
    <cellStyle name="Normal 5 2 3 3 5 3" xfId="6041" xr:uid="{00000000-0005-0000-0000-0000A4180000}"/>
    <cellStyle name="Normal 5 2 3 3 5 3 2" xfId="15367" xr:uid="{46985A42-16EF-42F2-A1EC-B334373F164F}"/>
    <cellStyle name="Normal 5 2 3 3 5 3 3" xfId="23814" xr:uid="{4FF2724A-BB91-45A1-B5F0-7A3473704C76}"/>
    <cellStyle name="Normal 5 2 3 3 5 3 4" xfId="32261" xr:uid="{3AC045FC-0FE6-4F7F-B20E-FC2D02731275}"/>
    <cellStyle name="Normal 5 2 3 3 5 4" xfId="11150" xr:uid="{E72AF19B-F80D-4DD9-B272-7E5FB6E4C6C8}"/>
    <cellStyle name="Normal 5 2 3 3 5 5" xfId="19597" xr:uid="{B4DCA9B8-142D-49A5-8278-0C20AACCDB58}"/>
    <cellStyle name="Normal 5 2 3 3 5 6" xfId="28044" xr:uid="{7EFC6247-389C-47C2-9C61-4A711D7BDFE1}"/>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17925" xr:uid="{98A6F4F8-5216-4C5B-AA56-9A917267FC7F}"/>
    <cellStyle name="Normal 5 2 3 3 6 2 2 3" xfId="26372" xr:uid="{0AFF6127-FE82-4FBB-A751-CB12F8A21578}"/>
    <cellStyle name="Normal 5 2 3 3 6 2 2 4" xfId="34819" xr:uid="{4969B5C9-777B-4BE4-AF15-02B03DB2F461}"/>
    <cellStyle name="Normal 5 2 3 3 6 2 3" xfId="13708" xr:uid="{0871CEBB-48FE-4344-B4D2-C4C3101C2907}"/>
    <cellStyle name="Normal 5 2 3 3 6 2 4" xfId="22155" xr:uid="{B6303C3B-1CA3-45E9-8B71-9ACBA02A0FF0}"/>
    <cellStyle name="Normal 5 2 3 3 6 2 5" xfId="30602" xr:uid="{8F948A48-D15F-46EB-A83D-A72AFAC76A6E}"/>
    <cellStyle name="Normal 5 2 3 3 6 3" xfId="6454" xr:uid="{00000000-0005-0000-0000-0000A8180000}"/>
    <cellStyle name="Normal 5 2 3 3 6 3 2" xfId="15780" xr:uid="{16A30930-51C9-4A4F-8A04-A11A0D5D51A0}"/>
    <cellStyle name="Normal 5 2 3 3 6 3 3" xfId="24227" xr:uid="{1A752C7E-F258-4331-8CA6-4F10D95619FB}"/>
    <cellStyle name="Normal 5 2 3 3 6 3 4" xfId="32674" xr:uid="{89DD8EF5-8EB3-45DB-BD59-71C001DAD594}"/>
    <cellStyle name="Normal 5 2 3 3 6 4" xfId="11563" xr:uid="{FA1F0042-9453-42F1-9FED-53DB26AD16ED}"/>
    <cellStyle name="Normal 5 2 3 3 6 5" xfId="20010" xr:uid="{B25E21A5-0E8D-4488-9058-AD92B1A63E3B}"/>
    <cellStyle name="Normal 5 2 3 3 6 6" xfId="28457" xr:uid="{5767306B-4ECA-409A-9195-52104B5B2440}"/>
    <cellStyle name="Normal 5 2 3 3 7" xfId="2584" xr:uid="{00000000-0005-0000-0000-0000A9180000}"/>
    <cellStyle name="Normal 5 2 3 3 7 2" xfId="6867" xr:uid="{00000000-0005-0000-0000-0000AA180000}"/>
    <cellStyle name="Normal 5 2 3 3 7 2 2" xfId="16193" xr:uid="{2897EBF0-B120-4BAE-B3FE-C7FDAE9B93A5}"/>
    <cellStyle name="Normal 5 2 3 3 7 2 3" xfId="24640" xr:uid="{0ACACF10-8B96-4491-8A10-050CB7E43E7D}"/>
    <cellStyle name="Normal 5 2 3 3 7 2 4" xfId="33087" xr:uid="{50BF4FF0-5B31-4C9E-AB3B-7146C5D1B1B9}"/>
    <cellStyle name="Normal 5 2 3 3 7 3" xfId="11976" xr:uid="{DD24A7F0-FC24-4D8A-9315-744D95284760}"/>
    <cellStyle name="Normal 5 2 3 3 7 4" xfId="20423" xr:uid="{F5653284-68EA-43B8-AB49-708AEE9C24C9}"/>
    <cellStyle name="Normal 5 2 3 3 7 5" xfId="28870" xr:uid="{31918306-74BD-437E-A3DA-8F579B1BE22A}"/>
    <cellStyle name="Normal 5 2 3 3 8" xfId="4802" xr:uid="{00000000-0005-0000-0000-0000AB180000}"/>
    <cellStyle name="Normal 5 2 3 3 8 2" xfId="14128" xr:uid="{E3C991CE-6F5C-475C-8575-EBE3BBD03711}"/>
    <cellStyle name="Normal 5 2 3 3 8 3" xfId="22575" xr:uid="{2ECEFFC9-2E69-4EB4-8825-3DA64291434E}"/>
    <cellStyle name="Normal 5 2 3 3 8 4" xfId="31022" xr:uid="{0E8DB711-E9E4-4C6B-9078-B2FBFFA4683C}"/>
    <cellStyle name="Normal 5 2 3 3 9" xfId="8879" xr:uid="{F521005C-E3E0-4B64-9C0A-0C510FB9AAB2}"/>
    <cellStyle name="Normal 5 2 3 4" xfId="431" xr:uid="{00000000-0005-0000-0000-0000AC180000}"/>
    <cellStyle name="Normal 5 2 3 4 10" xfId="18360" xr:uid="{3D610125-052D-426B-90A1-DB406633CE7C}"/>
    <cellStyle name="Normal 5 2 3 4 11" xfId="26807" xr:uid="{66414E4D-211A-4AFA-AECB-20C608C3DC05}"/>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16688" xr:uid="{F7BBDD45-A35A-4477-8D2D-4F056C4FE067}"/>
    <cellStyle name="Normal 5 2 3 4 2 2 2 3" xfId="25135" xr:uid="{30D5DDC0-E272-4897-A73A-277BE0E22FDD}"/>
    <cellStyle name="Normal 5 2 3 4 2 2 2 4" xfId="33582" xr:uid="{1BC78011-5AA5-4D9B-A85B-63CA377B1E65}"/>
    <cellStyle name="Normal 5 2 3 4 2 2 3" xfId="12471" xr:uid="{5DB985AD-2888-40FA-B28C-B12D2B526FA8}"/>
    <cellStyle name="Normal 5 2 3 4 2 2 4" xfId="20918" xr:uid="{BB095738-EE3C-4BB5-A25F-243F3279474B}"/>
    <cellStyle name="Normal 5 2 3 4 2 2 5" xfId="29365" xr:uid="{9C4A091F-3934-40D2-BB20-0476D0D2FA54}"/>
    <cellStyle name="Normal 5 2 3 4 2 3" xfId="5217" xr:uid="{00000000-0005-0000-0000-0000B0180000}"/>
    <cellStyle name="Normal 5 2 3 4 2 3 2" xfId="14543" xr:uid="{75EB8865-311D-47B3-A5D5-A745AAD26336}"/>
    <cellStyle name="Normal 5 2 3 4 2 3 3" xfId="22990" xr:uid="{0B44EA79-57BC-41D2-A1DF-2E8AC41BC19A}"/>
    <cellStyle name="Normal 5 2 3 4 2 3 4" xfId="31437" xr:uid="{F165D4FA-1AD9-425E-A02C-C53431DAAB77}"/>
    <cellStyle name="Normal 5 2 3 4 2 4" xfId="9408" xr:uid="{3B6F9C6F-3D7C-45F8-99FE-451C0F8CED36}"/>
    <cellStyle name="Normal 5 2 3 4 2 5" xfId="10326" xr:uid="{FBF16A42-1F88-49AC-ACA2-CBAA1A3A3C80}"/>
    <cellStyle name="Normal 5 2 3 4 2 6" xfId="18773" xr:uid="{E87FD20F-936B-4772-B103-D2556DBFEF53}"/>
    <cellStyle name="Normal 5 2 3 4 2 7" xfId="27220" xr:uid="{D59F96C5-FD13-451B-B431-D2AB6E5E59CD}"/>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17101" xr:uid="{1D72F6CC-4D73-47E4-949D-D420C522D290}"/>
    <cellStyle name="Normal 5 2 3 4 3 2 2 3" xfId="25548" xr:uid="{F1046473-64EC-414E-AD3B-F82DB896801C}"/>
    <cellStyle name="Normal 5 2 3 4 3 2 2 4" xfId="33995" xr:uid="{C518214A-FE60-45BA-8647-75ACE12D2101}"/>
    <cellStyle name="Normal 5 2 3 4 3 2 3" xfId="12884" xr:uid="{61D26329-1D44-4123-8A9A-B74204B4252F}"/>
    <cellStyle name="Normal 5 2 3 4 3 2 4" xfId="21331" xr:uid="{B829DB8F-3D87-4E28-8ADB-C9DDAE2B6E8C}"/>
    <cellStyle name="Normal 5 2 3 4 3 2 5" xfId="29778" xr:uid="{1753FDB7-07A8-494E-BA45-5D19B0C3F47B}"/>
    <cellStyle name="Normal 5 2 3 4 3 3" xfId="5630" xr:uid="{00000000-0005-0000-0000-0000B4180000}"/>
    <cellStyle name="Normal 5 2 3 4 3 3 2" xfId="14956" xr:uid="{385FDCD5-8205-404E-B344-1ED4ABD8C8B4}"/>
    <cellStyle name="Normal 5 2 3 4 3 3 3" xfId="23403" xr:uid="{3670AB59-13EF-47D5-B9BB-3636C25208B0}"/>
    <cellStyle name="Normal 5 2 3 4 3 3 4" xfId="31850" xr:uid="{3D2E4A5B-C517-49F2-8DF4-0159D89DC7BB}"/>
    <cellStyle name="Normal 5 2 3 4 3 4" xfId="10739" xr:uid="{B24BB64F-2FC8-46EB-9F14-C969734FB34A}"/>
    <cellStyle name="Normal 5 2 3 4 3 5" xfId="19186" xr:uid="{921A42BD-5868-445B-930E-6515C1082F50}"/>
    <cellStyle name="Normal 5 2 3 4 3 6" xfId="27633" xr:uid="{657818ED-D909-463D-B39F-B8E4B8FB062A}"/>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17514" xr:uid="{4E531AC9-1730-4090-9620-A4FA30C9E62C}"/>
    <cellStyle name="Normal 5 2 3 4 4 2 2 3" xfId="25961" xr:uid="{67460C67-2E4C-4E5C-A866-DD47F1DF4E81}"/>
    <cellStyle name="Normal 5 2 3 4 4 2 2 4" xfId="34408" xr:uid="{0837BED8-7D84-4B66-912E-D89142380C1A}"/>
    <cellStyle name="Normal 5 2 3 4 4 2 3" xfId="13297" xr:uid="{8BED5D95-E15E-478B-8134-9215FAD57D06}"/>
    <cellStyle name="Normal 5 2 3 4 4 2 4" xfId="21744" xr:uid="{564CB483-01F4-4E43-8822-79FCF5096387}"/>
    <cellStyle name="Normal 5 2 3 4 4 2 5" xfId="30191" xr:uid="{639FEC19-6C24-4CC6-B9A7-F1355A78F14C}"/>
    <cellStyle name="Normal 5 2 3 4 4 3" xfId="6043" xr:uid="{00000000-0005-0000-0000-0000B8180000}"/>
    <cellStyle name="Normal 5 2 3 4 4 3 2" xfId="15369" xr:uid="{0B75C314-954A-4125-8C5E-E5D3F42E0F20}"/>
    <cellStyle name="Normal 5 2 3 4 4 3 3" xfId="23816" xr:uid="{BEE11723-BF26-400D-B27B-8D422784B05C}"/>
    <cellStyle name="Normal 5 2 3 4 4 3 4" xfId="32263" xr:uid="{088BF1C5-8E32-4881-A597-3D5F8AB030CD}"/>
    <cellStyle name="Normal 5 2 3 4 4 4" xfId="11152" xr:uid="{391B09A2-6AF8-4350-9B6A-8CC40F261272}"/>
    <cellStyle name="Normal 5 2 3 4 4 5" xfId="19599" xr:uid="{632D18EC-10B1-45E1-9FA6-419A1D61665F}"/>
    <cellStyle name="Normal 5 2 3 4 4 6" xfId="28046" xr:uid="{A779F966-EA32-4348-92DA-440000D9BF4C}"/>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17927" xr:uid="{8EAACC26-0821-4485-82B2-45BA3032D78E}"/>
    <cellStyle name="Normal 5 2 3 4 5 2 2 3" xfId="26374" xr:uid="{3A6A315C-2CBC-45D0-B2DF-D13F0B7FD583}"/>
    <cellStyle name="Normal 5 2 3 4 5 2 2 4" xfId="34821" xr:uid="{21D272D2-C857-434C-8761-E866615295BB}"/>
    <cellStyle name="Normal 5 2 3 4 5 2 3" xfId="13710" xr:uid="{D152D7BE-6FFC-45F1-99C7-F954F03729A2}"/>
    <cellStyle name="Normal 5 2 3 4 5 2 4" xfId="22157" xr:uid="{E8DAE5B5-34FB-47E9-AB77-A8D0F3677C2A}"/>
    <cellStyle name="Normal 5 2 3 4 5 2 5" xfId="30604" xr:uid="{25FDF501-2391-4F70-98BB-79277BCE7F86}"/>
    <cellStyle name="Normal 5 2 3 4 5 3" xfId="6456" xr:uid="{00000000-0005-0000-0000-0000BC180000}"/>
    <cellStyle name="Normal 5 2 3 4 5 3 2" xfId="15782" xr:uid="{A5B1DD3F-FF2D-4431-8F28-DBD495EF98D4}"/>
    <cellStyle name="Normal 5 2 3 4 5 3 3" xfId="24229" xr:uid="{D86ED87C-773A-459A-BD9C-2F09BC6ADF40}"/>
    <cellStyle name="Normal 5 2 3 4 5 3 4" xfId="32676" xr:uid="{6E21A37A-FB47-452E-880D-DF53B24088AC}"/>
    <cellStyle name="Normal 5 2 3 4 5 4" xfId="11565" xr:uid="{86A252F2-3032-42F6-93F2-83BED1C75855}"/>
    <cellStyle name="Normal 5 2 3 4 5 5" xfId="20012" xr:uid="{BCB59C3B-B9AA-4B3A-95C9-3D09C824C19C}"/>
    <cellStyle name="Normal 5 2 3 4 5 6" xfId="28459" xr:uid="{940ECF69-CDF9-4790-B13A-AF17B8F3C340}"/>
    <cellStyle name="Normal 5 2 3 4 6" xfId="2586" xr:uid="{00000000-0005-0000-0000-0000BD180000}"/>
    <cellStyle name="Normal 5 2 3 4 6 2" xfId="6869" xr:uid="{00000000-0005-0000-0000-0000BE180000}"/>
    <cellStyle name="Normal 5 2 3 4 6 2 2" xfId="16195" xr:uid="{FC4BF3A5-C400-4F82-BACA-45BC9AA522BC}"/>
    <cellStyle name="Normal 5 2 3 4 6 2 3" xfId="24642" xr:uid="{C2A9D5EC-8217-4B03-9822-02F33885996C}"/>
    <cellStyle name="Normal 5 2 3 4 6 2 4" xfId="33089" xr:uid="{F2FD9046-89DB-4610-A32D-519241C4F4BA}"/>
    <cellStyle name="Normal 5 2 3 4 6 3" xfId="11978" xr:uid="{B4587853-B600-4FA4-8402-B48586D5947F}"/>
    <cellStyle name="Normal 5 2 3 4 6 4" xfId="20425" xr:uid="{69B13DB6-5958-42B0-818F-A1FE8E350E1F}"/>
    <cellStyle name="Normal 5 2 3 4 6 5" xfId="28872" xr:uid="{416B9680-E89E-49AB-9F11-8119F75CB5C2}"/>
    <cellStyle name="Normal 5 2 3 4 7" xfId="4804" xr:uid="{00000000-0005-0000-0000-0000BF180000}"/>
    <cellStyle name="Normal 5 2 3 4 7 2" xfId="14130" xr:uid="{B873168D-B8F0-481D-96EA-BBF47331E71C}"/>
    <cellStyle name="Normal 5 2 3 4 7 3" xfId="22577" xr:uid="{E77BC3A3-62B8-4BED-95CE-56DFCC4D36D8}"/>
    <cellStyle name="Normal 5 2 3 4 7 4" xfId="31024" xr:uid="{20075746-9559-4A1D-8D18-2AA7FE75C16B}"/>
    <cellStyle name="Normal 5 2 3 4 8" xfId="8983" xr:uid="{07388FCC-03DE-4CE8-89CB-9C92F8174E24}"/>
    <cellStyle name="Normal 5 2 3 4 9" xfId="9913" xr:uid="{36506E40-C525-4001-ACFC-4020C929B048}"/>
    <cellStyle name="Normal 5 2 3 5" xfId="898" xr:uid="{00000000-0005-0000-0000-0000C0180000}"/>
    <cellStyle name="Normal 5 2 3 5 2" xfId="3133" xr:uid="{00000000-0005-0000-0000-0000C1180000}"/>
    <cellStyle name="Normal 5 2 3 5 2 2" xfId="7355" xr:uid="{00000000-0005-0000-0000-0000C2180000}"/>
    <cellStyle name="Normal 5 2 3 5 2 2 2" xfId="16681" xr:uid="{D1C6C899-4447-49AA-B906-2FC5542E180B}"/>
    <cellStyle name="Normal 5 2 3 5 2 2 3" xfId="25128" xr:uid="{5943FE1F-70D1-46CA-8B38-2C356CCA844C}"/>
    <cellStyle name="Normal 5 2 3 5 2 2 4" xfId="33575" xr:uid="{CF5F1B9E-45DC-49D3-B9D8-C1AE6F4634E3}"/>
    <cellStyle name="Normal 5 2 3 5 2 3" xfId="12464" xr:uid="{8183EF31-3D87-4675-8D07-681977430732}"/>
    <cellStyle name="Normal 5 2 3 5 2 4" xfId="20911" xr:uid="{F8B82487-C62D-4113-8CF7-7193D3FB18B3}"/>
    <cellStyle name="Normal 5 2 3 5 2 5" xfId="29358" xr:uid="{C64DE6DB-0A9D-4710-A8A3-4C1DE67EF85F}"/>
    <cellStyle name="Normal 5 2 3 5 3" xfId="5210" xr:uid="{00000000-0005-0000-0000-0000C3180000}"/>
    <cellStyle name="Normal 5 2 3 5 3 2" xfId="14536" xr:uid="{2B1B9F0E-2E2B-47A1-A5A3-C9E80DF682BF}"/>
    <cellStyle name="Normal 5 2 3 5 3 3" xfId="22983" xr:uid="{5C5BECAD-6AD0-4402-9FC9-2D42F96B24D6}"/>
    <cellStyle name="Normal 5 2 3 5 3 4" xfId="31430" xr:uid="{7E4AB1D7-D4B0-4E50-8052-7C5C3811C2E7}"/>
    <cellStyle name="Normal 5 2 3 5 4" xfId="9200" xr:uid="{13DE827A-4007-427A-9869-ADBBE6B70993}"/>
    <cellStyle name="Normal 5 2 3 5 5" xfId="10319" xr:uid="{8E80B023-178E-400D-90FE-C6295BDD1062}"/>
    <cellStyle name="Normal 5 2 3 5 6" xfId="18766" xr:uid="{7E508914-5DB9-4623-9768-CFB49DE4AA41}"/>
    <cellStyle name="Normal 5 2 3 5 7" xfId="27213" xr:uid="{E525E9A6-B7E9-4E6D-B475-5D7502C2F47C}"/>
    <cellStyle name="Normal 5 2 3 6" xfId="1316" xr:uid="{00000000-0005-0000-0000-0000C4180000}"/>
    <cellStyle name="Normal 5 2 3 6 2" xfId="3546" xr:uid="{00000000-0005-0000-0000-0000C5180000}"/>
    <cellStyle name="Normal 5 2 3 6 2 2" xfId="7768" xr:uid="{00000000-0005-0000-0000-0000C6180000}"/>
    <cellStyle name="Normal 5 2 3 6 2 2 2" xfId="17094" xr:uid="{CEB60931-4094-4E8D-89EB-31CEBF71E5B3}"/>
    <cellStyle name="Normal 5 2 3 6 2 2 3" xfId="25541" xr:uid="{A32895CA-081A-4801-8A7F-3970F6417FF5}"/>
    <cellStyle name="Normal 5 2 3 6 2 2 4" xfId="33988" xr:uid="{C49075E3-CF9A-4AC4-BD56-F8C26612228A}"/>
    <cellStyle name="Normal 5 2 3 6 2 3" xfId="12877" xr:uid="{F1240E08-7AFD-4CD4-A133-1E269345D491}"/>
    <cellStyle name="Normal 5 2 3 6 2 4" xfId="21324" xr:uid="{F75E178B-2E4F-4375-9A78-8897157328AF}"/>
    <cellStyle name="Normal 5 2 3 6 2 5" xfId="29771" xr:uid="{3735AC3E-26CA-4C83-9AA0-8A22BD22B351}"/>
    <cellStyle name="Normal 5 2 3 6 3" xfId="5623" xr:uid="{00000000-0005-0000-0000-0000C7180000}"/>
    <cellStyle name="Normal 5 2 3 6 3 2" xfId="14949" xr:uid="{4ECB8B54-AD08-4A44-81D9-D11C065BFFCF}"/>
    <cellStyle name="Normal 5 2 3 6 3 3" xfId="23396" xr:uid="{1BCD3EA0-A642-4271-AB28-D6517BD1CD5A}"/>
    <cellStyle name="Normal 5 2 3 6 3 4" xfId="31843" xr:uid="{4819E67D-70CD-4775-A162-7CE943AF4C2C}"/>
    <cellStyle name="Normal 5 2 3 6 4" xfId="10732" xr:uid="{E8BE784C-EC16-475E-AA66-5FF4EBAE2BC4}"/>
    <cellStyle name="Normal 5 2 3 6 5" xfId="19179" xr:uid="{FD0D1F1B-CBDC-4754-8404-B6A9E81DFCF8}"/>
    <cellStyle name="Normal 5 2 3 6 6" xfId="27626" xr:uid="{C7BD523E-C402-4181-AF36-4515BEB2A922}"/>
    <cellStyle name="Normal 5 2 3 7" xfId="1729" xr:uid="{00000000-0005-0000-0000-0000C8180000}"/>
    <cellStyle name="Normal 5 2 3 7 2" xfId="3959" xr:uid="{00000000-0005-0000-0000-0000C9180000}"/>
    <cellStyle name="Normal 5 2 3 7 2 2" xfId="8181" xr:uid="{00000000-0005-0000-0000-0000CA180000}"/>
    <cellStyle name="Normal 5 2 3 7 2 2 2" xfId="17507" xr:uid="{4282FEC0-8A18-4964-B0CB-C2021971C21E}"/>
    <cellStyle name="Normal 5 2 3 7 2 2 3" xfId="25954" xr:uid="{C38C9BDA-90BC-4BC9-BDFB-38A89A0AF425}"/>
    <cellStyle name="Normal 5 2 3 7 2 2 4" xfId="34401" xr:uid="{9492AB75-933A-42A7-A9FF-31B3FAEE037F}"/>
    <cellStyle name="Normal 5 2 3 7 2 3" xfId="13290" xr:uid="{C01C765E-88D1-4F37-94FE-3689D623F504}"/>
    <cellStyle name="Normal 5 2 3 7 2 4" xfId="21737" xr:uid="{06E70592-8554-4907-9B5F-D7986599447F}"/>
    <cellStyle name="Normal 5 2 3 7 2 5" xfId="30184" xr:uid="{919A5D30-E289-4E7E-B936-4F677515597E}"/>
    <cellStyle name="Normal 5 2 3 7 3" xfId="6036" xr:uid="{00000000-0005-0000-0000-0000CB180000}"/>
    <cellStyle name="Normal 5 2 3 7 3 2" xfId="15362" xr:uid="{C0A753E2-1908-408C-8CC0-A9918AF35CF2}"/>
    <cellStyle name="Normal 5 2 3 7 3 3" xfId="23809" xr:uid="{2878558B-7315-4FAB-AB96-B1A97D8D906E}"/>
    <cellStyle name="Normal 5 2 3 7 3 4" xfId="32256" xr:uid="{A9F7435D-2167-4234-AF7B-066210E54CBA}"/>
    <cellStyle name="Normal 5 2 3 7 4" xfId="11145" xr:uid="{D5E3E0FC-552F-4651-8167-E4671539C53A}"/>
    <cellStyle name="Normal 5 2 3 7 5" xfId="19592" xr:uid="{22AEFEEB-C4C4-4873-9963-C816F0E1000F}"/>
    <cellStyle name="Normal 5 2 3 7 6" xfId="28039" xr:uid="{82773C58-1C56-4625-AE49-3E15FD610C27}"/>
    <cellStyle name="Normal 5 2 3 8" xfId="2143" xr:uid="{00000000-0005-0000-0000-0000CC180000}"/>
    <cellStyle name="Normal 5 2 3 8 2" xfId="4372" xr:uid="{00000000-0005-0000-0000-0000CD180000}"/>
    <cellStyle name="Normal 5 2 3 8 2 2" xfId="8594" xr:uid="{00000000-0005-0000-0000-0000CE180000}"/>
    <cellStyle name="Normal 5 2 3 8 2 2 2" xfId="17920" xr:uid="{B0D473D7-3D19-4396-82A2-263ED8BDBCFF}"/>
    <cellStyle name="Normal 5 2 3 8 2 2 3" xfId="26367" xr:uid="{4E32A333-2458-44E2-8C1F-3138F25C1043}"/>
    <cellStyle name="Normal 5 2 3 8 2 2 4" xfId="34814" xr:uid="{8CCEF98B-E540-44B9-9ECE-C22F46007651}"/>
    <cellStyle name="Normal 5 2 3 8 2 3" xfId="13703" xr:uid="{8C1FAA17-FD11-43EE-801E-FD76C27A9EAE}"/>
    <cellStyle name="Normal 5 2 3 8 2 4" xfId="22150" xr:uid="{4FF8916D-ACA2-47BE-B932-04B1F3A962AF}"/>
    <cellStyle name="Normal 5 2 3 8 2 5" xfId="30597" xr:uid="{63DC271C-88F2-4FD1-B003-09BD246A0F28}"/>
    <cellStyle name="Normal 5 2 3 8 3" xfId="6449" xr:uid="{00000000-0005-0000-0000-0000CF180000}"/>
    <cellStyle name="Normal 5 2 3 8 3 2" xfId="15775" xr:uid="{7194317B-4DB6-4A8B-B7F2-FAB812592072}"/>
    <cellStyle name="Normal 5 2 3 8 3 3" xfId="24222" xr:uid="{199BC30D-4240-4A19-954B-CB964D9AFBF6}"/>
    <cellStyle name="Normal 5 2 3 8 3 4" xfId="32669" xr:uid="{C94A47B8-1473-4A50-BE55-FE4DFEFAB0A2}"/>
    <cellStyle name="Normal 5 2 3 8 4" xfId="11558" xr:uid="{F7C6B25B-2F4A-40A0-BD26-2A9D933DFE78}"/>
    <cellStyle name="Normal 5 2 3 8 5" xfId="20005" xr:uid="{7C03748C-DD1A-4D07-B7B3-580527EBCD8A}"/>
    <cellStyle name="Normal 5 2 3 8 6" xfId="28452" xr:uid="{9AA88841-024F-4C64-9D11-E038D12C6C73}"/>
    <cellStyle name="Normal 5 2 3 9" xfId="2579" xr:uid="{00000000-0005-0000-0000-0000D0180000}"/>
    <cellStyle name="Normal 5 2 3 9 2" xfId="6862" xr:uid="{00000000-0005-0000-0000-0000D1180000}"/>
    <cellStyle name="Normal 5 2 3 9 2 2" xfId="16188" xr:uid="{88EDB96C-ABD7-426B-B0B4-D4E3B0C27FFF}"/>
    <cellStyle name="Normal 5 2 3 9 2 3" xfId="24635" xr:uid="{B7E976A3-72D3-4A3E-B57B-7C6548EA74B8}"/>
    <cellStyle name="Normal 5 2 3 9 2 4" xfId="33082" xr:uid="{B2C49D19-B5CC-4FE1-8A69-77926A2A8C48}"/>
    <cellStyle name="Normal 5 2 3 9 3" xfId="11971" xr:uid="{549B3638-A447-49AF-9269-87C00D604D95}"/>
    <cellStyle name="Normal 5 2 3 9 4" xfId="20418" xr:uid="{CA26BACF-F3AE-44DB-A175-D3C39639004E}"/>
    <cellStyle name="Normal 5 2 3 9 5" xfId="28865" xr:uid="{11C70BF8-572A-4AEC-88C7-2C0D3C4AA529}"/>
    <cellStyle name="Normal 5 2 4" xfId="432" xr:uid="{00000000-0005-0000-0000-0000D2180000}"/>
    <cellStyle name="Normal 5 2 4 10" xfId="8827" xr:uid="{1EC4F605-F0BA-487E-A3C0-2CBAE7C22D8A}"/>
    <cellStyle name="Normal 5 2 4 11" xfId="9914" xr:uid="{99D53F93-F7B1-409E-8202-11A84D483DCF}"/>
    <cellStyle name="Normal 5 2 4 12" xfId="18361" xr:uid="{F0A24052-10E5-42D5-86B6-CDCF9DA6BAA9}"/>
    <cellStyle name="Normal 5 2 4 13" xfId="26808" xr:uid="{61EA7D24-9B52-48A9-B6EC-05E1E896AFF8}"/>
    <cellStyle name="Normal 5 2 4 2" xfId="433" xr:uid="{00000000-0005-0000-0000-0000D3180000}"/>
    <cellStyle name="Normal 5 2 4 2 10" xfId="9915" xr:uid="{B9C2F236-0422-45CA-88A1-95B0FD4E7212}"/>
    <cellStyle name="Normal 5 2 4 2 11" xfId="18362" xr:uid="{6256EB76-5776-449E-8490-FCD75D6DB2A7}"/>
    <cellStyle name="Normal 5 2 4 2 12" xfId="26809" xr:uid="{77AFF317-657E-444A-92B8-4589173127BB}"/>
    <cellStyle name="Normal 5 2 4 2 2" xfId="434" xr:uid="{00000000-0005-0000-0000-0000D4180000}"/>
    <cellStyle name="Normal 5 2 4 2 2 10" xfId="18363" xr:uid="{23476573-8F12-45EB-812F-9209C2EC1165}"/>
    <cellStyle name="Normal 5 2 4 2 2 11" xfId="26810" xr:uid="{72F53ACB-36FC-42A7-9399-41034643D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16691" xr:uid="{FCFAF828-51F6-4C44-9DAF-53D45F4F12CC}"/>
    <cellStyle name="Normal 5 2 4 2 2 2 2 2 3" xfId="25138" xr:uid="{1C075CFE-8BFD-420E-AD25-731909171275}"/>
    <cellStyle name="Normal 5 2 4 2 2 2 2 2 4" xfId="33585" xr:uid="{653F517E-6D48-44F9-921F-F9B33C0B6E50}"/>
    <cellStyle name="Normal 5 2 4 2 2 2 2 3" xfId="12474" xr:uid="{C5760BA3-1F93-448F-BDB9-799687B1C8E6}"/>
    <cellStyle name="Normal 5 2 4 2 2 2 2 4" xfId="20921" xr:uid="{A26120D5-E17A-4142-8196-CDE8718103EA}"/>
    <cellStyle name="Normal 5 2 4 2 2 2 2 5" xfId="29368" xr:uid="{90BCA50D-8064-4763-91EA-91F1E98E2F26}"/>
    <cellStyle name="Normal 5 2 4 2 2 2 3" xfId="5220" xr:uid="{00000000-0005-0000-0000-0000D8180000}"/>
    <cellStyle name="Normal 5 2 4 2 2 2 3 2" xfId="14546" xr:uid="{13B9552F-C986-499D-836E-8352838E6207}"/>
    <cellStyle name="Normal 5 2 4 2 2 2 3 3" xfId="22993" xr:uid="{48D7EDDD-7F31-44B0-ADAF-202E436D59CF}"/>
    <cellStyle name="Normal 5 2 4 2 2 2 3 4" xfId="31440" xr:uid="{7F0FF096-CC59-42C0-A59D-5B30644EDA3F}"/>
    <cellStyle name="Normal 5 2 4 2 2 2 4" xfId="9562" xr:uid="{5E243FB4-F3B1-4B34-B377-1444454AD19E}"/>
    <cellStyle name="Normal 5 2 4 2 2 2 5" xfId="10329" xr:uid="{8FB193F6-EFE8-49C9-B702-93B6F6AF3E2C}"/>
    <cellStyle name="Normal 5 2 4 2 2 2 6" xfId="18776" xr:uid="{F6700CBD-1F60-4AF8-8A59-D47DA74FC84E}"/>
    <cellStyle name="Normal 5 2 4 2 2 2 7" xfId="27223" xr:uid="{5DEC5549-684E-44D9-9E25-8F2EC00ABE58}"/>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17104" xr:uid="{8021B281-FE08-4AF6-9AB9-05910FF00D97}"/>
    <cellStyle name="Normal 5 2 4 2 2 3 2 2 3" xfId="25551" xr:uid="{80BFFEE3-AB5B-4F79-9FCA-3562D02297EE}"/>
    <cellStyle name="Normal 5 2 4 2 2 3 2 2 4" xfId="33998" xr:uid="{14DEEC0D-612F-47AB-A711-0E304BF305E9}"/>
    <cellStyle name="Normal 5 2 4 2 2 3 2 3" xfId="12887" xr:uid="{586A8EA5-8CD5-4A5A-B304-5BA95B308C32}"/>
    <cellStyle name="Normal 5 2 4 2 2 3 2 4" xfId="21334" xr:uid="{4BFF2DD1-25EB-4D3C-9529-280DF60AA183}"/>
    <cellStyle name="Normal 5 2 4 2 2 3 2 5" xfId="29781" xr:uid="{BAE38A07-1EB9-44DE-B121-3D67AF41882E}"/>
    <cellStyle name="Normal 5 2 4 2 2 3 3" xfId="5633" xr:uid="{00000000-0005-0000-0000-0000DC180000}"/>
    <cellStyle name="Normal 5 2 4 2 2 3 3 2" xfId="14959" xr:uid="{47F6B2A8-B428-4503-AF27-4EA8C11D6844}"/>
    <cellStyle name="Normal 5 2 4 2 2 3 3 3" xfId="23406" xr:uid="{1C6C639D-4139-46BF-8A77-6D3DE3565A8A}"/>
    <cellStyle name="Normal 5 2 4 2 2 3 3 4" xfId="31853" xr:uid="{4D6AEAF0-5C19-41FB-BACC-C45FBB8E80D1}"/>
    <cellStyle name="Normal 5 2 4 2 2 3 4" xfId="10742" xr:uid="{C5F3B807-4692-4A34-9BD7-754791061FFF}"/>
    <cellStyle name="Normal 5 2 4 2 2 3 5" xfId="19189" xr:uid="{77A35636-3186-4163-9596-4054E38B2ED8}"/>
    <cellStyle name="Normal 5 2 4 2 2 3 6" xfId="27636" xr:uid="{4008C10C-982F-4C17-A8FF-DC49BE19724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17517" xr:uid="{9476D839-1944-420F-90CB-DD18262D68E2}"/>
    <cellStyle name="Normal 5 2 4 2 2 4 2 2 3" xfId="25964" xr:uid="{07402AF3-A361-41DD-AB2A-37392524B65B}"/>
    <cellStyle name="Normal 5 2 4 2 2 4 2 2 4" xfId="34411" xr:uid="{339E1556-A4FC-46F3-8449-412239B6CE71}"/>
    <cellStyle name="Normal 5 2 4 2 2 4 2 3" xfId="13300" xr:uid="{CF6190F3-2187-499A-9250-692E43F6772F}"/>
    <cellStyle name="Normal 5 2 4 2 2 4 2 4" xfId="21747" xr:uid="{A8D93675-3504-4C96-B601-9DD7EE4FFDC1}"/>
    <cellStyle name="Normal 5 2 4 2 2 4 2 5" xfId="30194" xr:uid="{1B354887-AA1B-4700-8DF2-7A65D55D87CF}"/>
    <cellStyle name="Normal 5 2 4 2 2 4 3" xfId="6046" xr:uid="{00000000-0005-0000-0000-0000E0180000}"/>
    <cellStyle name="Normal 5 2 4 2 2 4 3 2" xfId="15372" xr:uid="{282E1761-DF67-49CD-A445-C65FDA4BCF0B}"/>
    <cellStyle name="Normal 5 2 4 2 2 4 3 3" xfId="23819" xr:uid="{763B4DD9-6A69-4333-9D2F-C93481870839}"/>
    <cellStyle name="Normal 5 2 4 2 2 4 3 4" xfId="32266" xr:uid="{72C3378D-469B-4585-8A34-B336B7CE1E43}"/>
    <cellStyle name="Normal 5 2 4 2 2 4 4" xfId="11155" xr:uid="{D0355836-68A5-4B3B-9ED5-959A5F747B91}"/>
    <cellStyle name="Normal 5 2 4 2 2 4 5" xfId="19602" xr:uid="{DDCC989C-A61F-410F-920E-24CF87A8BAB1}"/>
    <cellStyle name="Normal 5 2 4 2 2 4 6" xfId="28049" xr:uid="{3F4EE2E0-08FA-407C-882A-5F007ED125CA}"/>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17930" xr:uid="{862ACE65-692F-4747-98B1-05FFBFEDEA18}"/>
    <cellStyle name="Normal 5 2 4 2 2 5 2 2 3" xfId="26377" xr:uid="{B5D2D8C2-BE6D-4493-A613-8B0E417F8540}"/>
    <cellStyle name="Normal 5 2 4 2 2 5 2 2 4" xfId="34824" xr:uid="{F1215927-4F5B-411C-BF37-98B2EE88AA27}"/>
    <cellStyle name="Normal 5 2 4 2 2 5 2 3" xfId="13713" xr:uid="{B7157DDA-84FF-431C-9432-30364FD37545}"/>
    <cellStyle name="Normal 5 2 4 2 2 5 2 4" xfId="22160" xr:uid="{664F1B08-EA14-4C53-B7DF-8225D5859833}"/>
    <cellStyle name="Normal 5 2 4 2 2 5 2 5" xfId="30607" xr:uid="{33FEC203-D680-444A-A6EC-83705B48AC22}"/>
    <cellStyle name="Normal 5 2 4 2 2 5 3" xfId="6459" xr:uid="{00000000-0005-0000-0000-0000E4180000}"/>
    <cellStyle name="Normal 5 2 4 2 2 5 3 2" xfId="15785" xr:uid="{24054D01-6A30-4D47-97CE-9D7F4E94803D}"/>
    <cellStyle name="Normal 5 2 4 2 2 5 3 3" xfId="24232" xr:uid="{6E0B0180-F6B1-4224-8B60-8796BC786FC3}"/>
    <cellStyle name="Normal 5 2 4 2 2 5 3 4" xfId="32679" xr:uid="{1D86C947-652F-4518-B01A-E3E9AA91D032}"/>
    <cellStyle name="Normal 5 2 4 2 2 5 4" xfId="11568" xr:uid="{A3333506-B776-4DAC-BAB0-92C314614755}"/>
    <cellStyle name="Normal 5 2 4 2 2 5 5" xfId="20015" xr:uid="{8F996D87-A808-4DCC-813E-CE9049ACC879}"/>
    <cellStyle name="Normal 5 2 4 2 2 5 6" xfId="28462" xr:uid="{4B4B7508-3C36-4148-BBC9-1D006BECB301}"/>
    <cellStyle name="Normal 5 2 4 2 2 6" xfId="2589" xr:uid="{00000000-0005-0000-0000-0000E5180000}"/>
    <cellStyle name="Normal 5 2 4 2 2 6 2" xfId="6872" xr:uid="{00000000-0005-0000-0000-0000E6180000}"/>
    <cellStyle name="Normal 5 2 4 2 2 6 2 2" xfId="16198" xr:uid="{5A0C1BFB-27C4-44FE-B1ED-51686F14AFB5}"/>
    <cellStyle name="Normal 5 2 4 2 2 6 2 3" xfId="24645" xr:uid="{E55DA2E6-665A-4F45-A4AF-A2B7EC982973}"/>
    <cellStyle name="Normal 5 2 4 2 2 6 2 4" xfId="33092" xr:uid="{79916915-0509-468A-8813-006D6E1F4EE3}"/>
    <cellStyle name="Normal 5 2 4 2 2 6 3" xfId="11981" xr:uid="{0EC9B733-D349-46E4-86E5-06B6B0D2C863}"/>
    <cellStyle name="Normal 5 2 4 2 2 6 4" xfId="20428" xr:uid="{08BA6702-FA50-4529-8B11-26EBB0E50777}"/>
    <cellStyle name="Normal 5 2 4 2 2 6 5" xfId="28875" xr:uid="{0EAA5DEB-2BA8-488F-AB2F-937A33289095}"/>
    <cellStyle name="Normal 5 2 4 2 2 7" xfId="4807" xr:uid="{00000000-0005-0000-0000-0000E7180000}"/>
    <cellStyle name="Normal 5 2 4 2 2 7 2" xfId="14133" xr:uid="{4C140311-47BE-4967-B7F3-DE517BA699A8}"/>
    <cellStyle name="Normal 5 2 4 2 2 7 3" xfId="22580" xr:uid="{6CFBD94A-155F-4BB3-A994-ADB8A8647643}"/>
    <cellStyle name="Normal 5 2 4 2 2 7 4" xfId="31027" xr:uid="{5B4D509A-4B80-4092-A476-E1B21E6566A2}"/>
    <cellStyle name="Normal 5 2 4 2 2 8" xfId="9137" xr:uid="{C80E4B27-40CA-4953-ABB8-99E2C575F775}"/>
    <cellStyle name="Normal 5 2 4 2 2 9" xfId="9916" xr:uid="{E8D2BE89-D312-4A80-BC26-C438FBD411BF}"/>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16690" xr:uid="{3B05ED25-C851-4EE9-B139-C44735ABDDFA}"/>
    <cellStyle name="Normal 5 2 4 2 3 2 2 3" xfId="25137" xr:uid="{E85046B6-D221-4D37-B615-536B38CD00A5}"/>
    <cellStyle name="Normal 5 2 4 2 3 2 2 4" xfId="33584" xr:uid="{6E5FC3BC-5358-40C9-ACEB-CF4AFB17548B}"/>
    <cellStyle name="Normal 5 2 4 2 3 2 3" xfId="12473" xr:uid="{38F523FC-7E50-4221-A98D-5817B3EFE1E8}"/>
    <cellStyle name="Normal 5 2 4 2 3 2 4" xfId="20920" xr:uid="{69059F7D-68BF-48AD-9F7F-29D6B25D591A}"/>
    <cellStyle name="Normal 5 2 4 2 3 2 5" xfId="29367" xr:uid="{92599B75-24A3-4C6D-8279-EEACF0E26783}"/>
    <cellStyle name="Normal 5 2 4 2 3 3" xfId="5219" xr:uid="{00000000-0005-0000-0000-0000EB180000}"/>
    <cellStyle name="Normal 5 2 4 2 3 3 2" xfId="14545" xr:uid="{2E840C9F-4900-4EDC-A271-B0930DA13D4D}"/>
    <cellStyle name="Normal 5 2 4 2 3 3 3" xfId="22992" xr:uid="{24B95240-3667-4358-8D3F-0F7BB570DDA5}"/>
    <cellStyle name="Normal 5 2 4 2 3 3 4" xfId="31439" xr:uid="{68C21AAC-1E26-4BA4-9901-C57168C6A676}"/>
    <cellStyle name="Normal 5 2 4 2 3 4" xfId="9355" xr:uid="{9D38A6AA-2F63-4275-9FB8-F86A15F6A4D3}"/>
    <cellStyle name="Normal 5 2 4 2 3 5" xfId="10328" xr:uid="{C2C7753E-202D-4ABA-9992-E757841E18A8}"/>
    <cellStyle name="Normal 5 2 4 2 3 6" xfId="18775" xr:uid="{6A4190FA-4421-4BF1-BB36-9CB53BDF5478}"/>
    <cellStyle name="Normal 5 2 4 2 3 7" xfId="27222" xr:uid="{904FE20B-F0A9-4FE6-A6E1-40351C29F070}"/>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17103" xr:uid="{A7E7C2F3-C67B-4C03-8CDF-167744B5D8AA}"/>
    <cellStyle name="Normal 5 2 4 2 4 2 2 3" xfId="25550" xr:uid="{12443A95-A0A6-430E-9FB0-825801F8F6DE}"/>
    <cellStyle name="Normal 5 2 4 2 4 2 2 4" xfId="33997" xr:uid="{9AAE79E1-D077-4584-9BF9-45F5B275ED02}"/>
    <cellStyle name="Normal 5 2 4 2 4 2 3" xfId="12886" xr:uid="{4226434A-5CE2-4EA0-BF09-2BB1DDFB41DB}"/>
    <cellStyle name="Normal 5 2 4 2 4 2 4" xfId="21333" xr:uid="{894BBD29-A011-4C87-84D0-0A450F927995}"/>
    <cellStyle name="Normal 5 2 4 2 4 2 5" xfId="29780" xr:uid="{43B1E5EB-9D1A-434B-9287-F36DAB490BA0}"/>
    <cellStyle name="Normal 5 2 4 2 4 3" xfId="5632" xr:uid="{00000000-0005-0000-0000-0000EF180000}"/>
    <cellStyle name="Normal 5 2 4 2 4 3 2" xfId="14958" xr:uid="{75FEB9D8-CAFF-49B7-B0A5-7B78767E5FEF}"/>
    <cellStyle name="Normal 5 2 4 2 4 3 3" xfId="23405" xr:uid="{1B6FC416-B61A-41D2-B106-92066A789B5A}"/>
    <cellStyle name="Normal 5 2 4 2 4 3 4" xfId="31852" xr:uid="{3FD1D484-8700-498A-8B15-C86B799BFBD7}"/>
    <cellStyle name="Normal 5 2 4 2 4 4" xfId="10741" xr:uid="{EF38EC7A-4ACB-41BD-A7F4-D5CEC7FC9056}"/>
    <cellStyle name="Normal 5 2 4 2 4 5" xfId="19188" xr:uid="{1190727A-8598-4B9B-B32C-57D58BDC8157}"/>
    <cellStyle name="Normal 5 2 4 2 4 6" xfId="27635" xr:uid="{48B78F56-87BE-449F-BD5E-21362957742C}"/>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17516" xr:uid="{B0D6EB8B-CF23-4BB0-B7DC-0D49B7E0EDA3}"/>
    <cellStyle name="Normal 5 2 4 2 5 2 2 3" xfId="25963" xr:uid="{5531D915-60F4-4CDD-8B1F-4A344670711E}"/>
    <cellStyle name="Normal 5 2 4 2 5 2 2 4" xfId="34410" xr:uid="{1A1CCE85-70D5-4037-B8EA-655E7269FB11}"/>
    <cellStyle name="Normal 5 2 4 2 5 2 3" xfId="13299" xr:uid="{8FA9EFE6-F1E0-497D-B804-5B3F38FE157F}"/>
    <cellStyle name="Normal 5 2 4 2 5 2 4" xfId="21746" xr:uid="{33D0E220-0B94-4AA8-B218-CCA3105D3406}"/>
    <cellStyle name="Normal 5 2 4 2 5 2 5" xfId="30193" xr:uid="{DD04D571-E0F0-42B5-ADAF-5D5E5AB90938}"/>
    <cellStyle name="Normal 5 2 4 2 5 3" xfId="6045" xr:uid="{00000000-0005-0000-0000-0000F3180000}"/>
    <cellStyle name="Normal 5 2 4 2 5 3 2" xfId="15371" xr:uid="{6DC0D9E2-B016-47D5-A134-152AF903D67B}"/>
    <cellStyle name="Normal 5 2 4 2 5 3 3" xfId="23818" xr:uid="{8591031F-94E3-4463-8C6B-5398CC998689}"/>
    <cellStyle name="Normal 5 2 4 2 5 3 4" xfId="32265" xr:uid="{F3ABD214-2F2D-4A05-A609-5C980465F499}"/>
    <cellStyle name="Normal 5 2 4 2 5 4" xfId="11154" xr:uid="{A87D9C9F-9E5F-40FC-B30D-3D456C094A2F}"/>
    <cellStyle name="Normal 5 2 4 2 5 5" xfId="19601" xr:uid="{629DEF69-C6DB-4976-BFAB-487113B26DF3}"/>
    <cellStyle name="Normal 5 2 4 2 5 6" xfId="28048" xr:uid="{3D3A6CE4-284B-4155-A0B4-85F159995C42}"/>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17929" xr:uid="{EF5C9812-1DD8-4C95-8B15-20E1609FE512}"/>
    <cellStyle name="Normal 5 2 4 2 6 2 2 3" xfId="26376" xr:uid="{1C0ADD0C-D025-4487-98A0-B7557D229248}"/>
    <cellStyle name="Normal 5 2 4 2 6 2 2 4" xfId="34823" xr:uid="{FC589401-CC15-4505-8580-7ABBA49B9771}"/>
    <cellStyle name="Normal 5 2 4 2 6 2 3" xfId="13712" xr:uid="{3C9C5141-8FCE-421C-8F8E-2D4247B28250}"/>
    <cellStyle name="Normal 5 2 4 2 6 2 4" xfId="22159" xr:uid="{DB87396B-FF1C-4390-97BD-5A73793E08B4}"/>
    <cellStyle name="Normal 5 2 4 2 6 2 5" xfId="30606" xr:uid="{5965AAA9-EB0E-494D-B0F6-9785D4BDCE6A}"/>
    <cellStyle name="Normal 5 2 4 2 6 3" xfId="6458" xr:uid="{00000000-0005-0000-0000-0000F7180000}"/>
    <cellStyle name="Normal 5 2 4 2 6 3 2" xfId="15784" xr:uid="{4E5B5E47-7E1C-4EFE-9BAD-C563F2B38181}"/>
    <cellStyle name="Normal 5 2 4 2 6 3 3" xfId="24231" xr:uid="{559BCE72-CC37-4985-8B4B-1DF274C53D8C}"/>
    <cellStyle name="Normal 5 2 4 2 6 3 4" xfId="32678" xr:uid="{49C0BE52-15B6-477E-924A-12F489007876}"/>
    <cellStyle name="Normal 5 2 4 2 6 4" xfId="11567" xr:uid="{3F253033-C29F-428D-A45D-DA8E3B31073C}"/>
    <cellStyle name="Normal 5 2 4 2 6 5" xfId="20014" xr:uid="{CF10E41F-A101-4E2F-B9A6-1E2C07A7B2C6}"/>
    <cellStyle name="Normal 5 2 4 2 6 6" xfId="28461" xr:uid="{F86C0B44-540D-48E8-A0B2-C94BCF928B77}"/>
    <cellStyle name="Normal 5 2 4 2 7" xfId="2588" xr:uid="{00000000-0005-0000-0000-0000F8180000}"/>
    <cellStyle name="Normal 5 2 4 2 7 2" xfId="6871" xr:uid="{00000000-0005-0000-0000-0000F9180000}"/>
    <cellStyle name="Normal 5 2 4 2 7 2 2" xfId="16197" xr:uid="{620930AC-6BDA-41B6-8DCE-492C416FF6C7}"/>
    <cellStyle name="Normal 5 2 4 2 7 2 3" xfId="24644" xr:uid="{09B717BF-3E88-4C3B-9B00-55F70F45FB21}"/>
    <cellStyle name="Normal 5 2 4 2 7 2 4" xfId="33091" xr:uid="{B03B9ED2-8305-4828-B559-51D02C06C8AF}"/>
    <cellStyle name="Normal 5 2 4 2 7 3" xfId="11980" xr:uid="{C51F1F03-5942-4784-A85A-F3463B9FD776}"/>
    <cellStyle name="Normal 5 2 4 2 7 4" xfId="20427" xr:uid="{0319FD94-F05F-498F-B0F3-A024925754BA}"/>
    <cellStyle name="Normal 5 2 4 2 7 5" xfId="28874" xr:uid="{C2D6B7F5-21E5-4DCA-826A-EFC86A4CB75A}"/>
    <cellStyle name="Normal 5 2 4 2 8" xfId="4806" xr:uid="{00000000-0005-0000-0000-0000FA180000}"/>
    <cellStyle name="Normal 5 2 4 2 8 2" xfId="14132" xr:uid="{5059ED58-D5A8-4319-BBD2-7746BB3DF290}"/>
    <cellStyle name="Normal 5 2 4 2 8 3" xfId="22579" xr:uid="{11CFEEE9-B5F6-4ECE-AE51-075C65367341}"/>
    <cellStyle name="Normal 5 2 4 2 8 4" xfId="31026" xr:uid="{CAD6B211-CF37-413F-A70E-7399A29B991A}"/>
    <cellStyle name="Normal 5 2 4 2 9" xfId="8930" xr:uid="{66B84ABA-CAF3-4BBE-9026-E7A47CB6006F}"/>
    <cellStyle name="Normal 5 2 4 3" xfId="435" xr:uid="{00000000-0005-0000-0000-0000FB180000}"/>
    <cellStyle name="Normal 5 2 4 3 10" xfId="18364" xr:uid="{B995F468-B91B-499B-8EB9-C62324066E74}"/>
    <cellStyle name="Normal 5 2 4 3 11" xfId="26811" xr:uid="{B967A95F-F8B7-4A77-A785-3E12AC0E01A2}"/>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16692" xr:uid="{5A6C29E5-8186-4FFE-82DC-6380C93F13F0}"/>
    <cellStyle name="Normal 5 2 4 3 2 2 2 3" xfId="25139" xr:uid="{DC8AC2A1-72A8-4C90-8E59-E991BE05F311}"/>
    <cellStyle name="Normal 5 2 4 3 2 2 2 4" xfId="33586" xr:uid="{657194B1-3D44-4C24-8B4D-C89D33B5CC92}"/>
    <cellStyle name="Normal 5 2 4 3 2 2 3" xfId="12475" xr:uid="{4A829876-C52A-4CF3-A771-1133B17990B6}"/>
    <cellStyle name="Normal 5 2 4 3 2 2 4" xfId="20922" xr:uid="{F12A476E-6822-44A1-A10F-C203EE1FFFCE}"/>
    <cellStyle name="Normal 5 2 4 3 2 2 5" xfId="29369" xr:uid="{38652C6B-D8B8-4F90-87C9-B0765FCC9F26}"/>
    <cellStyle name="Normal 5 2 4 3 2 3" xfId="5221" xr:uid="{00000000-0005-0000-0000-0000FF180000}"/>
    <cellStyle name="Normal 5 2 4 3 2 3 2" xfId="14547" xr:uid="{B4268B47-F5E7-4648-AF8B-B0D699C75560}"/>
    <cellStyle name="Normal 5 2 4 3 2 3 3" xfId="22994" xr:uid="{B3872E30-1C72-49C1-B50B-5E16D5F4FF7D}"/>
    <cellStyle name="Normal 5 2 4 3 2 3 4" xfId="31441" xr:uid="{B502F347-E9CC-40DF-AAEB-15C2E6D7D6D7}"/>
    <cellStyle name="Normal 5 2 4 3 2 4" xfId="9459" xr:uid="{ED2A936E-5624-4B26-A175-3FCE68E1BF5A}"/>
    <cellStyle name="Normal 5 2 4 3 2 5" xfId="10330" xr:uid="{BDFFFF46-B552-425F-882A-6E0AB8633D62}"/>
    <cellStyle name="Normal 5 2 4 3 2 6" xfId="18777" xr:uid="{DCC6B403-ADD3-494A-8D7A-68F5DBE6ECC3}"/>
    <cellStyle name="Normal 5 2 4 3 2 7" xfId="27224" xr:uid="{49C7EA7D-6A22-4AFD-BA1C-585CDDFD4E3F}"/>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17105" xr:uid="{5F6809E3-3FB1-48CD-A5CD-5242316EAA34}"/>
    <cellStyle name="Normal 5 2 4 3 3 2 2 3" xfId="25552" xr:uid="{3C6593DA-C042-4DFA-8345-0C59392BDA39}"/>
    <cellStyle name="Normal 5 2 4 3 3 2 2 4" xfId="33999" xr:uid="{A252083B-D470-46DF-A56E-72CE0282C883}"/>
    <cellStyle name="Normal 5 2 4 3 3 2 3" xfId="12888" xr:uid="{6300E93E-4860-42CD-80C2-16AE21E4BFC6}"/>
    <cellStyle name="Normal 5 2 4 3 3 2 4" xfId="21335" xr:uid="{0747F16A-1270-4EC8-80E6-22B427DD0FE8}"/>
    <cellStyle name="Normal 5 2 4 3 3 2 5" xfId="29782" xr:uid="{C26C4D74-4B51-4A0C-AE9A-94D8E0F96EE6}"/>
    <cellStyle name="Normal 5 2 4 3 3 3" xfId="5634" xr:uid="{00000000-0005-0000-0000-000003190000}"/>
    <cellStyle name="Normal 5 2 4 3 3 3 2" xfId="14960" xr:uid="{CA8A0E78-669A-4615-B084-5CE9A8553F1D}"/>
    <cellStyle name="Normal 5 2 4 3 3 3 3" xfId="23407" xr:uid="{14C7C811-8835-4A27-8852-38C5BADA1460}"/>
    <cellStyle name="Normal 5 2 4 3 3 3 4" xfId="31854" xr:uid="{DE8C8A9F-323F-4A3A-BE57-A4A2F5361708}"/>
    <cellStyle name="Normal 5 2 4 3 3 4" xfId="10743" xr:uid="{B7592FF8-E91B-434E-A8FF-F39DAE2565D8}"/>
    <cellStyle name="Normal 5 2 4 3 3 5" xfId="19190" xr:uid="{CE0F2EE6-0C8E-444E-944B-E84C24F159F4}"/>
    <cellStyle name="Normal 5 2 4 3 3 6" xfId="27637" xr:uid="{36DF3ED9-C956-48A5-810F-1E7A2D019B28}"/>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17518" xr:uid="{354B1DF9-1945-4762-98DD-EDADDF9DEF2A}"/>
    <cellStyle name="Normal 5 2 4 3 4 2 2 3" xfId="25965" xr:uid="{54BED275-F2D3-423F-96C0-D734C1AE30B8}"/>
    <cellStyle name="Normal 5 2 4 3 4 2 2 4" xfId="34412" xr:uid="{71F6ACD0-C138-43D3-BF26-1E2BBF41221A}"/>
    <cellStyle name="Normal 5 2 4 3 4 2 3" xfId="13301" xr:uid="{65D2807C-4D01-43A2-91A8-60802753B1FE}"/>
    <cellStyle name="Normal 5 2 4 3 4 2 4" xfId="21748" xr:uid="{845564EE-613D-44B0-AA65-95C41FF09509}"/>
    <cellStyle name="Normal 5 2 4 3 4 2 5" xfId="30195" xr:uid="{8FD70507-B957-4484-A975-A683279CA843}"/>
    <cellStyle name="Normal 5 2 4 3 4 3" xfId="6047" xr:uid="{00000000-0005-0000-0000-000007190000}"/>
    <cellStyle name="Normal 5 2 4 3 4 3 2" xfId="15373" xr:uid="{961A3D8D-0E14-4572-80E1-33D751BEE4F8}"/>
    <cellStyle name="Normal 5 2 4 3 4 3 3" xfId="23820" xr:uid="{63612721-79DF-486D-A2BB-A822134182A8}"/>
    <cellStyle name="Normal 5 2 4 3 4 3 4" xfId="32267" xr:uid="{C4F2FE44-59EF-4348-9DF7-7FDEE416A4C5}"/>
    <cellStyle name="Normal 5 2 4 3 4 4" xfId="11156" xr:uid="{F49B0F44-B0D3-4940-BF56-71262347DBB2}"/>
    <cellStyle name="Normal 5 2 4 3 4 5" xfId="19603" xr:uid="{B5244CA5-132A-4836-96E0-291C85A4611C}"/>
    <cellStyle name="Normal 5 2 4 3 4 6" xfId="28050" xr:uid="{D32E0CE3-1713-4053-B285-5F50763D0D82}"/>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17931" xr:uid="{D7A96F0E-1C7D-468E-BAA6-1A471A2AD615}"/>
    <cellStyle name="Normal 5 2 4 3 5 2 2 3" xfId="26378" xr:uid="{ED976811-A48D-48EF-8A68-0E49AAE761C8}"/>
    <cellStyle name="Normal 5 2 4 3 5 2 2 4" xfId="34825" xr:uid="{3BF7A541-BACB-4B5C-9112-AA42FBA53F16}"/>
    <cellStyle name="Normal 5 2 4 3 5 2 3" xfId="13714" xr:uid="{073D1A42-3E16-49B8-BC36-C3BAD5562B68}"/>
    <cellStyle name="Normal 5 2 4 3 5 2 4" xfId="22161" xr:uid="{49AFABCE-56E0-4E77-AF64-9767934F27E8}"/>
    <cellStyle name="Normal 5 2 4 3 5 2 5" xfId="30608" xr:uid="{95EFA5DD-65CE-4433-9244-68032F743196}"/>
    <cellStyle name="Normal 5 2 4 3 5 3" xfId="6460" xr:uid="{00000000-0005-0000-0000-00000B190000}"/>
    <cellStyle name="Normal 5 2 4 3 5 3 2" xfId="15786" xr:uid="{4FA09BC8-A80C-4401-8FEA-4C6558B1EB3A}"/>
    <cellStyle name="Normal 5 2 4 3 5 3 3" xfId="24233" xr:uid="{496832F0-7209-4815-BC6C-1FCA535B7F57}"/>
    <cellStyle name="Normal 5 2 4 3 5 3 4" xfId="32680" xr:uid="{AEBB2AFA-DC28-44C6-8FA0-66C929518C7C}"/>
    <cellStyle name="Normal 5 2 4 3 5 4" xfId="11569" xr:uid="{86CD0C80-C5A7-47C3-B8DD-8D3B4311E31F}"/>
    <cellStyle name="Normal 5 2 4 3 5 5" xfId="20016" xr:uid="{0F4BB53D-9E44-45B3-BE7A-20D5018E4C4F}"/>
    <cellStyle name="Normal 5 2 4 3 5 6" xfId="28463" xr:uid="{394FA28D-3A89-46A0-ABC8-EEA9EBBEF14F}"/>
    <cellStyle name="Normal 5 2 4 3 6" xfId="2590" xr:uid="{00000000-0005-0000-0000-00000C190000}"/>
    <cellStyle name="Normal 5 2 4 3 6 2" xfId="6873" xr:uid="{00000000-0005-0000-0000-00000D190000}"/>
    <cellStyle name="Normal 5 2 4 3 6 2 2" xfId="16199" xr:uid="{4B672143-11B8-4D68-91F3-AFB61BB7FAE0}"/>
    <cellStyle name="Normal 5 2 4 3 6 2 3" xfId="24646" xr:uid="{8283B4FF-B2F7-4290-8AF3-E60E8E956E73}"/>
    <cellStyle name="Normal 5 2 4 3 6 2 4" xfId="33093" xr:uid="{D270EA19-EA91-4937-851C-AA3477F2C7E6}"/>
    <cellStyle name="Normal 5 2 4 3 6 3" xfId="11982" xr:uid="{953A56FF-326A-4E9F-A2C0-7A158B9BE4CC}"/>
    <cellStyle name="Normal 5 2 4 3 6 4" xfId="20429" xr:uid="{B16219AF-659E-423D-8878-0EC71FE570CA}"/>
    <cellStyle name="Normal 5 2 4 3 6 5" xfId="28876" xr:uid="{5BE57E67-6DB9-4917-86AC-6D346B6640A7}"/>
    <cellStyle name="Normal 5 2 4 3 7" xfId="4808" xr:uid="{00000000-0005-0000-0000-00000E190000}"/>
    <cellStyle name="Normal 5 2 4 3 7 2" xfId="14134" xr:uid="{6D69D053-1199-4DF5-B298-76862BE84E33}"/>
    <cellStyle name="Normal 5 2 4 3 7 3" xfId="22581" xr:uid="{D5AA6014-6559-4202-A1FD-4EF1463FD35B}"/>
    <cellStyle name="Normal 5 2 4 3 7 4" xfId="31028" xr:uid="{308425FD-93D0-4CE8-BD9C-97D441B6C4C9}"/>
    <cellStyle name="Normal 5 2 4 3 8" xfId="9034" xr:uid="{82D3DE5B-E868-4CF9-BA07-6E197DA4FAA5}"/>
    <cellStyle name="Normal 5 2 4 3 9" xfId="9917" xr:uid="{5D1E9D4D-381C-4A29-84ED-07BB5741E07E}"/>
    <cellStyle name="Normal 5 2 4 4" xfId="906" xr:uid="{00000000-0005-0000-0000-00000F190000}"/>
    <cellStyle name="Normal 5 2 4 4 2" xfId="3141" xr:uid="{00000000-0005-0000-0000-000010190000}"/>
    <cellStyle name="Normal 5 2 4 4 2 2" xfId="7363" xr:uid="{00000000-0005-0000-0000-000011190000}"/>
    <cellStyle name="Normal 5 2 4 4 2 2 2" xfId="16689" xr:uid="{177F1A57-EEA3-48EC-91C7-43F43A72C3AF}"/>
    <cellStyle name="Normal 5 2 4 4 2 2 3" xfId="25136" xr:uid="{58A852C8-F440-45AF-94AA-CCCE1B53E081}"/>
    <cellStyle name="Normal 5 2 4 4 2 2 4" xfId="33583" xr:uid="{5D36EA9B-28C2-418A-B553-AAF5DC45F95C}"/>
    <cellStyle name="Normal 5 2 4 4 2 3" xfId="12472" xr:uid="{3F000D88-E56A-42C6-BFFB-B725929EE930}"/>
    <cellStyle name="Normal 5 2 4 4 2 4" xfId="20919" xr:uid="{FA48001C-C620-41EA-92B2-84A66EE6469D}"/>
    <cellStyle name="Normal 5 2 4 4 2 5" xfId="29366" xr:uid="{C2E750B8-DF94-4D4A-B269-506E4E35A3DE}"/>
    <cellStyle name="Normal 5 2 4 4 3" xfId="5218" xr:uid="{00000000-0005-0000-0000-000012190000}"/>
    <cellStyle name="Normal 5 2 4 4 3 2" xfId="14544" xr:uid="{EFC90C8C-5E9F-4C29-88C4-D3A7213CE13E}"/>
    <cellStyle name="Normal 5 2 4 4 3 3" xfId="22991" xr:uid="{E04F9BC6-4325-4412-B8F9-8323CE350EF3}"/>
    <cellStyle name="Normal 5 2 4 4 3 4" xfId="31438" xr:uid="{6D766095-3F9E-42F0-BB7C-DF3755C78E19}"/>
    <cellStyle name="Normal 5 2 4 4 4" xfId="9252" xr:uid="{1D1A8EC4-7286-46A1-B40C-E987F273E760}"/>
    <cellStyle name="Normal 5 2 4 4 5" xfId="10327" xr:uid="{669DCB39-9069-4EB0-8D09-0C39643AFB1B}"/>
    <cellStyle name="Normal 5 2 4 4 6" xfId="18774" xr:uid="{451382A5-6B81-4838-B2C0-9775A01493ED}"/>
    <cellStyle name="Normal 5 2 4 4 7" xfId="27221" xr:uid="{58C4D86B-78EA-4633-87CA-4C8B3A70762C}"/>
    <cellStyle name="Normal 5 2 4 5" xfId="1324" xr:uid="{00000000-0005-0000-0000-000013190000}"/>
    <cellStyle name="Normal 5 2 4 5 2" xfId="3554" xr:uid="{00000000-0005-0000-0000-000014190000}"/>
    <cellStyle name="Normal 5 2 4 5 2 2" xfId="7776" xr:uid="{00000000-0005-0000-0000-000015190000}"/>
    <cellStyle name="Normal 5 2 4 5 2 2 2" xfId="17102" xr:uid="{22004F3E-B804-427B-9278-1820488DB070}"/>
    <cellStyle name="Normal 5 2 4 5 2 2 3" xfId="25549" xr:uid="{6105581D-C107-4F6E-8712-98966C7E885C}"/>
    <cellStyle name="Normal 5 2 4 5 2 2 4" xfId="33996" xr:uid="{142764CC-131F-40E0-82B7-C2D32E884AC7}"/>
    <cellStyle name="Normal 5 2 4 5 2 3" xfId="12885" xr:uid="{382BBC8A-24C9-4C5F-9D5E-A014EFAFCFB1}"/>
    <cellStyle name="Normal 5 2 4 5 2 4" xfId="21332" xr:uid="{D81AACDF-BA08-44C2-BD31-3B24E354BFFD}"/>
    <cellStyle name="Normal 5 2 4 5 2 5" xfId="29779" xr:uid="{C478942B-C38C-47CA-BCC9-B9D3395082EA}"/>
    <cellStyle name="Normal 5 2 4 5 3" xfId="5631" xr:uid="{00000000-0005-0000-0000-000016190000}"/>
    <cellStyle name="Normal 5 2 4 5 3 2" xfId="14957" xr:uid="{B79CEAD5-B321-4249-A78B-D82CDA9FF77C}"/>
    <cellStyle name="Normal 5 2 4 5 3 3" xfId="23404" xr:uid="{75388380-D0C5-40D4-85C0-8F01716D65E2}"/>
    <cellStyle name="Normal 5 2 4 5 3 4" xfId="31851" xr:uid="{4D4A5C4B-DA28-45A3-8757-1D68A89820A6}"/>
    <cellStyle name="Normal 5 2 4 5 4" xfId="10740" xr:uid="{FEDCEA1C-17C9-4880-B922-68A635877B56}"/>
    <cellStyle name="Normal 5 2 4 5 5" xfId="19187" xr:uid="{D0460868-2F02-41B4-9586-0D4519005A9E}"/>
    <cellStyle name="Normal 5 2 4 5 6" xfId="27634" xr:uid="{22221320-5DE5-493D-A8AB-DFD1F2F3460B}"/>
    <cellStyle name="Normal 5 2 4 6" xfId="1737" xr:uid="{00000000-0005-0000-0000-000017190000}"/>
    <cellStyle name="Normal 5 2 4 6 2" xfId="3967" xr:uid="{00000000-0005-0000-0000-000018190000}"/>
    <cellStyle name="Normal 5 2 4 6 2 2" xfId="8189" xr:uid="{00000000-0005-0000-0000-000019190000}"/>
    <cellStyle name="Normal 5 2 4 6 2 2 2" xfId="17515" xr:uid="{7D0B7712-E26C-49DB-A050-F7B1BBF3AEF9}"/>
    <cellStyle name="Normal 5 2 4 6 2 2 3" xfId="25962" xr:uid="{6852B4FF-4D22-49B7-B94D-408FE2FB471A}"/>
    <cellStyle name="Normal 5 2 4 6 2 2 4" xfId="34409" xr:uid="{14C3A133-F713-4071-808A-71A839E6C9FE}"/>
    <cellStyle name="Normal 5 2 4 6 2 3" xfId="13298" xr:uid="{A18A7240-80CD-43EA-B23B-5B5BC5F44430}"/>
    <cellStyle name="Normal 5 2 4 6 2 4" xfId="21745" xr:uid="{9DF1300F-D473-4DA0-A7E9-258A19EB1DF5}"/>
    <cellStyle name="Normal 5 2 4 6 2 5" xfId="30192" xr:uid="{AFE9C0B3-E31A-4EE7-99FF-B1F8B2AF8241}"/>
    <cellStyle name="Normal 5 2 4 6 3" xfId="6044" xr:uid="{00000000-0005-0000-0000-00001A190000}"/>
    <cellStyle name="Normal 5 2 4 6 3 2" xfId="15370" xr:uid="{9FDF5A9D-B625-4673-AB36-626971251B94}"/>
    <cellStyle name="Normal 5 2 4 6 3 3" xfId="23817" xr:uid="{09F1220D-0DBE-4595-B55A-AFA949013F8C}"/>
    <cellStyle name="Normal 5 2 4 6 3 4" xfId="32264" xr:uid="{AA8BAF0F-929A-45AE-AAEC-F2AC6E30B637}"/>
    <cellStyle name="Normal 5 2 4 6 4" xfId="11153" xr:uid="{1A50C871-782D-4B75-886D-3308603A28D9}"/>
    <cellStyle name="Normal 5 2 4 6 5" xfId="19600" xr:uid="{E4C9ABB7-4CAE-4678-A958-BEB349029097}"/>
    <cellStyle name="Normal 5 2 4 6 6" xfId="28047" xr:uid="{5476A870-5E9D-43E9-B44E-E4668DE12127}"/>
    <cellStyle name="Normal 5 2 4 7" xfId="2151" xr:uid="{00000000-0005-0000-0000-00001B190000}"/>
    <cellStyle name="Normal 5 2 4 7 2" xfId="4380" xr:uid="{00000000-0005-0000-0000-00001C190000}"/>
    <cellStyle name="Normal 5 2 4 7 2 2" xfId="8602" xr:uid="{00000000-0005-0000-0000-00001D190000}"/>
    <cellStyle name="Normal 5 2 4 7 2 2 2" xfId="17928" xr:uid="{606FB6C4-1258-4752-85A8-777C90575379}"/>
    <cellStyle name="Normal 5 2 4 7 2 2 3" xfId="26375" xr:uid="{3011D511-A110-45BB-9557-4661F3944DE2}"/>
    <cellStyle name="Normal 5 2 4 7 2 2 4" xfId="34822" xr:uid="{2A877128-FC2B-44C7-A7DD-5B22818C2F37}"/>
    <cellStyle name="Normal 5 2 4 7 2 3" xfId="13711" xr:uid="{740F3A80-2AE1-4525-8EF2-0900D764A186}"/>
    <cellStyle name="Normal 5 2 4 7 2 4" xfId="22158" xr:uid="{80C557A2-7CA0-4070-82CB-7B62CA2A1643}"/>
    <cellStyle name="Normal 5 2 4 7 2 5" xfId="30605" xr:uid="{2F82F07A-EF57-4067-93BE-70ACA5449663}"/>
    <cellStyle name="Normal 5 2 4 7 3" xfId="6457" xr:uid="{00000000-0005-0000-0000-00001E190000}"/>
    <cellStyle name="Normal 5 2 4 7 3 2" xfId="15783" xr:uid="{E8076842-686F-43E3-88ED-78CD17D20616}"/>
    <cellStyle name="Normal 5 2 4 7 3 3" xfId="24230" xr:uid="{8C5586EF-5AB5-469D-A0FC-F66D93D3A52B}"/>
    <cellStyle name="Normal 5 2 4 7 3 4" xfId="32677" xr:uid="{58F9E939-48A9-4617-8ECB-DB2B301E0A73}"/>
    <cellStyle name="Normal 5 2 4 7 4" xfId="11566" xr:uid="{05FCD907-CC16-436D-A1D3-5A1B408A3CB9}"/>
    <cellStyle name="Normal 5 2 4 7 5" xfId="20013" xr:uid="{F9B651DD-56C9-4E13-984D-639D78242402}"/>
    <cellStyle name="Normal 5 2 4 7 6" xfId="28460" xr:uid="{66873FD2-6F6F-45E7-B62D-AD52D03FD21F}"/>
    <cellStyle name="Normal 5 2 4 8" xfId="2587" xr:uid="{00000000-0005-0000-0000-00001F190000}"/>
    <cellStyle name="Normal 5 2 4 8 2" xfId="6870" xr:uid="{00000000-0005-0000-0000-000020190000}"/>
    <cellStyle name="Normal 5 2 4 8 2 2" xfId="16196" xr:uid="{226395F1-D7E9-43FF-978E-879A5659AC07}"/>
    <cellStyle name="Normal 5 2 4 8 2 3" xfId="24643" xr:uid="{3D1E8DC7-A5B5-49E6-A29A-36E20BB3CEF8}"/>
    <cellStyle name="Normal 5 2 4 8 2 4" xfId="33090" xr:uid="{05D2FA70-342D-4C6F-888A-247866416DE0}"/>
    <cellStyle name="Normal 5 2 4 8 3" xfId="11979" xr:uid="{4FFB543D-307E-4B6D-887F-75D30F07B5C3}"/>
    <cellStyle name="Normal 5 2 4 8 4" xfId="20426" xr:uid="{5B7F759A-5245-4571-B3A2-2366A13B64F3}"/>
    <cellStyle name="Normal 5 2 4 8 5" xfId="28873" xr:uid="{1D2831FA-93F4-465F-8236-484C299DDF37}"/>
    <cellStyle name="Normal 5 2 4 9" xfId="4805" xr:uid="{00000000-0005-0000-0000-000021190000}"/>
    <cellStyle name="Normal 5 2 4 9 2" xfId="14131" xr:uid="{058A94F3-7B96-4771-AF86-3BD67AF13084}"/>
    <cellStyle name="Normal 5 2 4 9 3" xfId="22578" xr:uid="{F101272D-0EFF-488A-BAF1-B99BC8708BB3}"/>
    <cellStyle name="Normal 5 2 4 9 4" xfId="31025" xr:uid="{8C07AE27-0C6E-4E91-89E7-CD9011E39311}"/>
    <cellStyle name="Normal 5 2 5" xfId="436" xr:uid="{00000000-0005-0000-0000-000022190000}"/>
    <cellStyle name="Normal 5 2 5 10" xfId="9918" xr:uid="{4266A425-952B-4303-BCC7-A3ABAD49DFD3}"/>
    <cellStyle name="Normal 5 2 5 11" xfId="18365" xr:uid="{72FF0F2B-DDBD-417F-9372-DB8298C65CAF}"/>
    <cellStyle name="Normal 5 2 5 12" xfId="26812" xr:uid="{979EB4DD-8DA6-4A81-9BAB-C871538192C7}"/>
    <cellStyle name="Normal 5 2 5 2" xfId="437" xr:uid="{00000000-0005-0000-0000-000023190000}"/>
    <cellStyle name="Normal 5 2 5 2 10" xfId="18366" xr:uid="{AC782244-7802-46F3-8815-C5C1F9FA5941}"/>
    <cellStyle name="Normal 5 2 5 2 11" xfId="26813" xr:uid="{0FE82F05-7636-4C3A-AC88-5AD7E31E27A6}"/>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16694" xr:uid="{756E6046-8E16-4AA4-9ADE-54907A4B4CB9}"/>
    <cellStyle name="Normal 5 2 5 2 2 2 2 3" xfId="25141" xr:uid="{A6DB54F9-75C5-4283-BE0A-293448B12419}"/>
    <cellStyle name="Normal 5 2 5 2 2 2 2 4" xfId="33588" xr:uid="{FFFFFD2E-AEE5-470A-9313-382EFE662088}"/>
    <cellStyle name="Normal 5 2 5 2 2 2 3" xfId="12477" xr:uid="{5908084B-2416-4F6B-898D-113D3B6BABAE}"/>
    <cellStyle name="Normal 5 2 5 2 2 2 4" xfId="20924" xr:uid="{F4C48826-A38F-44DC-A9A2-672D1D567B42}"/>
    <cellStyle name="Normal 5 2 5 2 2 2 5" xfId="29371" xr:uid="{22809457-180E-4D3E-97E7-145375463BD1}"/>
    <cellStyle name="Normal 5 2 5 2 2 3" xfId="5223" xr:uid="{00000000-0005-0000-0000-000027190000}"/>
    <cellStyle name="Normal 5 2 5 2 2 3 2" xfId="14549" xr:uid="{382572A8-67A5-4B46-B7EA-3654ABDE1D9E}"/>
    <cellStyle name="Normal 5 2 5 2 2 3 3" xfId="22996" xr:uid="{C0330C7C-F736-481E-9CCE-889EE760D6A5}"/>
    <cellStyle name="Normal 5 2 5 2 2 3 4" xfId="31443" xr:uid="{E895EE62-CE31-431D-ADC7-F31E074F819D}"/>
    <cellStyle name="Normal 5 2 5 2 2 4" xfId="9479" xr:uid="{0DDFFFD4-5D62-4038-B6D4-9E9BD7CBA380}"/>
    <cellStyle name="Normal 5 2 5 2 2 5" xfId="10332" xr:uid="{CA9E0950-2A53-4965-B39B-102DA8C06A19}"/>
    <cellStyle name="Normal 5 2 5 2 2 6" xfId="18779" xr:uid="{89860E50-E4B0-409A-9253-8FE7EC3C4AE6}"/>
    <cellStyle name="Normal 5 2 5 2 2 7" xfId="27226" xr:uid="{A17B9C16-CDF2-4D7E-A601-0D82C2DAC95D}"/>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17107" xr:uid="{4F17F69F-21B4-43C8-9002-CD884040C448}"/>
    <cellStyle name="Normal 5 2 5 2 3 2 2 3" xfId="25554" xr:uid="{723F5A72-A536-479B-8949-4193103BEFCC}"/>
    <cellStyle name="Normal 5 2 5 2 3 2 2 4" xfId="34001" xr:uid="{504D6D5F-D456-45EA-AC6C-D62AE9397052}"/>
    <cellStyle name="Normal 5 2 5 2 3 2 3" xfId="12890" xr:uid="{41E938A1-2B1A-4938-A58C-721C62CEF20E}"/>
    <cellStyle name="Normal 5 2 5 2 3 2 4" xfId="21337" xr:uid="{A53AB311-4084-4123-8EBF-37A429E90D1B}"/>
    <cellStyle name="Normal 5 2 5 2 3 2 5" xfId="29784" xr:uid="{95305D4B-8C9A-450B-82BD-48DFDEB19A45}"/>
    <cellStyle name="Normal 5 2 5 2 3 3" xfId="5636" xr:uid="{00000000-0005-0000-0000-00002B190000}"/>
    <cellStyle name="Normal 5 2 5 2 3 3 2" xfId="14962" xr:uid="{C0EC7D27-F00D-4D33-BA9A-76CCFC976CD4}"/>
    <cellStyle name="Normal 5 2 5 2 3 3 3" xfId="23409" xr:uid="{5AC4A83F-FD57-4EDE-9FDB-BF0A73DE78EE}"/>
    <cellStyle name="Normal 5 2 5 2 3 3 4" xfId="31856" xr:uid="{A6B9F269-9B9D-406F-A68A-FDBE2188EFF6}"/>
    <cellStyle name="Normal 5 2 5 2 3 4" xfId="10745" xr:uid="{E3D08AEA-4FBA-4DFD-98DE-50500E3E76D9}"/>
    <cellStyle name="Normal 5 2 5 2 3 5" xfId="19192" xr:uid="{49D6D241-45F6-4FEF-B6F4-C9D1E3F0F1D0}"/>
    <cellStyle name="Normal 5 2 5 2 3 6" xfId="27639" xr:uid="{929C67CA-F467-43EE-8D0E-03F44CB0117B}"/>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17520" xr:uid="{EC90FFCA-A4F2-47AD-AC71-CAD8310A9468}"/>
    <cellStyle name="Normal 5 2 5 2 4 2 2 3" xfId="25967" xr:uid="{AA593A1C-0805-42CB-B46A-7D44DB86F4F7}"/>
    <cellStyle name="Normal 5 2 5 2 4 2 2 4" xfId="34414" xr:uid="{B7AFF948-8300-4A06-806C-D4415860A09A}"/>
    <cellStyle name="Normal 5 2 5 2 4 2 3" xfId="13303" xr:uid="{38419C94-5688-4AB6-88A7-DC3261715239}"/>
    <cellStyle name="Normal 5 2 5 2 4 2 4" xfId="21750" xr:uid="{153E7BF3-3C07-4E09-9F52-B954C2715866}"/>
    <cellStyle name="Normal 5 2 5 2 4 2 5" xfId="30197" xr:uid="{7CF11E98-C1DF-429F-88AB-FEC03BDE772F}"/>
    <cellStyle name="Normal 5 2 5 2 4 3" xfId="6049" xr:uid="{00000000-0005-0000-0000-00002F190000}"/>
    <cellStyle name="Normal 5 2 5 2 4 3 2" xfId="15375" xr:uid="{E3A13828-F99B-4CCB-9C10-454A633AD03D}"/>
    <cellStyle name="Normal 5 2 5 2 4 3 3" xfId="23822" xr:uid="{C3B75A7D-A9F5-4C66-9B87-9590BB8DA3BE}"/>
    <cellStyle name="Normal 5 2 5 2 4 3 4" xfId="32269" xr:uid="{09115277-0166-4B88-B24D-50F5E35E1C71}"/>
    <cellStyle name="Normal 5 2 5 2 4 4" xfId="11158" xr:uid="{A250294A-E7EF-46D9-AB11-B3273DF49754}"/>
    <cellStyle name="Normal 5 2 5 2 4 5" xfId="19605" xr:uid="{AAB350C7-732B-4861-8B07-F54158A41A23}"/>
    <cellStyle name="Normal 5 2 5 2 4 6" xfId="28052" xr:uid="{BEDD29EC-E4D9-48D0-8C4C-276B4160E485}"/>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17933" xr:uid="{54E8C6FC-A62D-44E4-A408-87AE9B718CA7}"/>
    <cellStyle name="Normal 5 2 5 2 5 2 2 3" xfId="26380" xr:uid="{AB1D3FF3-FBC2-45B3-9BB5-F2A6149682C9}"/>
    <cellStyle name="Normal 5 2 5 2 5 2 2 4" xfId="34827" xr:uid="{B7CC361A-7941-44F9-A21F-A5A0AA06DA2B}"/>
    <cellStyle name="Normal 5 2 5 2 5 2 3" xfId="13716" xr:uid="{DB015B7A-32B3-4077-AC39-5C86B1EBFDD3}"/>
    <cellStyle name="Normal 5 2 5 2 5 2 4" xfId="22163" xr:uid="{BDABEC08-F3F4-49B3-A74F-6AA74039906B}"/>
    <cellStyle name="Normal 5 2 5 2 5 2 5" xfId="30610" xr:uid="{77F804E0-B6B7-4C7F-A1C6-B9713DB4F009}"/>
    <cellStyle name="Normal 5 2 5 2 5 3" xfId="6462" xr:uid="{00000000-0005-0000-0000-000033190000}"/>
    <cellStyle name="Normal 5 2 5 2 5 3 2" xfId="15788" xr:uid="{B1820994-AAE3-4108-882F-6293D7847290}"/>
    <cellStyle name="Normal 5 2 5 2 5 3 3" xfId="24235" xr:uid="{80DDF1A0-F514-48DC-B02B-AE2A25802469}"/>
    <cellStyle name="Normal 5 2 5 2 5 3 4" xfId="32682" xr:uid="{DB9C3842-D565-4D7D-8F47-6B3E4944628F}"/>
    <cellStyle name="Normal 5 2 5 2 5 4" xfId="11571" xr:uid="{41AEB0D2-2899-45FA-BDFD-BFA703611B55}"/>
    <cellStyle name="Normal 5 2 5 2 5 5" xfId="20018" xr:uid="{2F43A750-6EE4-4D56-82F3-1DB7EA583D07}"/>
    <cellStyle name="Normal 5 2 5 2 5 6" xfId="28465" xr:uid="{F665997E-FC15-4EA9-B740-0515834FB303}"/>
    <cellStyle name="Normal 5 2 5 2 6" xfId="2592" xr:uid="{00000000-0005-0000-0000-000034190000}"/>
    <cellStyle name="Normal 5 2 5 2 6 2" xfId="6875" xr:uid="{00000000-0005-0000-0000-000035190000}"/>
    <cellStyle name="Normal 5 2 5 2 6 2 2" xfId="16201" xr:uid="{78938C89-8717-4EC0-8EE2-2DB1DE53F75D}"/>
    <cellStyle name="Normal 5 2 5 2 6 2 3" xfId="24648" xr:uid="{9D9318F9-6CAB-4AF9-B7C5-BCAC2664B62F}"/>
    <cellStyle name="Normal 5 2 5 2 6 2 4" xfId="33095" xr:uid="{A5B611AF-2268-407C-B532-F7A8219B50AF}"/>
    <cellStyle name="Normal 5 2 5 2 6 3" xfId="11984" xr:uid="{F10BE01F-9FB4-444E-B70F-BFAB3500E4E6}"/>
    <cellStyle name="Normal 5 2 5 2 6 4" xfId="20431" xr:uid="{373CBBEA-9BBB-4582-975B-0914D6375A66}"/>
    <cellStyle name="Normal 5 2 5 2 6 5" xfId="28878" xr:uid="{9FAB4587-4D38-4BB0-9BEE-25471CA946D3}"/>
    <cellStyle name="Normal 5 2 5 2 7" xfId="4810" xr:uid="{00000000-0005-0000-0000-000036190000}"/>
    <cellStyle name="Normal 5 2 5 2 7 2" xfId="14136" xr:uid="{BEA617AA-7F66-43F8-BCFD-2FAAB9B76D4E}"/>
    <cellStyle name="Normal 5 2 5 2 7 3" xfId="22583" xr:uid="{55E76CEC-5BCB-40EB-A273-424D05931BF4}"/>
    <cellStyle name="Normal 5 2 5 2 7 4" xfId="31030" xr:uid="{B1DDAC6D-7A76-4711-AFDC-CE999299F9E8}"/>
    <cellStyle name="Normal 5 2 5 2 8" xfId="9054" xr:uid="{844F6476-DDB9-4C38-A2B2-83AB0DCF1773}"/>
    <cellStyle name="Normal 5 2 5 2 9" xfId="9919" xr:uid="{571AD53E-8977-4333-AF63-E2EE932F548C}"/>
    <cellStyle name="Normal 5 2 5 3" xfId="910" xr:uid="{00000000-0005-0000-0000-000037190000}"/>
    <cellStyle name="Normal 5 2 5 3 2" xfId="3145" xr:uid="{00000000-0005-0000-0000-000038190000}"/>
    <cellStyle name="Normal 5 2 5 3 2 2" xfId="7367" xr:uid="{00000000-0005-0000-0000-000039190000}"/>
    <cellStyle name="Normal 5 2 5 3 2 2 2" xfId="16693" xr:uid="{C7812961-16F1-404F-864F-04DB30BB3CBF}"/>
    <cellStyle name="Normal 5 2 5 3 2 2 3" xfId="25140" xr:uid="{F3477328-6E70-4D8F-94BD-0A8EA085AE29}"/>
    <cellStyle name="Normal 5 2 5 3 2 2 4" xfId="33587" xr:uid="{235F0764-3B42-455F-9298-80E3543EFEF2}"/>
    <cellStyle name="Normal 5 2 5 3 2 3" xfId="12476" xr:uid="{96793C39-DFE2-43B4-8FC9-2A32078DEABF}"/>
    <cellStyle name="Normal 5 2 5 3 2 4" xfId="20923" xr:uid="{E5405513-8731-4989-9035-1304492CC106}"/>
    <cellStyle name="Normal 5 2 5 3 2 5" xfId="29370" xr:uid="{2F59C3B4-2554-4D56-9CA1-48AA3D94A8FE}"/>
    <cellStyle name="Normal 5 2 5 3 3" xfId="5222" xr:uid="{00000000-0005-0000-0000-00003A190000}"/>
    <cellStyle name="Normal 5 2 5 3 3 2" xfId="14548" xr:uid="{2AE98465-D050-4360-93B5-763010B560BD}"/>
    <cellStyle name="Normal 5 2 5 3 3 3" xfId="22995" xr:uid="{9E3A930F-97F4-4B5F-8168-DAA7AD21129E}"/>
    <cellStyle name="Normal 5 2 5 3 3 4" xfId="31442" xr:uid="{BEB155B2-DAB4-44D0-A75A-2249E46E7202}"/>
    <cellStyle name="Normal 5 2 5 3 4" xfId="9272" xr:uid="{8865498C-CC61-4C5F-A1F4-57A1D301E1CE}"/>
    <cellStyle name="Normal 5 2 5 3 5" xfId="10331" xr:uid="{7D82D002-1367-4655-A855-DA57B7157293}"/>
    <cellStyle name="Normal 5 2 5 3 6" xfId="18778" xr:uid="{3AB28F1F-D34A-4AA9-8F8B-A3E88C21DC4A}"/>
    <cellStyle name="Normal 5 2 5 3 7" xfId="27225" xr:uid="{A6642A03-CD24-4AF5-81B7-83843EADB1EE}"/>
    <cellStyle name="Normal 5 2 5 4" xfId="1328" xr:uid="{00000000-0005-0000-0000-00003B190000}"/>
    <cellStyle name="Normal 5 2 5 4 2" xfId="3558" xr:uid="{00000000-0005-0000-0000-00003C190000}"/>
    <cellStyle name="Normal 5 2 5 4 2 2" xfId="7780" xr:uid="{00000000-0005-0000-0000-00003D190000}"/>
    <cellStyle name="Normal 5 2 5 4 2 2 2" xfId="17106" xr:uid="{0D32BF2E-C743-41BB-A0D7-81B2D72F89B5}"/>
    <cellStyle name="Normal 5 2 5 4 2 2 3" xfId="25553" xr:uid="{DADE175E-7F8C-4DA4-9B8C-B16B29AFEBEC}"/>
    <cellStyle name="Normal 5 2 5 4 2 2 4" xfId="34000" xr:uid="{A116DA4B-E02C-41AF-96F1-7EC6F1549E74}"/>
    <cellStyle name="Normal 5 2 5 4 2 3" xfId="12889" xr:uid="{83AEE98D-23D2-4796-9143-EFC60BCCBD60}"/>
    <cellStyle name="Normal 5 2 5 4 2 4" xfId="21336" xr:uid="{FBF7F875-CCF2-4ED1-9DD2-17B86F8B04D8}"/>
    <cellStyle name="Normal 5 2 5 4 2 5" xfId="29783" xr:uid="{F3B17FBE-EB4F-418E-B031-032EBD2EEF42}"/>
    <cellStyle name="Normal 5 2 5 4 3" xfId="5635" xr:uid="{00000000-0005-0000-0000-00003E190000}"/>
    <cellStyle name="Normal 5 2 5 4 3 2" xfId="14961" xr:uid="{A71563AA-303F-45EE-AEC4-96A486FFE1C3}"/>
    <cellStyle name="Normal 5 2 5 4 3 3" xfId="23408" xr:uid="{D05E0A2D-2E6F-4FC6-AB4F-D5F37AC95BB7}"/>
    <cellStyle name="Normal 5 2 5 4 3 4" xfId="31855" xr:uid="{7807D137-5CAA-45EA-96F1-AFF23AAEBA67}"/>
    <cellStyle name="Normal 5 2 5 4 4" xfId="10744" xr:uid="{ED637A7B-EF46-4EC6-BFC2-646F82161F23}"/>
    <cellStyle name="Normal 5 2 5 4 5" xfId="19191" xr:uid="{BD4CA699-DB69-4D4D-9485-D711AABC8BCC}"/>
    <cellStyle name="Normal 5 2 5 4 6" xfId="27638" xr:uid="{7C8C9DB3-2B19-43C8-8670-197992EB00B8}"/>
    <cellStyle name="Normal 5 2 5 5" xfId="1741" xr:uid="{00000000-0005-0000-0000-00003F190000}"/>
    <cellStyle name="Normal 5 2 5 5 2" xfId="3971" xr:uid="{00000000-0005-0000-0000-000040190000}"/>
    <cellStyle name="Normal 5 2 5 5 2 2" xfId="8193" xr:uid="{00000000-0005-0000-0000-000041190000}"/>
    <cellStyle name="Normal 5 2 5 5 2 2 2" xfId="17519" xr:uid="{54406B3B-DB93-4B78-9394-D48F6B830F65}"/>
    <cellStyle name="Normal 5 2 5 5 2 2 3" xfId="25966" xr:uid="{ED0B5069-BD0B-44E5-AEBA-238BDE62714A}"/>
    <cellStyle name="Normal 5 2 5 5 2 2 4" xfId="34413" xr:uid="{C1979AD8-1EAD-4883-8E94-40E3DB9F34CA}"/>
    <cellStyle name="Normal 5 2 5 5 2 3" xfId="13302" xr:uid="{E9545699-4095-4AA3-8088-B896477275DE}"/>
    <cellStyle name="Normal 5 2 5 5 2 4" xfId="21749" xr:uid="{1281C84E-421A-495C-BC58-FCF1B2865FC8}"/>
    <cellStyle name="Normal 5 2 5 5 2 5" xfId="30196" xr:uid="{BBBA75FC-881D-4E2C-8F14-F2C270E4CA56}"/>
    <cellStyle name="Normal 5 2 5 5 3" xfId="6048" xr:uid="{00000000-0005-0000-0000-000042190000}"/>
    <cellStyle name="Normal 5 2 5 5 3 2" xfId="15374" xr:uid="{F864590C-BE75-40E9-9C4E-3C65B5AD5385}"/>
    <cellStyle name="Normal 5 2 5 5 3 3" xfId="23821" xr:uid="{13328EF7-574B-484C-8C21-A924F8C48FE3}"/>
    <cellStyle name="Normal 5 2 5 5 3 4" xfId="32268" xr:uid="{7083E286-FE03-4190-B4BC-92271D56D8D0}"/>
    <cellStyle name="Normal 5 2 5 5 4" xfId="11157" xr:uid="{D80AD225-BE1C-478B-B72A-7B24F57E4EC9}"/>
    <cellStyle name="Normal 5 2 5 5 5" xfId="19604" xr:uid="{B79A5AA6-AB9F-4FC8-9457-4EABCEED3534}"/>
    <cellStyle name="Normal 5 2 5 5 6" xfId="28051" xr:uid="{EAB37E5F-1175-45AA-83AE-BDEF118EFA97}"/>
    <cellStyle name="Normal 5 2 5 6" xfId="2155" xr:uid="{00000000-0005-0000-0000-000043190000}"/>
    <cellStyle name="Normal 5 2 5 6 2" xfId="4384" xr:uid="{00000000-0005-0000-0000-000044190000}"/>
    <cellStyle name="Normal 5 2 5 6 2 2" xfId="8606" xr:uid="{00000000-0005-0000-0000-000045190000}"/>
    <cellStyle name="Normal 5 2 5 6 2 2 2" xfId="17932" xr:uid="{9B610ACD-6DDA-49D3-92D3-FBEF3365272A}"/>
    <cellStyle name="Normal 5 2 5 6 2 2 3" xfId="26379" xr:uid="{ABE04411-51CB-4AB5-A9C5-93B03B85BBF6}"/>
    <cellStyle name="Normal 5 2 5 6 2 2 4" xfId="34826" xr:uid="{CEB84002-5EE9-4732-89AC-19A1747F215D}"/>
    <cellStyle name="Normal 5 2 5 6 2 3" xfId="13715" xr:uid="{BA96BF31-74D4-4C7F-9BB7-AFA7021E0DC3}"/>
    <cellStyle name="Normal 5 2 5 6 2 4" xfId="22162" xr:uid="{64A7AE3C-079E-4B99-8A33-93253F313272}"/>
    <cellStyle name="Normal 5 2 5 6 2 5" xfId="30609" xr:uid="{835E3E95-2472-4C7E-B07A-67B28F2D193A}"/>
    <cellStyle name="Normal 5 2 5 6 3" xfId="6461" xr:uid="{00000000-0005-0000-0000-000046190000}"/>
    <cellStyle name="Normal 5 2 5 6 3 2" xfId="15787" xr:uid="{94721B33-B429-4065-95F0-012C8B609312}"/>
    <cellStyle name="Normal 5 2 5 6 3 3" xfId="24234" xr:uid="{5BCC8A29-052F-4B8C-8DB1-505ADD0FC59C}"/>
    <cellStyle name="Normal 5 2 5 6 3 4" xfId="32681" xr:uid="{469836AD-5D03-4FAE-8719-BF4CF1154AEB}"/>
    <cellStyle name="Normal 5 2 5 6 4" xfId="11570" xr:uid="{18D31CB4-8159-4AF3-AFB3-715E583555F6}"/>
    <cellStyle name="Normal 5 2 5 6 5" xfId="20017" xr:uid="{E1B7EBEA-3D49-42D5-8613-6CCD18137004}"/>
    <cellStyle name="Normal 5 2 5 6 6" xfId="28464" xr:uid="{7F072821-E236-49D1-80E4-222A7D0B1712}"/>
    <cellStyle name="Normal 5 2 5 7" xfId="2591" xr:uid="{00000000-0005-0000-0000-000047190000}"/>
    <cellStyle name="Normal 5 2 5 7 2" xfId="6874" xr:uid="{00000000-0005-0000-0000-000048190000}"/>
    <cellStyle name="Normal 5 2 5 7 2 2" xfId="16200" xr:uid="{55D1DB12-104F-4355-A0F3-2B588B48000B}"/>
    <cellStyle name="Normal 5 2 5 7 2 3" xfId="24647" xr:uid="{459D25E4-6292-4581-8DDE-7A2DB6848867}"/>
    <cellStyle name="Normal 5 2 5 7 2 4" xfId="33094" xr:uid="{A80622DB-13B6-42CF-88B0-FAB195105124}"/>
    <cellStyle name="Normal 5 2 5 7 3" xfId="11983" xr:uid="{F7B3A512-9172-49D0-B288-BF4B9397EBB6}"/>
    <cellStyle name="Normal 5 2 5 7 4" xfId="20430" xr:uid="{78799037-9165-44C5-9496-3EFFDCDB7B78}"/>
    <cellStyle name="Normal 5 2 5 7 5" xfId="28877" xr:uid="{4C79BFFA-554F-4B3A-840C-42E71CD4FA46}"/>
    <cellStyle name="Normal 5 2 5 8" xfId="4809" xr:uid="{00000000-0005-0000-0000-000049190000}"/>
    <cellStyle name="Normal 5 2 5 8 2" xfId="14135" xr:uid="{17A1DB02-8E51-42D3-B5F1-A9DC0C754456}"/>
    <cellStyle name="Normal 5 2 5 8 3" xfId="22582" xr:uid="{A46AD3CD-F6C0-41CE-84ED-CACCB7E55036}"/>
    <cellStyle name="Normal 5 2 5 8 4" xfId="31029" xr:uid="{167A1292-D075-446E-B6B1-D885AEDA9F39}"/>
    <cellStyle name="Normal 5 2 5 9" xfId="8847" xr:uid="{504334B5-BB84-4906-81A5-68746D711AC3}"/>
    <cellStyle name="Normal 5 2 6" xfId="438" xr:uid="{00000000-0005-0000-0000-00004A190000}"/>
    <cellStyle name="Normal 5 2 6 10" xfId="18367" xr:uid="{FF961EBA-E9F4-4F60-9871-1CFBDD9E7C40}"/>
    <cellStyle name="Normal 5 2 6 11" xfId="26814" xr:uid="{44C50CF2-4B4E-4B1D-A9BE-5008445E4668}"/>
    <cellStyle name="Normal 5 2 6 2" xfId="912" xr:uid="{00000000-0005-0000-0000-00004B190000}"/>
    <cellStyle name="Normal 5 2 6 2 2" xfId="3147" xr:uid="{00000000-0005-0000-0000-00004C190000}"/>
    <cellStyle name="Normal 5 2 6 2 2 2" xfId="7369" xr:uid="{00000000-0005-0000-0000-00004D190000}"/>
    <cellStyle name="Normal 5 2 6 2 2 2 2" xfId="16695" xr:uid="{AE823578-9712-4AF9-B682-619D66834A23}"/>
    <cellStyle name="Normal 5 2 6 2 2 2 3" xfId="25142" xr:uid="{ABAAF463-86E5-4355-8B3F-4A0B37BC50A0}"/>
    <cellStyle name="Normal 5 2 6 2 2 2 4" xfId="33589" xr:uid="{1BC6AA84-763D-432D-9AF8-D594BFFE5A43}"/>
    <cellStyle name="Normal 5 2 6 2 2 3" xfId="12478" xr:uid="{9DCB1A07-9AF5-445C-94EA-5C1BBCD8FA9B}"/>
    <cellStyle name="Normal 5 2 6 2 2 4" xfId="20925" xr:uid="{48A271EA-EAC7-469D-ABBF-7236F21679A4}"/>
    <cellStyle name="Normal 5 2 6 2 2 5" xfId="29372" xr:uid="{00928046-6A87-41DE-BE7F-C36CE744030A}"/>
    <cellStyle name="Normal 5 2 6 2 3" xfId="5224" xr:uid="{00000000-0005-0000-0000-00004E190000}"/>
    <cellStyle name="Normal 5 2 6 2 3 2" xfId="14550" xr:uid="{D08A87CD-0BFE-411C-AAC5-0487681F3A7E}"/>
    <cellStyle name="Normal 5 2 6 2 3 3" xfId="22997" xr:uid="{3B9BC000-D4CE-4F40-9DE8-23DD39395855}"/>
    <cellStyle name="Normal 5 2 6 2 3 4" xfId="31444" xr:uid="{B0895DF9-0335-43F8-B58A-8CEB9880C6E3}"/>
    <cellStyle name="Normal 5 2 6 2 4" xfId="9388" xr:uid="{38BE55A5-085B-499D-8766-DF826B77D03C}"/>
    <cellStyle name="Normal 5 2 6 2 5" xfId="10333" xr:uid="{818A3258-4318-44E2-865B-4D141DD0296C}"/>
    <cellStyle name="Normal 5 2 6 2 6" xfId="18780" xr:uid="{BDFCE6FC-8D85-4656-AA99-74B8F1CD22AA}"/>
    <cellStyle name="Normal 5 2 6 2 7" xfId="27227" xr:uid="{B70E6B61-8A69-41D6-BE5F-700BA6E622B6}"/>
    <cellStyle name="Normal 5 2 6 3" xfId="1330" xr:uid="{00000000-0005-0000-0000-00004F190000}"/>
    <cellStyle name="Normal 5 2 6 3 2" xfId="3560" xr:uid="{00000000-0005-0000-0000-000050190000}"/>
    <cellStyle name="Normal 5 2 6 3 2 2" xfId="7782" xr:uid="{00000000-0005-0000-0000-000051190000}"/>
    <cellStyle name="Normal 5 2 6 3 2 2 2" xfId="17108" xr:uid="{B1BF525B-57C6-4C45-A463-7A7785116CAB}"/>
    <cellStyle name="Normal 5 2 6 3 2 2 3" xfId="25555" xr:uid="{2F3E9FE3-BF76-4129-B756-CB4F81DC36F3}"/>
    <cellStyle name="Normal 5 2 6 3 2 2 4" xfId="34002" xr:uid="{66370A17-FDB7-4FC7-88B7-6C8A61417755}"/>
    <cellStyle name="Normal 5 2 6 3 2 3" xfId="12891" xr:uid="{09511BF9-4BB9-4222-942F-D319F3D0E7EE}"/>
    <cellStyle name="Normal 5 2 6 3 2 4" xfId="21338" xr:uid="{0D20FC52-E8AE-4B70-9169-D1D20D75A8DA}"/>
    <cellStyle name="Normal 5 2 6 3 2 5" xfId="29785" xr:uid="{DDF48B52-5E6D-4ED2-ABC4-C1FCB3BE288E}"/>
    <cellStyle name="Normal 5 2 6 3 3" xfId="5637" xr:uid="{00000000-0005-0000-0000-000052190000}"/>
    <cellStyle name="Normal 5 2 6 3 3 2" xfId="14963" xr:uid="{DD09E797-74B5-47BD-9FA5-FFA644EA569B}"/>
    <cellStyle name="Normal 5 2 6 3 3 3" xfId="23410" xr:uid="{3FD4A7E8-AF95-490B-B4C0-A3C9A22EFD5C}"/>
    <cellStyle name="Normal 5 2 6 3 3 4" xfId="31857" xr:uid="{FD26F84E-C638-4499-9A4F-930E180B850F}"/>
    <cellStyle name="Normal 5 2 6 3 4" xfId="10746" xr:uid="{AACF8499-F62D-494D-AE6F-DE9AB9E9B1FF}"/>
    <cellStyle name="Normal 5 2 6 3 5" xfId="19193" xr:uid="{C5F9B4FA-DFC0-471A-AAFD-8DB4D9111761}"/>
    <cellStyle name="Normal 5 2 6 3 6" xfId="27640" xr:uid="{F44D7CB8-DFDA-4866-9F69-1FA7AC97575A}"/>
    <cellStyle name="Normal 5 2 6 4" xfId="1743" xr:uid="{00000000-0005-0000-0000-000053190000}"/>
    <cellStyle name="Normal 5 2 6 4 2" xfId="3973" xr:uid="{00000000-0005-0000-0000-000054190000}"/>
    <cellStyle name="Normal 5 2 6 4 2 2" xfId="8195" xr:uid="{00000000-0005-0000-0000-000055190000}"/>
    <cellStyle name="Normal 5 2 6 4 2 2 2" xfId="17521" xr:uid="{8FA66685-0296-4A1A-AD21-A2513A5EC86D}"/>
    <cellStyle name="Normal 5 2 6 4 2 2 3" xfId="25968" xr:uid="{0F81E76C-5D32-473A-ABDD-6BCD14C48C0E}"/>
    <cellStyle name="Normal 5 2 6 4 2 2 4" xfId="34415" xr:uid="{5CCCEB71-3481-43A3-86DF-F52E18E6DDCB}"/>
    <cellStyle name="Normal 5 2 6 4 2 3" xfId="13304" xr:uid="{4CE64307-FCD9-4BC3-B308-AEA83EF3A986}"/>
    <cellStyle name="Normal 5 2 6 4 2 4" xfId="21751" xr:uid="{C5B29480-4DBC-45F3-99BB-7F37300CD16D}"/>
    <cellStyle name="Normal 5 2 6 4 2 5" xfId="30198" xr:uid="{27656F40-4FC1-46AF-994C-2282F71DC73C}"/>
    <cellStyle name="Normal 5 2 6 4 3" xfId="6050" xr:uid="{00000000-0005-0000-0000-000056190000}"/>
    <cellStyle name="Normal 5 2 6 4 3 2" xfId="15376" xr:uid="{DF3A6DB4-0CC0-4AFF-8186-DDDFFFF8EE1D}"/>
    <cellStyle name="Normal 5 2 6 4 3 3" xfId="23823" xr:uid="{2C8B1D52-76B4-4A47-B2A9-D3DB6FE256F2}"/>
    <cellStyle name="Normal 5 2 6 4 3 4" xfId="32270" xr:uid="{88342A05-B9B3-4020-845E-9FFAE7CD1361}"/>
    <cellStyle name="Normal 5 2 6 4 4" xfId="11159" xr:uid="{5A9998B1-FA67-4449-A633-3D2F39DBA341}"/>
    <cellStyle name="Normal 5 2 6 4 5" xfId="19606" xr:uid="{FA1A6C15-C79A-4F8C-8410-AAA2E8525920}"/>
    <cellStyle name="Normal 5 2 6 4 6" xfId="28053" xr:uid="{E99F5A41-6523-4E51-A2E3-6DD291BEE23D}"/>
    <cellStyle name="Normal 5 2 6 5" xfId="2157" xr:uid="{00000000-0005-0000-0000-000057190000}"/>
    <cellStyle name="Normal 5 2 6 5 2" xfId="4386" xr:uid="{00000000-0005-0000-0000-000058190000}"/>
    <cellStyle name="Normal 5 2 6 5 2 2" xfId="8608" xr:uid="{00000000-0005-0000-0000-000059190000}"/>
    <cellStyle name="Normal 5 2 6 5 2 2 2" xfId="17934" xr:uid="{8FE16BF9-F626-434A-95BF-B58660FEE25E}"/>
    <cellStyle name="Normal 5 2 6 5 2 2 3" xfId="26381" xr:uid="{29E58A1F-B921-458D-9563-B4D48D6BC2D1}"/>
    <cellStyle name="Normal 5 2 6 5 2 2 4" xfId="34828" xr:uid="{29E8C598-4293-4A1E-9D3D-F934997C3009}"/>
    <cellStyle name="Normal 5 2 6 5 2 3" xfId="13717" xr:uid="{67E33ABF-A8BE-48BC-B6A4-BCE2A73AEF69}"/>
    <cellStyle name="Normal 5 2 6 5 2 4" xfId="22164" xr:uid="{90F84E0B-180B-41D1-8671-F1E05540FF08}"/>
    <cellStyle name="Normal 5 2 6 5 2 5" xfId="30611" xr:uid="{02BFFF26-DD87-4D5A-A72A-76DFE6C3069B}"/>
    <cellStyle name="Normal 5 2 6 5 3" xfId="6463" xr:uid="{00000000-0005-0000-0000-00005A190000}"/>
    <cellStyle name="Normal 5 2 6 5 3 2" xfId="15789" xr:uid="{B07A56C9-02F7-428F-8221-8F963A2846C9}"/>
    <cellStyle name="Normal 5 2 6 5 3 3" xfId="24236" xr:uid="{EBC4E5D4-F4AA-4FB7-A7FD-592326607EC6}"/>
    <cellStyle name="Normal 5 2 6 5 3 4" xfId="32683" xr:uid="{78415B41-74B3-4480-A607-D4D22820549C}"/>
    <cellStyle name="Normal 5 2 6 5 4" xfId="11572" xr:uid="{9B9DF83D-5AD1-4519-8358-34507097EE59}"/>
    <cellStyle name="Normal 5 2 6 5 5" xfId="20019" xr:uid="{13DA7FF4-E0F4-4221-B366-13AEF850344C}"/>
    <cellStyle name="Normal 5 2 6 5 6" xfId="28466" xr:uid="{A8EB47EB-EB14-4E67-A875-6980EF8301FA}"/>
    <cellStyle name="Normal 5 2 6 6" xfId="2593" xr:uid="{00000000-0005-0000-0000-00005B190000}"/>
    <cellStyle name="Normal 5 2 6 6 2" xfId="6876" xr:uid="{00000000-0005-0000-0000-00005C190000}"/>
    <cellStyle name="Normal 5 2 6 6 2 2" xfId="16202" xr:uid="{8ED55164-4A0A-47A3-B819-624FA41F81B6}"/>
    <cellStyle name="Normal 5 2 6 6 2 3" xfId="24649" xr:uid="{18CEE7A6-77EF-4353-B495-46FD74E38306}"/>
    <cellStyle name="Normal 5 2 6 6 2 4" xfId="33096" xr:uid="{FEFAF8BD-FC24-40D7-95EA-1FC7C2BF2230}"/>
    <cellStyle name="Normal 5 2 6 6 3" xfId="11985" xr:uid="{C5657B65-5A83-4A1F-B25C-CD849DA546A8}"/>
    <cellStyle name="Normal 5 2 6 6 4" xfId="20432" xr:uid="{717F734F-638E-4CDE-973A-D73C5B16C9F7}"/>
    <cellStyle name="Normal 5 2 6 6 5" xfId="28879" xr:uid="{7E4F6478-F773-451E-A7AB-0C81A8988FF2}"/>
    <cellStyle name="Normal 5 2 6 7" xfId="4811" xr:uid="{00000000-0005-0000-0000-00005D190000}"/>
    <cellStyle name="Normal 5 2 6 7 2" xfId="14137" xr:uid="{6732B13C-D0A7-478C-BAFC-20F1099C4717}"/>
    <cellStyle name="Normal 5 2 6 7 3" xfId="22584" xr:uid="{ECFAF93D-1F20-4DD8-A115-1DB119CACDB9}"/>
    <cellStyle name="Normal 5 2 6 7 4" xfId="31031" xr:uid="{C437F849-987E-4467-BCDA-68C945DDEE49}"/>
    <cellStyle name="Normal 5 2 6 8" xfId="8963" xr:uid="{01BDB756-0B70-4C0D-AC32-9959EE0C8F11}"/>
    <cellStyle name="Normal 5 2 6 9" xfId="9920" xr:uid="{34B0EF6F-774D-4686-9C0E-94AF18F193A0}"/>
    <cellStyle name="Normal 5 2 7" xfId="881" xr:uid="{00000000-0005-0000-0000-00005E190000}"/>
    <cellStyle name="Normal 5 2 7 2" xfId="3116" xr:uid="{00000000-0005-0000-0000-00005F190000}"/>
    <cellStyle name="Normal 5 2 7 2 2" xfId="7338" xr:uid="{00000000-0005-0000-0000-000060190000}"/>
    <cellStyle name="Normal 5 2 7 2 2 2" xfId="16664" xr:uid="{92472821-0B20-4958-ACF2-6188602278E3}"/>
    <cellStyle name="Normal 5 2 7 2 2 3" xfId="25111" xr:uid="{D5116E71-E947-44E2-83E8-86D6FA1681B3}"/>
    <cellStyle name="Normal 5 2 7 2 2 4" xfId="33558" xr:uid="{4C2C1079-D9C2-478E-97F1-A6A23ABD47DA}"/>
    <cellStyle name="Normal 5 2 7 2 3" xfId="12447" xr:uid="{FD31AFA1-1EE6-4733-9643-5F98A597744F}"/>
    <cellStyle name="Normal 5 2 7 2 4" xfId="20894" xr:uid="{DFD6678C-F1A5-44A4-BDE3-26A558850E85}"/>
    <cellStyle name="Normal 5 2 7 2 5" xfId="29341" xr:uid="{23F49451-30AA-41F4-BA33-86AEB71F9DD2}"/>
    <cellStyle name="Normal 5 2 7 3" xfId="5193" xr:uid="{00000000-0005-0000-0000-000061190000}"/>
    <cellStyle name="Normal 5 2 7 3 2" xfId="14519" xr:uid="{02F9CEE2-B6E8-4327-8DC1-6A2C5344DC18}"/>
    <cellStyle name="Normal 5 2 7 3 3" xfId="22966" xr:uid="{5CA3B5DE-80EA-4563-ABCF-FE550BA571CE}"/>
    <cellStyle name="Normal 5 2 7 3 4" xfId="31413" xr:uid="{EB2300D9-55C4-4276-B295-19C22D1B4DAF}"/>
    <cellStyle name="Normal 5 2 7 4" xfId="9166" xr:uid="{903BB692-5043-4803-B109-F7C532EB2A09}"/>
    <cellStyle name="Normal 5 2 7 5" xfId="10302" xr:uid="{D177D53F-A5A4-4EE9-A0A5-2D1E92BC947E}"/>
    <cellStyle name="Normal 5 2 7 6" xfId="18749" xr:uid="{21F2D634-77D1-41BF-A0AE-5FE330235176}"/>
    <cellStyle name="Normal 5 2 7 7" xfId="27196" xr:uid="{7E2AB741-D553-4C3E-923F-F698980A274B}"/>
    <cellStyle name="Normal 5 2 8" xfId="1299" xr:uid="{00000000-0005-0000-0000-000062190000}"/>
    <cellStyle name="Normal 5 2 8 2" xfId="3529" xr:uid="{00000000-0005-0000-0000-000063190000}"/>
    <cellStyle name="Normal 5 2 8 2 2" xfId="7751" xr:uid="{00000000-0005-0000-0000-000064190000}"/>
    <cellStyle name="Normal 5 2 8 2 2 2" xfId="17077" xr:uid="{94D45879-EA28-43FB-9AB9-928436506C4F}"/>
    <cellStyle name="Normal 5 2 8 2 2 3" xfId="25524" xr:uid="{E7671864-EEA7-479D-8CAD-C930E3460885}"/>
    <cellStyle name="Normal 5 2 8 2 2 4" xfId="33971" xr:uid="{9018468A-9143-4A34-8700-0FE31DAF7846}"/>
    <cellStyle name="Normal 5 2 8 2 3" xfId="12860" xr:uid="{903F8F9B-1BB6-4D01-BF0B-ECC0D85F3BD3}"/>
    <cellStyle name="Normal 5 2 8 2 4" xfId="21307" xr:uid="{D4DCD70A-2E68-4C3D-AEAF-0C62A08849FF}"/>
    <cellStyle name="Normal 5 2 8 2 5" xfId="29754" xr:uid="{7C9ABA8D-6653-4E1F-B12C-F69A1F0301D5}"/>
    <cellStyle name="Normal 5 2 8 3" xfId="5606" xr:uid="{00000000-0005-0000-0000-000065190000}"/>
    <cellStyle name="Normal 5 2 8 3 2" xfId="14932" xr:uid="{0DC7F5A4-9AAF-4C3F-B654-7C9217C5E0F0}"/>
    <cellStyle name="Normal 5 2 8 3 3" xfId="23379" xr:uid="{B0D3D0B0-E96F-4BF2-955E-77D68B1C2AB3}"/>
    <cellStyle name="Normal 5 2 8 3 4" xfId="31826" xr:uid="{5A738581-0F19-44F8-AE6A-4B2519B6FDCE}"/>
    <cellStyle name="Normal 5 2 8 4" xfId="10715" xr:uid="{1E9E85E3-241D-451E-B32F-9F639ED46BC9}"/>
    <cellStyle name="Normal 5 2 8 5" xfId="19162" xr:uid="{4DD401C5-32ED-4085-B4FE-C89B54B7E5E1}"/>
    <cellStyle name="Normal 5 2 8 6" xfId="27609" xr:uid="{A5762EC2-8F6A-455F-8BC8-76E7A2A4D49C}"/>
    <cellStyle name="Normal 5 2 9" xfId="1712" xr:uid="{00000000-0005-0000-0000-000066190000}"/>
    <cellStyle name="Normal 5 2 9 2" xfId="3942" xr:uid="{00000000-0005-0000-0000-000067190000}"/>
    <cellStyle name="Normal 5 2 9 2 2" xfId="8164" xr:uid="{00000000-0005-0000-0000-000068190000}"/>
    <cellStyle name="Normal 5 2 9 2 2 2" xfId="17490" xr:uid="{4259B67A-D522-4AB5-B995-9C69844BECA4}"/>
    <cellStyle name="Normal 5 2 9 2 2 3" xfId="25937" xr:uid="{92429204-7240-4B91-895D-E9EEE4603EB8}"/>
    <cellStyle name="Normal 5 2 9 2 2 4" xfId="34384" xr:uid="{0970E0B1-A844-43C0-9226-D8E9820FAA74}"/>
    <cellStyle name="Normal 5 2 9 2 3" xfId="13273" xr:uid="{7DD3C377-7713-498E-9B07-B679DC62CD87}"/>
    <cellStyle name="Normal 5 2 9 2 4" xfId="21720" xr:uid="{21589914-987F-41A0-95F5-DD70C15410E5}"/>
    <cellStyle name="Normal 5 2 9 2 5" xfId="30167" xr:uid="{3DB105E7-BE97-439C-A75E-E5C68BA497B1}"/>
    <cellStyle name="Normal 5 2 9 3" xfId="6019" xr:uid="{00000000-0005-0000-0000-000069190000}"/>
    <cellStyle name="Normal 5 2 9 3 2" xfId="15345" xr:uid="{CE78C9B9-B4BE-4B88-8BC2-4B98F324D86E}"/>
    <cellStyle name="Normal 5 2 9 3 3" xfId="23792" xr:uid="{5C16FE0B-1DA3-4F1B-A15D-646C3C07C2BC}"/>
    <cellStyle name="Normal 5 2 9 3 4" xfId="32239" xr:uid="{B18CAB8C-C08C-4A8E-848E-BA40FD7F932D}"/>
    <cellStyle name="Normal 5 2 9 4" xfId="11128" xr:uid="{AE0FBD9A-47CE-421D-84D7-6037C7DA7FF8}"/>
    <cellStyle name="Normal 5 2 9 5" xfId="19575" xr:uid="{BA571007-1A01-43A7-984F-4388506A18BE}"/>
    <cellStyle name="Normal 5 2 9 6" xfId="28022" xr:uid="{A4B315D8-4A69-4929-B5E7-95AD4E4A850E}"/>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17935" xr:uid="{10C40C51-2427-427C-AC26-394DC42AABC8}"/>
    <cellStyle name="Normal 5 3 10 2 2 3" xfId="26382" xr:uid="{4C8C73B2-48A0-4C15-97E1-D8125CFC07C5}"/>
    <cellStyle name="Normal 5 3 10 2 2 4" xfId="34829" xr:uid="{36A31A3A-8877-4C94-AB2F-01F9688956F7}"/>
    <cellStyle name="Normal 5 3 10 2 3" xfId="13718" xr:uid="{6CBFF49D-5E11-4D99-8F5C-A3FC7277D899}"/>
    <cellStyle name="Normal 5 3 10 2 4" xfId="22165" xr:uid="{ECFD5850-AF2B-4AF1-B4BB-C594AEA8E240}"/>
    <cellStyle name="Normal 5 3 10 2 5" xfId="30612" xr:uid="{6DBC1674-0242-479B-AB77-5E2D77D81748}"/>
    <cellStyle name="Normal 5 3 10 3" xfId="6464" xr:uid="{00000000-0005-0000-0000-00006E190000}"/>
    <cellStyle name="Normal 5 3 10 3 2" xfId="15790" xr:uid="{998E5160-3F10-4DF9-BE95-EED0567EDE75}"/>
    <cellStyle name="Normal 5 3 10 3 3" xfId="24237" xr:uid="{21FCD58A-9C35-4303-93E1-C901751AB457}"/>
    <cellStyle name="Normal 5 3 10 3 4" xfId="32684" xr:uid="{A65373F8-DD88-46EE-A27E-CEB8FE047A38}"/>
    <cellStyle name="Normal 5 3 10 4" xfId="11573" xr:uid="{C5F869E3-77F6-43C5-B20F-E557890898C1}"/>
    <cellStyle name="Normal 5 3 10 5" xfId="20020" xr:uid="{37F5986C-1CCE-4E72-86B0-74A05F8EB362}"/>
    <cellStyle name="Normal 5 3 10 6" xfId="28467" xr:uid="{CF1B188A-B9E8-4596-B4FE-2AD77BF6EF9D}"/>
    <cellStyle name="Normal 5 3 11" xfId="2594" xr:uid="{00000000-0005-0000-0000-00006F190000}"/>
    <cellStyle name="Normal 5 3 11 2" xfId="6877" xr:uid="{00000000-0005-0000-0000-000070190000}"/>
    <cellStyle name="Normal 5 3 11 2 2" xfId="16203" xr:uid="{76F303EB-D8FB-4090-B79E-80C0B8ADAEF5}"/>
    <cellStyle name="Normal 5 3 11 2 3" xfId="24650" xr:uid="{87D90641-87F5-4F86-824D-60C92960A232}"/>
    <cellStyle name="Normal 5 3 11 2 4" xfId="33097" xr:uid="{C51D6F42-2E75-458B-ACC2-4C5FFBD4948E}"/>
    <cellStyle name="Normal 5 3 11 3" xfId="11986" xr:uid="{ADD2402E-B710-452B-866B-1A6B835E0468}"/>
    <cellStyle name="Normal 5 3 11 4" xfId="20433" xr:uid="{58229BC4-43A2-4F94-863A-9C5B308574A8}"/>
    <cellStyle name="Normal 5 3 11 5" xfId="28880" xr:uid="{EA1B4726-864C-4FF1-8F1E-E29E31E55B6B}"/>
    <cellStyle name="Normal 5 3 12" xfId="4812" xr:uid="{00000000-0005-0000-0000-000071190000}"/>
    <cellStyle name="Normal 5 3 12 2" xfId="14138" xr:uid="{D57F55A6-B1E5-43C9-976A-30903C9443F6}"/>
    <cellStyle name="Normal 5 3 12 3" xfId="22585" xr:uid="{3E9A3CC5-6189-49C5-995F-4B83C22B1B8E}"/>
    <cellStyle name="Normal 5 3 12 4" xfId="31032" xr:uid="{202342E7-C971-496B-A842-8A6CA001012F}"/>
    <cellStyle name="Normal 5 3 13" xfId="8750" xr:uid="{36957AEF-D081-4A23-AEE3-073A5901863C}"/>
    <cellStyle name="Normal 5 3 14" xfId="9921" xr:uid="{0C82B05E-1B78-4309-9E36-BF4C30B88EFA}"/>
    <cellStyle name="Normal 5 3 15" xfId="18368" xr:uid="{0EFD5CFE-E327-450B-9800-8E15273F1F39}"/>
    <cellStyle name="Normal 5 3 16" xfId="26815" xr:uid="{2A7525FD-C3A7-4F29-9E5B-91679040FC99}"/>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14139" xr:uid="{EEAC8290-8446-4CF5-B8FE-2E7864AA2D41}"/>
    <cellStyle name="Normal 5 3 3 10 3" xfId="22586" xr:uid="{B62002B8-4087-4696-BB67-A273CE03C777}"/>
    <cellStyle name="Normal 5 3 3 10 4" xfId="31033" xr:uid="{D7239648-6582-48F6-9D84-263F139ABE03}"/>
    <cellStyle name="Normal 5 3 3 11" xfId="8782" xr:uid="{4219AD28-469A-4693-BD0B-B0536AC433E5}"/>
    <cellStyle name="Normal 5 3 3 12" xfId="9922" xr:uid="{70993978-676E-4C82-BBAF-0874D4A03EBC}"/>
    <cellStyle name="Normal 5 3 3 13" xfId="18369" xr:uid="{A402F959-BE75-4FF9-95E5-9E8B9BDA8821}"/>
    <cellStyle name="Normal 5 3 3 14" xfId="26816" xr:uid="{0853265D-77EC-459E-994D-294438EEF3C1}"/>
    <cellStyle name="Normal 5 3 3 2" xfId="442" xr:uid="{00000000-0005-0000-0000-000076190000}"/>
    <cellStyle name="Normal 5 3 3 2 10" xfId="8832" xr:uid="{03323DDB-E4E1-4078-8BBE-EA3DD4471E1B}"/>
    <cellStyle name="Normal 5 3 3 2 11" xfId="9923" xr:uid="{93D6E19C-A42C-4CE5-A0CD-CAA221B3ABD2}"/>
    <cellStyle name="Normal 5 3 3 2 12" xfId="18370" xr:uid="{AF97BBBB-D7C4-48C0-958E-A428BF49FDBD}"/>
    <cellStyle name="Normal 5 3 3 2 13" xfId="26817" xr:uid="{E8D673DC-7C0C-4C3A-A69F-C45575272BE3}"/>
    <cellStyle name="Normal 5 3 3 2 2" xfId="443" xr:uid="{00000000-0005-0000-0000-000077190000}"/>
    <cellStyle name="Normal 5 3 3 2 2 10" xfId="9924" xr:uid="{16D71226-99CF-411F-9DCC-2AFCA0154800}"/>
    <cellStyle name="Normal 5 3 3 2 2 11" xfId="18371" xr:uid="{5583C6AD-9542-4A9D-B3AD-F7A8D5F8BBF7}"/>
    <cellStyle name="Normal 5 3 3 2 2 12" xfId="26818" xr:uid="{425DEF25-B767-4265-87DF-8F09E91BA5F6}"/>
    <cellStyle name="Normal 5 3 3 2 2 2" xfId="444" xr:uid="{00000000-0005-0000-0000-000078190000}"/>
    <cellStyle name="Normal 5 3 3 2 2 2 10" xfId="18372" xr:uid="{384D3F3A-DFB4-4233-8E56-BB066242B383}"/>
    <cellStyle name="Normal 5 3 3 2 2 2 11" xfId="26819" xr:uid="{228B7095-C951-47FB-9145-2AE4FA24D90E}"/>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16700" xr:uid="{77BFB878-2451-4335-A872-E9BA1FCB8234}"/>
    <cellStyle name="Normal 5 3 3 2 2 2 2 2 2 3" xfId="25147" xr:uid="{F19D89BE-5B49-4CC0-9E61-B6F5F62A6974}"/>
    <cellStyle name="Normal 5 3 3 2 2 2 2 2 2 4" xfId="33594" xr:uid="{D1FD8DF6-4D47-4019-8394-A46D630CD3B0}"/>
    <cellStyle name="Normal 5 3 3 2 2 2 2 2 3" xfId="12483" xr:uid="{FEE7D04F-80EF-4619-BC53-D21F80FB1BBC}"/>
    <cellStyle name="Normal 5 3 3 2 2 2 2 2 4" xfId="20930" xr:uid="{433D04DE-56E7-4AD3-ABCE-CF22217E8EF5}"/>
    <cellStyle name="Normal 5 3 3 2 2 2 2 2 5" xfId="29377" xr:uid="{25850BE9-E15A-44E4-9CD7-64321EED4ABC}"/>
    <cellStyle name="Normal 5 3 3 2 2 2 2 3" xfId="5229" xr:uid="{00000000-0005-0000-0000-00007C190000}"/>
    <cellStyle name="Normal 5 3 3 2 2 2 2 3 2" xfId="14555" xr:uid="{C1BF9BF8-3931-447C-9830-8C7305F88127}"/>
    <cellStyle name="Normal 5 3 3 2 2 2 2 3 3" xfId="23002" xr:uid="{94F930DB-57E1-4EFA-812F-3A602216C064}"/>
    <cellStyle name="Normal 5 3 3 2 2 2 2 3 4" xfId="31449" xr:uid="{F326E23F-AA16-4078-8517-95594FBD62AC}"/>
    <cellStyle name="Normal 5 3 3 2 2 2 2 4" xfId="9567" xr:uid="{C2519486-6BC5-47D1-879F-EC6040BC9E9D}"/>
    <cellStyle name="Normal 5 3 3 2 2 2 2 5" xfId="10338" xr:uid="{C5E18379-FDDB-47BE-AB64-27EC71C9A63F}"/>
    <cellStyle name="Normal 5 3 3 2 2 2 2 6" xfId="18785" xr:uid="{154911B1-872A-43BC-80A9-90A784F8C78A}"/>
    <cellStyle name="Normal 5 3 3 2 2 2 2 7" xfId="27232" xr:uid="{0CE888C6-9676-4923-B625-A6DBFB00313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17113" xr:uid="{56F67A9B-6605-44D0-B581-1813E3AD1A49}"/>
    <cellStyle name="Normal 5 3 3 2 2 2 3 2 2 3" xfId="25560" xr:uid="{54F7A005-C5B0-45BE-AC16-3B288CDFEFAE}"/>
    <cellStyle name="Normal 5 3 3 2 2 2 3 2 2 4" xfId="34007" xr:uid="{DCB11678-D510-4EAC-9EF7-3B6E7459BF27}"/>
    <cellStyle name="Normal 5 3 3 2 2 2 3 2 3" xfId="12896" xr:uid="{B5925B96-1DCF-4495-8F2B-4A91C5043271}"/>
    <cellStyle name="Normal 5 3 3 2 2 2 3 2 4" xfId="21343" xr:uid="{E96B7440-8D69-41C0-BF07-0BC4D65CDDBC}"/>
    <cellStyle name="Normal 5 3 3 2 2 2 3 2 5" xfId="29790" xr:uid="{C6B98520-6026-4324-B186-639EDB7EB6C0}"/>
    <cellStyle name="Normal 5 3 3 2 2 2 3 3" xfId="5642" xr:uid="{00000000-0005-0000-0000-000080190000}"/>
    <cellStyle name="Normal 5 3 3 2 2 2 3 3 2" xfId="14968" xr:uid="{AEC76470-6995-4B10-9FFA-A1D97C50A0BD}"/>
    <cellStyle name="Normal 5 3 3 2 2 2 3 3 3" xfId="23415" xr:uid="{1C8EE805-3828-49A4-9075-A2298E43848D}"/>
    <cellStyle name="Normal 5 3 3 2 2 2 3 3 4" xfId="31862" xr:uid="{99061035-816F-497A-88CA-D442BEADF5FA}"/>
    <cellStyle name="Normal 5 3 3 2 2 2 3 4" xfId="10751" xr:uid="{EF5CDFFF-2B75-4D31-89A4-ACCCE913681F}"/>
    <cellStyle name="Normal 5 3 3 2 2 2 3 5" xfId="19198" xr:uid="{827315FF-FB55-4214-A8BE-B6B0578752A2}"/>
    <cellStyle name="Normal 5 3 3 2 2 2 3 6" xfId="27645" xr:uid="{3ED5F3C4-E1DA-4AB6-92CA-A1E64C450EA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17526" xr:uid="{D65EA642-C09D-433E-AF9E-39559E77D739}"/>
    <cellStyle name="Normal 5 3 3 2 2 2 4 2 2 3" xfId="25973" xr:uid="{6F09566B-C3FF-4CC6-B5C9-D82726169A33}"/>
    <cellStyle name="Normal 5 3 3 2 2 2 4 2 2 4" xfId="34420" xr:uid="{FC11B3FC-230B-494E-A99D-215113D007C7}"/>
    <cellStyle name="Normal 5 3 3 2 2 2 4 2 3" xfId="13309" xr:uid="{E581C0C8-0810-4F08-B472-C91799755BE9}"/>
    <cellStyle name="Normal 5 3 3 2 2 2 4 2 4" xfId="21756" xr:uid="{4549B737-6626-4B05-A4EA-5206E72FE87A}"/>
    <cellStyle name="Normal 5 3 3 2 2 2 4 2 5" xfId="30203" xr:uid="{F134549B-5B2C-4F18-A273-B187F27EE220}"/>
    <cellStyle name="Normal 5 3 3 2 2 2 4 3" xfId="6055" xr:uid="{00000000-0005-0000-0000-000084190000}"/>
    <cellStyle name="Normal 5 3 3 2 2 2 4 3 2" xfId="15381" xr:uid="{91CAC8D0-1B8F-4EA9-A6A1-6096DC766B93}"/>
    <cellStyle name="Normal 5 3 3 2 2 2 4 3 3" xfId="23828" xr:uid="{FE7FE133-E9F9-4225-B6FC-A18F56D84CC0}"/>
    <cellStyle name="Normal 5 3 3 2 2 2 4 3 4" xfId="32275" xr:uid="{E4DC72C6-DAA7-42BC-BF36-3ABD1F6388ED}"/>
    <cellStyle name="Normal 5 3 3 2 2 2 4 4" xfId="11164" xr:uid="{500C1874-2B06-45D5-9BE5-7C1CB8FF4B14}"/>
    <cellStyle name="Normal 5 3 3 2 2 2 4 5" xfId="19611" xr:uid="{ED26E30A-DE8A-43EC-AAF2-FF73DD7AB1AF}"/>
    <cellStyle name="Normal 5 3 3 2 2 2 4 6" xfId="28058" xr:uid="{CEB8003F-8ACC-4923-9D71-4A3C03277F7C}"/>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17939" xr:uid="{87B48381-CDC1-4639-8FBC-59E6A2279911}"/>
    <cellStyle name="Normal 5 3 3 2 2 2 5 2 2 3" xfId="26386" xr:uid="{5876B9CC-75AD-44CA-A17D-B4C5B7AD3C1F}"/>
    <cellStyle name="Normal 5 3 3 2 2 2 5 2 2 4" xfId="34833" xr:uid="{C793D81A-264C-4BC0-8BEE-68E2EF45A7CB}"/>
    <cellStyle name="Normal 5 3 3 2 2 2 5 2 3" xfId="13722" xr:uid="{D9130306-960F-4D76-B8AC-D8490C9406B1}"/>
    <cellStyle name="Normal 5 3 3 2 2 2 5 2 4" xfId="22169" xr:uid="{D815055B-A2C4-4A2A-A706-AF49823285CB}"/>
    <cellStyle name="Normal 5 3 3 2 2 2 5 2 5" xfId="30616" xr:uid="{2E614B95-B966-4EC6-A89C-A41988BB6731}"/>
    <cellStyle name="Normal 5 3 3 2 2 2 5 3" xfId="6468" xr:uid="{00000000-0005-0000-0000-000088190000}"/>
    <cellStyle name="Normal 5 3 3 2 2 2 5 3 2" xfId="15794" xr:uid="{0BB02A30-472D-42BF-BEF0-EA2DADABEB01}"/>
    <cellStyle name="Normal 5 3 3 2 2 2 5 3 3" xfId="24241" xr:uid="{A3DBB4D4-E3CE-43E4-A874-3577BECAA57A}"/>
    <cellStyle name="Normal 5 3 3 2 2 2 5 3 4" xfId="32688" xr:uid="{1C16883B-6BCF-4446-A775-94AF7E891B0D}"/>
    <cellStyle name="Normal 5 3 3 2 2 2 5 4" xfId="11577" xr:uid="{4664B73C-5C3A-4422-8CB0-BEFCF55EB826}"/>
    <cellStyle name="Normal 5 3 3 2 2 2 5 5" xfId="20024" xr:uid="{5CD880E5-84B4-4BCD-A27D-41BA87095FFF}"/>
    <cellStyle name="Normal 5 3 3 2 2 2 5 6" xfId="28471" xr:uid="{BAEB3F0B-9C77-40B9-BFA6-1472D86F122E}"/>
    <cellStyle name="Normal 5 3 3 2 2 2 6" xfId="2598" xr:uid="{00000000-0005-0000-0000-000089190000}"/>
    <cellStyle name="Normal 5 3 3 2 2 2 6 2" xfId="6881" xr:uid="{00000000-0005-0000-0000-00008A190000}"/>
    <cellStyle name="Normal 5 3 3 2 2 2 6 2 2" xfId="16207" xr:uid="{AD61EA74-69C2-45EC-B6A2-C686382896D3}"/>
    <cellStyle name="Normal 5 3 3 2 2 2 6 2 3" xfId="24654" xr:uid="{2C361BD7-87E9-4474-9B00-E7D95A2359B8}"/>
    <cellStyle name="Normal 5 3 3 2 2 2 6 2 4" xfId="33101" xr:uid="{3EF7BD22-1EBA-4848-A0E7-B338ABBBCAE1}"/>
    <cellStyle name="Normal 5 3 3 2 2 2 6 3" xfId="11990" xr:uid="{A0DE80B4-D4EE-4182-A1D2-988D0C71D9A8}"/>
    <cellStyle name="Normal 5 3 3 2 2 2 6 4" xfId="20437" xr:uid="{165B7A62-025B-4F5D-8F0C-47CA4CE4A689}"/>
    <cellStyle name="Normal 5 3 3 2 2 2 6 5" xfId="28884" xr:uid="{18BA23E7-72AE-4A39-B938-58B6BC6D0FDE}"/>
    <cellStyle name="Normal 5 3 3 2 2 2 7" xfId="4816" xr:uid="{00000000-0005-0000-0000-00008B190000}"/>
    <cellStyle name="Normal 5 3 3 2 2 2 7 2" xfId="14142" xr:uid="{38E62D16-C78E-48E3-BA65-350AB7B8F23C}"/>
    <cellStyle name="Normal 5 3 3 2 2 2 7 3" xfId="22589" xr:uid="{5E90B4C6-99F2-4B00-AA5B-A81DE66559B5}"/>
    <cellStyle name="Normal 5 3 3 2 2 2 7 4" xfId="31036" xr:uid="{F8D17BAA-0496-4215-84B2-35E239BE1876}"/>
    <cellStyle name="Normal 5 3 3 2 2 2 8" xfId="9142" xr:uid="{81CF9711-3A0B-4712-8E8F-033C974AA9E3}"/>
    <cellStyle name="Normal 5 3 3 2 2 2 9" xfId="9925" xr:uid="{E0B67D72-5708-48DB-B13E-DC7D00718F25}"/>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16699" xr:uid="{A51E4A12-9586-48FB-B066-44E120C35A87}"/>
    <cellStyle name="Normal 5 3 3 2 2 3 2 2 3" xfId="25146" xr:uid="{C307D187-C400-4A66-804A-D71922919FA8}"/>
    <cellStyle name="Normal 5 3 3 2 2 3 2 2 4" xfId="33593" xr:uid="{30E12648-A01C-4686-8981-2D15E6D364A9}"/>
    <cellStyle name="Normal 5 3 3 2 2 3 2 3" xfId="12482" xr:uid="{64FDBEC8-617A-4008-9908-22F720E6BC24}"/>
    <cellStyle name="Normal 5 3 3 2 2 3 2 4" xfId="20929" xr:uid="{959C0066-6865-4E51-8E96-4B27DA1DE290}"/>
    <cellStyle name="Normal 5 3 3 2 2 3 2 5" xfId="29376" xr:uid="{8836EADE-621F-415A-A301-A1E1BB32A3B1}"/>
    <cellStyle name="Normal 5 3 3 2 2 3 3" xfId="5228" xr:uid="{00000000-0005-0000-0000-00008F190000}"/>
    <cellStyle name="Normal 5 3 3 2 2 3 3 2" xfId="14554" xr:uid="{30CBB9CE-C37C-42CD-9F5B-9642232828F4}"/>
    <cellStyle name="Normal 5 3 3 2 2 3 3 3" xfId="23001" xr:uid="{CD411E24-3A66-43A9-BA9E-2768E6FE95FE}"/>
    <cellStyle name="Normal 5 3 3 2 2 3 3 4" xfId="31448" xr:uid="{E54DDD4D-F98F-44CE-A4B2-FA1C1381A67C}"/>
    <cellStyle name="Normal 5 3 3 2 2 3 4" xfId="9360" xr:uid="{07447062-3C9B-4A41-BE9D-50DE495FF588}"/>
    <cellStyle name="Normal 5 3 3 2 2 3 5" xfId="10337" xr:uid="{9334096D-F49F-47F3-AB78-5BE373AE01FF}"/>
    <cellStyle name="Normal 5 3 3 2 2 3 6" xfId="18784" xr:uid="{2A3DB99D-E444-4201-B5D5-8EAD77B1B168}"/>
    <cellStyle name="Normal 5 3 3 2 2 3 7" xfId="27231" xr:uid="{977B6DA4-CCB8-4A67-A06F-53400AC2326A}"/>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17112" xr:uid="{E79C11E5-04E5-4DFD-BE8D-099E6AEF1EEE}"/>
    <cellStyle name="Normal 5 3 3 2 2 4 2 2 3" xfId="25559" xr:uid="{837EAD18-1C36-4876-84B1-51323629B37B}"/>
    <cellStyle name="Normal 5 3 3 2 2 4 2 2 4" xfId="34006" xr:uid="{40CB1B1D-D7DF-4A5A-92C9-7C9040C89DCC}"/>
    <cellStyle name="Normal 5 3 3 2 2 4 2 3" xfId="12895" xr:uid="{EED7D3C6-DD25-4DA6-BD55-8A6942156EDF}"/>
    <cellStyle name="Normal 5 3 3 2 2 4 2 4" xfId="21342" xr:uid="{FD1936B9-ACED-4FC9-BD68-BFD8C6756749}"/>
    <cellStyle name="Normal 5 3 3 2 2 4 2 5" xfId="29789" xr:uid="{517FB837-FB59-466A-A15E-659A900190C7}"/>
    <cellStyle name="Normal 5 3 3 2 2 4 3" xfId="5641" xr:uid="{00000000-0005-0000-0000-000093190000}"/>
    <cellStyle name="Normal 5 3 3 2 2 4 3 2" xfId="14967" xr:uid="{BA4260C4-FC8E-40C5-B294-2D1CA206E8C1}"/>
    <cellStyle name="Normal 5 3 3 2 2 4 3 3" xfId="23414" xr:uid="{0274A04B-D6AC-4E92-8BF4-3E87D28914FC}"/>
    <cellStyle name="Normal 5 3 3 2 2 4 3 4" xfId="31861" xr:uid="{0ECA2E01-E347-43C3-9AD8-65BF64725554}"/>
    <cellStyle name="Normal 5 3 3 2 2 4 4" xfId="10750" xr:uid="{B688D73F-E094-4E00-99BC-63CAFFBEA8F2}"/>
    <cellStyle name="Normal 5 3 3 2 2 4 5" xfId="19197" xr:uid="{D2EE0217-A2A7-4895-955F-FC14F5EE7307}"/>
    <cellStyle name="Normal 5 3 3 2 2 4 6" xfId="27644" xr:uid="{36E2FADA-19ED-4C2A-8073-5786E52DBBEA}"/>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17525" xr:uid="{0B3AD51E-C02E-4E0D-BCCA-F8EEFEF65C52}"/>
    <cellStyle name="Normal 5 3 3 2 2 5 2 2 3" xfId="25972" xr:uid="{FAD5043E-07D1-4576-A447-49E5AA3F4828}"/>
    <cellStyle name="Normal 5 3 3 2 2 5 2 2 4" xfId="34419" xr:uid="{2E1329AE-3B4A-4484-B8F8-EBA78E9D8981}"/>
    <cellStyle name="Normal 5 3 3 2 2 5 2 3" xfId="13308" xr:uid="{DD6F0148-2A6D-41F7-9D93-F9A0E428154F}"/>
    <cellStyle name="Normal 5 3 3 2 2 5 2 4" xfId="21755" xr:uid="{CFD00392-3C93-4203-8A86-86A4FC1FE0E9}"/>
    <cellStyle name="Normal 5 3 3 2 2 5 2 5" xfId="30202" xr:uid="{57FF0B09-B2C0-4D30-9F58-A44768ADD119}"/>
    <cellStyle name="Normal 5 3 3 2 2 5 3" xfId="6054" xr:uid="{00000000-0005-0000-0000-000097190000}"/>
    <cellStyle name="Normal 5 3 3 2 2 5 3 2" xfId="15380" xr:uid="{FDC85F69-03F9-42FC-AD01-D95F50D19A1C}"/>
    <cellStyle name="Normal 5 3 3 2 2 5 3 3" xfId="23827" xr:uid="{9E3EF7FA-2C1D-412C-B1EF-BB7F3B1E39DB}"/>
    <cellStyle name="Normal 5 3 3 2 2 5 3 4" xfId="32274" xr:uid="{473CEDFC-393E-4F2B-B0B0-A090BD9C36AE}"/>
    <cellStyle name="Normal 5 3 3 2 2 5 4" xfId="11163" xr:uid="{28F3F438-A0E2-4F70-91C8-DDE6E968D7CB}"/>
    <cellStyle name="Normal 5 3 3 2 2 5 5" xfId="19610" xr:uid="{C7E61333-0312-409E-AED2-22C7DD3588F6}"/>
    <cellStyle name="Normal 5 3 3 2 2 5 6" xfId="28057" xr:uid="{F717AEDD-9DA8-456C-AF34-5A5F8B6BF665}"/>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17938" xr:uid="{44F05ACB-4C82-4042-8D4E-A1F58CC98168}"/>
    <cellStyle name="Normal 5 3 3 2 2 6 2 2 3" xfId="26385" xr:uid="{09494E9E-3D91-41C2-97D3-44E85E0F4D2D}"/>
    <cellStyle name="Normal 5 3 3 2 2 6 2 2 4" xfId="34832" xr:uid="{B6AB192E-6B97-450C-ABC2-D0F856C2C078}"/>
    <cellStyle name="Normal 5 3 3 2 2 6 2 3" xfId="13721" xr:uid="{6580FF6B-CFA8-40D1-BFDC-7DBF24CEDEBF}"/>
    <cellStyle name="Normal 5 3 3 2 2 6 2 4" xfId="22168" xr:uid="{A6FF1818-0614-435C-B2F3-35CF5468CC35}"/>
    <cellStyle name="Normal 5 3 3 2 2 6 2 5" xfId="30615" xr:uid="{97850687-E8DF-4380-9D95-A6BC63A8C6CB}"/>
    <cellStyle name="Normal 5 3 3 2 2 6 3" xfId="6467" xr:uid="{00000000-0005-0000-0000-00009B190000}"/>
    <cellStyle name="Normal 5 3 3 2 2 6 3 2" xfId="15793" xr:uid="{59E7C953-422B-44AC-93DD-9E4854AFAB07}"/>
    <cellStyle name="Normal 5 3 3 2 2 6 3 3" xfId="24240" xr:uid="{BF6A2EB9-84B8-400B-8AB8-BA1C05BEC5EE}"/>
    <cellStyle name="Normal 5 3 3 2 2 6 3 4" xfId="32687" xr:uid="{939B5B7A-FFDB-4817-91C2-0E2B8A68101C}"/>
    <cellStyle name="Normal 5 3 3 2 2 6 4" xfId="11576" xr:uid="{ADB4A6D3-40F4-4472-A78C-FFDBA577F3A2}"/>
    <cellStyle name="Normal 5 3 3 2 2 6 5" xfId="20023" xr:uid="{040433D4-4FA2-4CBE-9074-F4DF668BB708}"/>
    <cellStyle name="Normal 5 3 3 2 2 6 6" xfId="28470" xr:uid="{95CD5FBF-3192-44E9-9D51-9E5F7A3E8807}"/>
    <cellStyle name="Normal 5 3 3 2 2 7" xfId="2597" xr:uid="{00000000-0005-0000-0000-00009C190000}"/>
    <cellStyle name="Normal 5 3 3 2 2 7 2" xfId="6880" xr:uid="{00000000-0005-0000-0000-00009D190000}"/>
    <cellStyle name="Normal 5 3 3 2 2 7 2 2" xfId="16206" xr:uid="{EEBBB947-1424-4C55-9BCF-3133A50B5BFA}"/>
    <cellStyle name="Normal 5 3 3 2 2 7 2 3" xfId="24653" xr:uid="{210D7B81-B788-4D58-BB7F-88CC2B139D63}"/>
    <cellStyle name="Normal 5 3 3 2 2 7 2 4" xfId="33100" xr:uid="{C6587326-CA1E-447D-A903-5A594B2101A8}"/>
    <cellStyle name="Normal 5 3 3 2 2 7 3" xfId="11989" xr:uid="{90824EFA-EDC2-4E73-8987-86AD656E7914}"/>
    <cellStyle name="Normal 5 3 3 2 2 7 4" xfId="20436" xr:uid="{74E8B077-50AA-4DAB-9F66-5606ED4D1D26}"/>
    <cellStyle name="Normal 5 3 3 2 2 7 5" xfId="28883" xr:uid="{0B797DDB-3E8C-4040-BEE6-E1C1C3FA59AF}"/>
    <cellStyle name="Normal 5 3 3 2 2 8" xfId="4815" xr:uid="{00000000-0005-0000-0000-00009E190000}"/>
    <cellStyle name="Normal 5 3 3 2 2 8 2" xfId="14141" xr:uid="{D5A0DB3A-2731-42E3-9199-69C8F9F93ED1}"/>
    <cellStyle name="Normal 5 3 3 2 2 8 3" xfId="22588" xr:uid="{8DCA677D-52DE-429F-8034-0D3BCC40B344}"/>
    <cellStyle name="Normal 5 3 3 2 2 8 4" xfId="31035" xr:uid="{A8249912-9967-4820-8CFA-76361F188DE2}"/>
    <cellStyle name="Normal 5 3 3 2 2 9" xfId="8935" xr:uid="{94B8766B-0DD5-4CC7-9403-D37FC711344B}"/>
    <cellStyle name="Normal 5 3 3 2 3" xfId="445" xr:uid="{00000000-0005-0000-0000-00009F190000}"/>
    <cellStyle name="Normal 5 3 3 2 3 10" xfId="18373" xr:uid="{F4EEA192-07AC-4696-96E8-98BEDDE66E84}"/>
    <cellStyle name="Normal 5 3 3 2 3 11" xfId="26820" xr:uid="{C9524E00-C44D-46C3-9E90-1A6277C9C5F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16701" xr:uid="{C81F82C5-4A4C-4513-AC06-DD4D2ACF23E6}"/>
    <cellStyle name="Normal 5 3 3 2 3 2 2 2 3" xfId="25148" xr:uid="{D50762E1-1216-457E-B033-FC513B718AFB}"/>
    <cellStyle name="Normal 5 3 3 2 3 2 2 2 4" xfId="33595" xr:uid="{780B13C7-6596-46B0-8040-63DE1B94966E}"/>
    <cellStyle name="Normal 5 3 3 2 3 2 2 3" xfId="12484" xr:uid="{BE046D32-49FF-4760-8EA5-74454D3A6767}"/>
    <cellStyle name="Normal 5 3 3 2 3 2 2 4" xfId="20931" xr:uid="{8DFB97E5-C443-41CA-B74A-E050F1C9B5BF}"/>
    <cellStyle name="Normal 5 3 3 2 3 2 2 5" xfId="29378" xr:uid="{F5872383-1E73-4138-AE15-5506E723E410}"/>
    <cellStyle name="Normal 5 3 3 2 3 2 3" xfId="5230" xr:uid="{00000000-0005-0000-0000-0000A3190000}"/>
    <cellStyle name="Normal 5 3 3 2 3 2 3 2" xfId="14556" xr:uid="{F61D07D8-7A42-4D0F-94F0-FA919547AA86}"/>
    <cellStyle name="Normal 5 3 3 2 3 2 3 3" xfId="23003" xr:uid="{39ADA335-AD6C-4886-B690-D2583AE14840}"/>
    <cellStyle name="Normal 5 3 3 2 3 2 3 4" xfId="31450" xr:uid="{EA122900-1AE2-45AD-9B2F-FCE380D5712D}"/>
    <cellStyle name="Normal 5 3 3 2 3 2 4" xfId="9464" xr:uid="{6A182EEF-0879-47AD-839A-17D560B4AF3D}"/>
    <cellStyle name="Normal 5 3 3 2 3 2 5" xfId="10339" xr:uid="{214BAAF8-5623-41BE-85AB-6789EF72B593}"/>
    <cellStyle name="Normal 5 3 3 2 3 2 6" xfId="18786" xr:uid="{D6DEAC6E-3D00-4F10-9A28-1F31E949F3AE}"/>
    <cellStyle name="Normal 5 3 3 2 3 2 7" xfId="27233" xr:uid="{5317AEC2-0C4A-47C9-AB6E-9BB9D0DE0C24}"/>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17114" xr:uid="{94CF078B-EE1E-4A37-90C9-5EE4232F263E}"/>
    <cellStyle name="Normal 5 3 3 2 3 3 2 2 3" xfId="25561" xr:uid="{491C7397-194B-4933-B36E-54FE585ADC10}"/>
    <cellStyle name="Normal 5 3 3 2 3 3 2 2 4" xfId="34008" xr:uid="{A071D3B5-7BD8-4C1B-8786-7C2FB964DCB9}"/>
    <cellStyle name="Normal 5 3 3 2 3 3 2 3" xfId="12897" xr:uid="{1CCA01C1-6868-45E9-87C0-8D3F78D25BD1}"/>
    <cellStyle name="Normal 5 3 3 2 3 3 2 4" xfId="21344" xr:uid="{0E0F8B4C-49D7-4EE4-8E0F-CCD7535F7C42}"/>
    <cellStyle name="Normal 5 3 3 2 3 3 2 5" xfId="29791" xr:uid="{8C4EEF84-AD07-421A-9580-F027A96B6A9F}"/>
    <cellStyle name="Normal 5 3 3 2 3 3 3" xfId="5643" xr:uid="{00000000-0005-0000-0000-0000A7190000}"/>
    <cellStyle name="Normal 5 3 3 2 3 3 3 2" xfId="14969" xr:uid="{70593313-03BB-4C56-93C9-0B8D04566616}"/>
    <cellStyle name="Normal 5 3 3 2 3 3 3 3" xfId="23416" xr:uid="{01467F15-801A-4385-BE65-359DAAC5BFE8}"/>
    <cellStyle name="Normal 5 3 3 2 3 3 3 4" xfId="31863" xr:uid="{6AD223B5-ABD9-471E-90CE-DDC528EC89A3}"/>
    <cellStyle name="Normal 5 3 3 2 3 3 4" xfId="10752" xr:uid="{5CB26CEC-0904-4638-AFE6-0EB7A6041198}"/>
    <cellStyle name="Normal 5 3 3 2 3 3 5" xfId="19199" xr:uid="{0A3E0389-1682-4419-9F23-48F3F81F5BB6}"/>
    <cellStyle name="Normal 5 3 3 2 3 3 6" xfId="27646" xr:uid="{CFD5F326-68EC-44D4-B540-FD60B085EDAF}"/>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17527" xr:uid="{138CE796-A99F-4974-9867-0A17117ED15F}"/>
    <cellStyle name="Normal 5 3 3 2 3 4 2 2 3" xfId="25974" xr:uid="{BE9CE838-F0CE-43E6-B988-74F6C9BF0510}"/>
    <cellStyle name="Normal 5 3 3 2 3 4 2 2 4" xfId="34421" xr:uid="{884BB19F-F3E1-4027-B5C7-5D5C0C2B7D51}"/>
    <cellStyle name="Normal 5 3 3 2 3 4 2 3" xfId="13310" xr:uid="{F7637091-12B5-4293-A5D9-C0CC7E1694FB}"/>
    <cellStyle name="Normal 5 3 3 2 3 4 2 4" xfId="21757" xr:uid="{5774E03C-7BBA-4E57-9BBC-AD00C835D1FE}"/>
    <cellStyle name="Normal 5 3 3 2 3 4 2 5" xfId="30204" xr:uid="{421B3B5B-1A32-4CF3-BC77-163E1AC46805}"/>
    <cellStyle name="Normal 5 3 3 2 3 4 3" xfId="6056" xr:uid="{00000000-0005-0000-0000-0000AB190000}"/>
    <cellStyle name="Normal 5 3 3 2 3 4 3 2" xfId="15382" xr:uid="{86927277-F9FB-452C-9316-C8689955FC68}"/>
    <cellStyle name="Normal 5 3 3 2 3 4 3 3" xfId="23829" xr:uid="{4F2065FC-77DE-4A02-9C35-70A8632808FA}"/>
    <cellStyle name="Normal 5 3 3 2 3 4 3 4" xfId="32276" xr:uid="{338F0D09-8432-4750-AD6B-BBB6D8D48E95}"/>
    <cellStyle name="Normal 5 3 3 2 3 4 4" xfId="11165" xr:uid="{262C2744-3CA3-4216-BC0D-31640BE3EC8A}"/>
    <cellStyle name="Normal 5 3 3 2 3 4 5" xfId="19612" xr:uid="{53E7F45D-FB8A-4027-BB14-39252065BA49}"/>
    <cellStyle name="Normal 5 3 3 2 3 4 6" xfId="28059" xr:uid="{BA3D08C1-9282-464D-8C37-56C23BFF181E}"/>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17940" xr:uid="{6B4DB4ED-884A-4E5A-993A-9CCFA2C241BC}"/>
    <cellStyle name="Normal 5 3 3 2 3 5 2 2 3" xfId="26387" xr:uid="{BCCEF0F1-DAD6-40F5-8248-129AFD64D03A}"/>
    <cellStyle name="Normal 5 3 3 2 3 5 2 2 4" xfId="34834" xr:uid="{FDD5426A-2DED-42FD-8F7E-92AABBC4B2F9}"/>
    <cellStyle name="Normal 5 3 3 2 3 5 2 3" xfId="13723" xr:uid="{E35B22A7-5F95-4069-A0E4-A8A303AE665E}"/>
    <cellStyle name="Normal 5 3 3 2 3 5 2 4" xfId="22170" xr:uid="{DF26525C-E6B5-4CA5-A13D-F6EE3DDD46FD}"/>
    <cellStyle name="Normal 5 3 3 2 3 5 2 5" xfId="30617" xr:uid="{7D11A598-77DF-424A-B386-30BC2A545254}"/>
    <cellStyle name="Normal 5 3 3 2 3 5 3" xfId="6469" xr:uid="{00000000-0005-0000-0000-0000AF190000}"/>
    <cellStyle name="Normal 5 3 3 2 3 5 3 2" xfId="15795" xr:uid="{0358C55A-369F-42F7-9F9C-EF31DBE73C66}"/>
    <cellStyle name="Normal 5 3 3 2 3 5 3 3" xfId="24242" xr:uid="{DA1B9D81-3EA9-4F91-9D60-278E2590DE47}"/>
    <cellStyle name="Normal 5 3 3 2 3 5 3 4" xfId="32689" xr:uid="{4A11D01F-D370-4D0B-B74A-F454CE266167}"/>
    <cellStyle name="Normal 5 3 3 2 3 5 4" xfId="11578" xr:uid="{BE03449E-186D-4CBE-A0A2-26D2F6074BE2}"/>
    <cellStyle name="Normal 5 3 3 2 3 5 5" xfId="20025" xr:uid="{605857D9-37F0-4DEF-9644-904E96AB2824}"/>
    <cellStyle name="Normal 5 3 3 2 3 5 6" xfId="28472" xr:uid="{32482107-A443-4088-B147-E7512ACA8D33}"/>
    <cellStyle name="Normal 5 3 3 2 3 6" xfId="2599" xr:uid="{00000000-0005-0000-0000-0000B0190000}"/>
    <cellStyle name="Normal 5 3 3 2 3 6 2" xfId="6882" xr:uid="{00000000-0005-0000-0000-0000B1190000}"/>
    <cellStyle name="Normal 5 3 3 2 3 6 2 2" xfId="16208" xr:uid="{6BB6C14A-27F9-4AD1-8984-80F92F787A18}"/>
    <cellStyle name="Normal 5 3 3 2 3 6 2 3" xfId="24655" xr:uid="{E2255B5B-8755-4AE9-88A4-AB3CE894EE87}"/>
    <cellStyle name="Normal 5 3 3 2 3 6 2 4" xfId="33102" xr:uid="{8381BA23-4CEB-40B5-81FD-5AAE94415F80}"/>
    <cellStyle name="Normal 5 3 3 2 3 6 3" xfId="11991" xr:uid="{4BA0732A-FECE-4115-B7F6-0D9D30D3F6BC}"/>
    <cellStyle name="Normal 5 3 3 2 3 6 4" xfId="20438" xr:uid="{EF89D270-0BB2-4C21-BC7E-AB6A28DD063D}"/>
    <cellStyle name="Normal 5 3 3 2 3 6 5" xfId="28885" xr:uid="{C82CA43A-4146-4205-B08B-417A6E2F9B38}"/>
    <cellStyle name="Normal 5 3 3 2 3 7" xfId="4817" xr:uid="{00000000-0005-0000-0000-0000B2190000}"/>
    <cellStyle name="Normal 5 3 3 2 3 7 2" xfId="14143" xr:uid="{BEE3345A-F7E6-4F80-9D43-E25EF3CCEF5C}"/>
    <cellStyle name="Normal 5 3 3 2 3 7 3" xfId="22590" xr:uid="{97B938B9-D874-4CEB-8F4A-819E7ADD8E1A}"/>
    <cellStyle name="Normal 5 3 3 2 3 7 4" xfId="31037" xr:uid="{5AB7CA1D-0C6F-4DE5-AFA4-E8ADFD638959}"/>
    <cellStyle name="Normal 5 3 3 2 3 8" xfId="9039" xr:uid="{84D80CE6-A0CA-4841-8673-26EA7EC6806D}"/>
    <cellStyle name="Normal 5 3 3 2 3 9" xfId="9926" xr:uid="{720B1B00-27E0-4E61-810E-CE703444B62A}"/>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16698" xr:uid="{2A3C3AB0-281D-4684-B56A-A154E7733EF0}"/>
    <cellStyle name="Normal 5 3 3 2 4 2 2 3" xfId="25145" xr:uid="{8E3934EA-C635-492D-90C6-0EFF6F025918}"/>
    <cellStyle name="Normal 5 3 3 2 4 2 2 4" xfId="33592" xr:uid="{A64249CB-9EF7-4F43-8986-746BF4E585BF}"/>
    <cellStyle name="Normal 5 3 3 2 4 2 3" xfId="12481" xr:uid="{C4738176-11B6-4328-A641-1A34FE4523A6}"/>
    <cellStyle name="Normal 5 3 3 2 4 2 4" xfId="20928" xr:uid="{D8734A49-F937-4B47-A25F-9B5A0C25A96F}"/>
    <cellStyle name="Normal 5 3 3 2 4 2 5" xfId="29375" xr:uid="{7256BBB1-2CDA-4322-9F72-888025915E38}"/>
    <cellStyle name="Normal 5 3 3 2 4 3" xfId="5227" xr:uid="{00000000-0005-0000-0000-0000B6190000}"/>
    <cellStyle name="Normal 5 3 3 2 4 3 2" xfId="14553" xr:uid="{27106830-A168-4194-8A26-E6C1C50B1765}"/>
    <cellStyle name="Normal 5 3 3 2 4 3 3" xfId="23000" xr:uid="{AB735180-0760-4ECE-9DAE-C69D78AF8E67}"/>
    <cellStyle name="Normal 5 3 3 2 4 3 4" xfId="31447" xr:uid="{9BFC28FF-2812-4114-B51B-3A9A1D2228FE}"/>
    <cellStyle name="Normal 5 3 3 2 4 4" xfId="9257" xr:uid="{E6656214-6E5B-491F-B1E3-227CB6568726}"/>
    <cellStyle name="Normal 5 3 3 2 4 5" xfId="10336" xr:uid="{6621611A-592E-488C-9356-BE3116670A3F}"/>
    <cellStyle name="Normal 5 3 3 2 4 6" xfId="18783" xr:uid="{62331D3D-BD39-4766-82BB-ED954E719FC4}"/>
    <cellStyle name="Normal 5 3 3 2 4 7" xfId="27230" xr:uid="{33006849-48F3-4F93-B3CE-7271A89B6B44}"/>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17111" xr:uid="{5D547FB4-B3B8-4A47-8942-754F237C1913}"/>
    <cellStyle name="Normal 5 3 3 2 5 2 2 3" xfId="25558" xr:uid="{F7EB36EF-905C-4D3D-BE19-4FC103127DC3}"/>
    <cellStyle name="Normal 5 3 3 2 5 2 2 4" xfId="34005" xr:uid="{B876906A-23CE-4FBB-877E-313DD8821F65}"/>
    <cellStyle name="Normal 5 3 3 2 5 2 3" xfId="12894" xr:uid="{5B06E941-189C-42AE-92C3-698537E777FE}"/>
    <cellStyle name="Normal 5 3 3 2 5 2 4" xfId="21341" xr:uid="{1E881944-8F48-432E-A089-AB479275A9AC}"/>
    <cellStyle name="Normal 5 3 3 2 5 2 5" xfId="29788" xr:uid="{EE4A7891-129A-4C46-B25B-E9C1072BEFC0}"/>
    <cellStyle name="Normal 5 3 3 2 5 3" xfId="5640" xr:uid="{00000000-0005-0000-0000-0000BA190000}"/>
    <cellStyle name="Normal 5 3 3 2 5 3 2" xfId="14966" xr:uid="{866040BA-B33A-436C-959C-E08EBAF47B4C}"/>
    <cellStyle name="Normal 5 3 3 2 5 3 3" xfId="23413" xr:uid="{CE35C40B-1D2B-47C4-97EB-8650F6EF277B}"/>
    <cellStyle name="Normal 5 3 3 2 5 3 4" xfId="31860" xr:uid="{6D4BF4F3-D984-46AD-A656-BE380B99C39E}"/>
    <cellStyle name="Normal 5 3 3 2 5 4" xfId="10749" xr:uid="{16812D92-B42F-4AE1-9B2A-2A95818F5863}"/>
    <cellStyle name="Normal 5 3 3 2 5 5" xfId="19196" xr:uid="{E5954E88-64CD-4CD7-AEC7-553C0C719FE7}"/>
    <cellStyle name="Normal 5 3 3 2 5 6" xfId="27643" xr:uid="{0010E70F-FF99-463A-B3FF-6E884EAB3332}"/>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17524" xr:uid="{46066258-0C48-4D58-B3E3-EE70C847F502}"/>
    <cellStyle name="Normal 5 3 3 2 6 2 2 3" xfId="25971" xr:uid="{363820CB-BDF2-4272-90F2-99BEE6CB9D7E}"/>
    <cellStyle name="Normal 5 3 3 2 6 2 2 4" xfId="34418" xr:uid="{D570B39B-87C1-40CF-9F78-BB010242A33B}"/>
    <cellStyle name="Normal 5 3 3 2 6 2 3" xfId="13307" xr:uid="{C47FC465-15C2-4544-B111-822D699532E1}"/>
    <cellStyle name="Normal 5 3 3 2 6 2 4" xfId="21754" xr:uid="{419DC6BE-55F0-46F2-AD1D-B6A3499CE7BA}"/>
    <cellStyle name="Normal 5 3 3 2 6 2 5" xfId="30201" xr:uid="{21E7FC4C-B835-4FC7-8880-7AFD05BC8900}"/>
    <cellStyle name="Normal 5 3 3 2 6 3" xfId="6053" xr:uid="{00000000-0005-0000-0000-0000BE190000}"/>
    <cellStyle name="Normal 5 3 3 2 6 3 2" xfId="15379" xr:uid="{9326B3E0-A978-47CF-9B6A-EDB2A46A3EAD}"/>
    <cellStyle name="Normal 5 3 3 2 6 3 3" xfId="23826" xr:uid="{D99A7137-FA4E-4196-BADE-0CBC028854F5}"/>
    <cellStyle name="Normal 5 3 3 2 6 3 4" xfId="32273" xr:uid="{B0926A2C-486E-494D-9DD9-32A8B329C864}"/>
    <cellStyle name="Normal 5 3 3 2 6 4" xfId="11162" xr:uid="{062A6B93-A554-42D6-805B-EE8AA7A46C7C}"/>
    <cellStyle name="Normal 5 3 3 2 6 5" xfId="19609" xr:uid="{251B3167-9070-48AA-91BD-31E310185419}"/>
    <cellStyle name="Normal 5 3 3 2 6 6" xfId="28056" xr:uid="{D51435CA-6625-4957-8015-012A74DD8778}"/>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17937" xr:uid="{5127BA16-2228-4AD9-8594-E6725F47865D}"/>
    <cellStyle name="Normal 5 3 3 2 7 2 2 3" xfId="26384" xr:uid="{B6D55078-021A-4522-B08A-FA5718AD3E55}"/>
    <cellStyle name="Normal 5 3 3 2 7 2 2 4" xfId="34831" xr:uid="{AE20DE49-790B-4BE1-A6BF-CCA5ED91B552}"/>
    <cellStyle name="Normal 5 3 3 2 7 2 3" xfId="13720" xr:uid="{4745A3EC-E545-4FB7-8A91-97170F6024DE}"/>
    <cellStyle name="Normal 5 3 3 2 7 2 4" xfId="22167" xr:uid="{E614B27B-12C2-40B9-8CCF-AD0F8288EFD7}"/>
    <cellStyle name="Normal 5 3 3 2 7 2 5" xfId="30614" xr:uid="{921339B2-F873-442C-B531-7E114DB83D39}"/>
    <cellStyle name="Normal 5 3 3 2 7 3" xfId="6466" xr:uid="{00000000-0005-0000-0000-0000C2190000}"/>
    <cellStyle name="Normal 5 3 3 2 7 3 2" xfId="15792" xr:uid="{075344D5-34A6-447A-9B75-DC4F68B23FAD}"/>
    <cellStyle name="Normal 5 3 3 2 7 3 3" xfId="24239" xr:uid="{87E6E1C9-D7F6-42A1-BBE7-FFEF4D3D0FF1}"/>
    <cellStyle name="Normal 5 3 3 2 7 3 4" xfId="32686" xr:uid="{3B8241B8-3ECF-4E65-AA76-0D0E0296AE24}"/>
    <cellStyle name="Normal 5 3 3 2 7 4" xfId="11575" xr:uid="{1718DD16-D413-4E85-A057-4EBBC1D12AC8}"/>
    <cellStyle name="Normal 5 3 3 2 7 5" xfId="20022" xr:uid="{8CC6C8C1-6FCA-4AD3-B12F-BEBE010BC8CF}"/>
    <cellStyle name="Normal 5 3 3 2 7 6" xfId="28469" xr:uid="{306B968A-C7DE-4918-8EA9-DDA3FDBF2ED5}"/>
    <cellStyle name="Normal 5 3 3 2 8" xfId="2596" xr:uid="{00000000-0005-0000-0000-0000C3190000}"/>
    <cellStyle name="Normal 5 3 3 2 8 2" xfId="6879" xr:uid="{00000000-0005-0000-0000-0000C4190000}"/>
    <cellStyle name="Normal 5 3 3 2 8 2 2" xfId="16205" xr:uid="{4B2917D3-DD17-4A83-A3A0-7C9F458D5196}"/>
    <cellStyle name="Normal 5 3 3 2 8 2 3" xfId="24652" xr:uid="{F932C4E6-98B3-46F0-B8F1-91EA0431F278}"/>
    <cellStyle name="Normal 5 3 3 2 8 2 4" xfId="33099" xr:uid="{5F50F3F3-9900-42EC-8EB3-FAE5528D8AB8}"/>
    <cellStyle name="Normal 5 3 3 2 8 3" xfId="11988" xr:uid="{935BF791-D22B-478D-B1B5-B833AFBF5E02}"/>
    <cellStyle name="Normal 5 3 3 2 8 4" xfId="20435" xr:uid="{F81B799A-60A3-4B67-A051-3BBABB613ABD}"/>
    <cellStyle name="Normal 5 3 3 2 8 5" xfId="28882" xr:uid="{B36788DA-1173-4644-8445-2848CE671125}"/>
    <cellStyle name="Normal 5 3 3 2 9" xfId="4814" xr:uid="{00000000-0005-0000-0000-0000C5190000}"/>
    <cellStyle name="Normal 5 3 3 2 9 2" xfId="14140" xr:uid="{229E820C-5138-482B-8954-0C846C9472B7}"/>
    <cellStyle name="Normal 5 3 3 2 9 3" xfId="22587" xr:uid="{F7649104-7C64-4099-B25C-731D3A10F532}"/>
    <cellStyle name="Normal 5 3 3 2 9 4" xfId="31034" xr:uid="{47046BCE-3EBF-4661-B424-6D7BB72D31F1}"/>
    <cellStyle name="Normal 5 3 3 3" xfId="446" xr:uid="{00000000-0005-0000-0000-0000C6190000}"/>
    <cellStyle name="Normal 5 3 3 3 10" xfId="9927" xr:uid="{C53553C3-192A-41DD-853D-B641B71B92ED}"/>
    <cellStyle name="Normal 5 3 3 3 11" xfId="18374" xr:uid="{A57B2025-D7F0-400D-AAB3-E5F43A0FE15B}"/>
    <cellStyle name="Normal 5 3 3 3 12" xfId="26821" xr:uid="{85E62631-9C3B-4BF6-A5A0-F36140129E84}"/>
    <cellStyle name="Normal 5 3 3 3 2" xfId="447" xr:uid="{00000000-0005-0000-0000-0000C7190000}"/>
    <cellStyle name="Normal 5 3 3 3 2 10" xfId="18375" xr:uid="{5F6C8953-1725-42FC-990A-55ECCE4BF45B}"/>
    <cellStyle name="Normal 5 3 3 3 2 11" xfId="26822" xr:uid="{F7E1A854-FE6E-4111-837A-D78DFA511309}"/>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16703" xr:uid="{84F5A3ED-DC8E-4F2A-9289-CFA999F79630}"/>
    <cellStyle name="Normal 5 3 3 3 2 2 2 2 3" xfId="25150" xr:uid="{3AB88089-9C51-42F2-84C0-E84F83E430EC}"/>
    <cellStyle name="Normal 5 3 3 3 2 2 2 2 4" xfId="33597" xr:uid="{2006A941-21D5-4D24-9FC4-EFCBE52DA248}"/>
    <cellStyle name="Normal 5 3 3 3 2 2 2 3" xfId="12486" xr:uid="{B4F2A864-F36E-4759-8B46-2C4196D1C0B5}"/>
    <cellStyle name="Normal 5 3 3 3 2 2 2 4" xfId="20933" xr:uid="{E4342536-1E24-46ED-B79A-C94FF7616E3C}"/>
    <cellStyle name="Normal 5 3 3 3 2 2 2 5" xfId="29380" xr:uid="{4B2D7D00-ECB8-4C79-9113-26FC825BAD97}"/>
    <cellStyle name="Normal 5 3 3 3 2 2 3" xfId="5232" xr:uid="{00000000-0005-0000-0000-0000CB190000}"/>
    <cellStyle name="Normal 5 3 3 3 2 2 3 2" xfId="14558" xr:uid="{D26E73AF-9AA7-4D45-A345-C6BD7E38B581}"/>
    <cellStyle name="Normal 5 3 3 3 2 2 3 3" xfId="23005" xr:uid="{2A86F288-9053-4C46-A4E4-C7FE0E232102}"/>
    <cellStyle name="Normal 5 3 3 3 2 2 3 4" xfId="31452" xr:uid="{2B14D434-29CB-4D30-97F4-5396830D00FE}"/>
    <cellStyle name="Normal 5 3 3 3 2 2 4" xfId="9517" xr:uid="{EA62A3B1-8ED5-4A6F-ACE0-B924BC16AA9E}"/>
    <cellStyle name="Normal 5 3 3 3 2 2 5" xfId="10341" xr:uid="{753C0FD6-21CE-46C6-AAC5-F0BC88644180}"/>
    <cellStyle name="Normal 5 3 3 3 2 2 6" xfId="18788" xr:uid="{C68FE39E-980E-4633-91F7-23501CF5E6BF}"/>
    <cellStyle name="Normal 5 3 3 3 2 2 7" xfId="27235" xr:uid="{F17F2478-FD4D-430A-944A-FC9AC534530A}"/>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17116" xr:uid="{9F4140B0-3AEF-40C2-AEE3-B2A7C7557696}"/>
    <cellStyle name="Normal 5 3 3 3 2 3 2 2 3" xfId="25563" xr:uid="{9950FFB0-0E0D-4307-A9BA-7122EB7A3633}"/>
    <cellStyle name="Normal 5 3 3 3 2 3 2 2 4" xfId="34010" xr:uid="{BBF1E8A6-5873-4709-94F9-FA76983D4023}"/>
    <cellStyle name="Normal 5 3 3 3 2 3 2 3" xfId="12899" xr:uid="{0F77E11C-3C3F-4FD4-85CB-67934A32DCF7}"/>
    <cellStyle name="Normal 5 3 3 3 2 3 2 4" xfId="21346" xr:uid="{48063221-6982-4E5A-AC20-BDDA95C47A15}"/>
    <cellStyle name="Normal 5 3 3 3 2 3 2 5" xfId="29793" xr:uid="{303B982A-4ED7-4EEB-A106-F082B5D455B3}"/>
    <cellStyle name="Normal 5 3 3 3 2 3 3" xfId="5645" xr:uid="{00000000-0005-0000-0000-0000CF190000}"/>
    <cellStyle name="Normal 5 3 3 3 2 3 3 2" xfId="14971" xr:uid="{B329F397-440F-43B6-858A-C9F9D01CB561}"/>
    <cellStyle name="Normal 5 3 3 3 2 3 3 3" xfId="23418" xr:uid="{C917B193-4111-42B4-A347-14EDBFDB7312}"/>
    <cellStyle name="Normal 5 3 3 3 2 3 3 4" xfId="31865" xr:uid="{38374E8A-05D0-4557-8769-C695FE13F4C5}"/>
    <cellStyle name="Normal 5 3 3 3 2 3 4" xfId="10754" xr:uid="{6E4FACC9-0530-4F26-A213-398ED89F1036}"/>
    <cellStyle name="Normal 5 3 3 3 2 3 5" xfId="19201" xr:uid="{150C3920-5CB7-4657-B41F-8E5A35E4050A}"/>
    <cellStyle name="Normal 5 3 3 3 2 3 6" xfId="27648" xr:uid="{AC55CE69-DD0A-491D-B5BD-14F1C74B631F}"/>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17529" xr:uid="{4D2761B9-BF10-4EF7-9063-9208E6DFA7CF}"/>
    <cellStyle name="Normal 5 3 3 3 2 4 2 2 3" xfId="25976" xr:uid="{585E6517-F237-4AF9-93F0-719AE0A47B25}"/>
    <cellStyle name="Normal 5 3 3 3 2 4 2 2 4" xfId="34423" xr:uid="{8078223B-0E6B-4AC5-A81C-2835A76EC9D2}"/>
    <cellStyle name="Normal 5 3 3 3 2 4 2 3" xfId="13312" xr:uid="{EFB7BB41-CB40-4224-BD4F-D6E9A75D468E}"/>
    <cellStyle name="Normal 5 3 3 3 2 4 2 4" xfId="21759" xr:uid="{C25DDF07-7480-4481-929A-F92AE1B76C3C}"/>
    <cellStyle name="Normal 5 3 3 3 2 4 2 5" xfId="30206" xr:uid="{64E1CF5C-058D-40C8-9858-DA4ABDD0D13A}"/>
    <cellStyle name="Normal 5 3 3 3 2 4 3" xfId="6058" xr:uid="{00000000-0005-0000-0000-0000D3190000}"/>
    <cellStyle name="Normal 5 3 3 3 2 4 3 2" xfId="15384" xr:uid="{89793F9F-9E17-4244-9E09-1A2485464B27}"/>
    <cellStyle name="Normal 5 3 3 3 2 4 3 3" xfId="23831" xr:uid="{35EEE44A-3149-4388-9719-6915878CE31D}"/>
    <cellStyle name="Normal 5 3 3 3 2 4 3 4" xfId="32278" xr:uid="{E2A622B0-48A3-4E12-BB2B-93FFED705AA3}"/>
    <cellStyle name="Normal 5 3 3 3 2 4 4" xfId="11167" xr:uid="{BD70D5AC-459E-442A-AD05-5349C597DAA0}"/>
    <cellStyle name="Normal 5 3 3 3 2 4 5" xfId="19614" xr:uid="{BFF93924-D21A-4CC6-A928-FF748E52C3D3}"/>
    <cellStyle name="Normal 5 3 3 3 2 4 6" xfId="28061" xr:uid="{B9A04686-CE81-41AB-BE0A-2CE82C067457}"/>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17942" xr:uid="{6B932666-7E0F-4AF7-B21A-34DBF406C01A}"/>
    <cellStyle name="Normal 5 3 3 3 2 5 2 2 3" xfId="26389" xr:uid="{7E066ACE-DBF5-4338-BD84-35E449B15C46}"/>
    <cellStyle name="Normal 5 3 3 3 2 5 2 2 4" xfId="34836" xr:uid="{210408B6-B819-46DA-B43C-67A016C9FAD1}"/>
    <cellStyle name="Normal 5 3 3 3 2 5 2 3" xfId="13725" xr:uid="{B67799B6-2D22-43B4-9626-CCBFB82554E3}"/>
    <cellStyle name="Normal 5 3 3 3 2 5 2 4" xfId="22172" xr:uid="{947F8BFD-1F37-44B2-A905-7803539195C6}"/>
    <cellStyle name="Normal 5 3 3 3 2 5 2 5" xfId="30619" xr:uid="{71EB672B-1A20-4F84-BA02-114B20349E79}"/>
    <cellStyle name="Normal 5 3 3 3 2 5 3" xfId="6471" xr:uid="{00000000-0005-0000-0000-0000D7190000}"/>
    <cellStyle name="Normal 5 3 3 3 2 5 3 2" xfId="15797" xr:uid="{C7E728BA-BAFB-4733-AF8C-84335B79F9A3}"/>
    <cellStyle name="Normal 5 3 3 3 2 5 3 3" xfId="24244" xr:uid="{9651E532-12EF-4542-A14C-E98DC4468596}"/>
    <cellStyle name="Normal 5 3 3 3 2 5 3 4" xfId="32691" xr:uid="{774385E8-A8F3-47F0-973F-865F1EA57B8B}"/>
    <cellStyle name="Normal 5 3 3 3 2 5 4" xfId="11580" xr:uid="{C9DA48DD-B45F-438A-ACAD-4BDAF6DB784B}"/>
    <cellStyle name="Normal 5 3 3 3 2 5 5" xfId="20027" xr:uid="{2C0C1B02-E0DA-4EAC-887E-79BAB910375B}"/>
    <cellStyle name="Normal 5 3 3 3 2 5 6" xfId="28474" xr:uid="{2A88BE1A-ED5A-4474-82E1-EDC065756BE1}"/>
    <cellStyle name="Normal 5 3 3 3 2 6" xfId="2601" xr:uid="{00000000-0005-0000-0000-0000D8190000}"/>
    <cellStyle name="Normal 5 3 3 3 2 6 2" xfId="6884" xr:uid="{00000000-0005-0000-0000-0000D9190000}"/>
    <cellStyle name="Normal 5 3 3 3 2 6 2 2" xfId="16210" xr:uid="{C3A8C1B0-2D09-4A1A-BF88-77520AD614AB}"/>
    <cellStyle name="Normal 5 3 3 3 2 6 2 3" xfId="24657" xr:uid="{47208C95-FA24-487C-A786-6C0CC9E1AC70}"/>
    <cellStyle name="Normal 5 3 3 3 2 6 2 4" xfId="33104" xr:uid="{FBDA444B-F53E-4DE1-8580-63FBED5E1C2D}"/>
    <cellStyle name="Normal 5 3 3 3 2 6 3" xfId="11993" xr:uid="{F10F4D66-CB9F-43D0-93DE-DD38BCE69FAD}"/>
    <cellStyle name="Normal 5 3 3 3 2 6 4" xfId="20440" xr:uid="{4DCCCF2E-8C22-4F18-B9FA-071B3891E8A6}"/>
    <cellStyle name="Normal 5 3 3 3 2 6 5" xfId="28887" xr:uid="{73CDBF01-F733-4FB4-BD93-B4586D4BBA45}"/>
    <cellStyle name="Normal 5 3 3 3 2 7" xfId="4819" xr:uid="{00000000-0005-0000-0000-0000DA190000}"/>
    <cellStyle name="Normal 5 3 3 3 2 7 2" xfId="14145" xr:uid="{E2D41C14-1FC7-4C39-83EF-F28CED18496C}"/>
    <cellStyle name="Normal 5 3 3 3 2 7 3" xfId="22592" xr:uid="{2C071A8A-2801-442C-91FE-FF019A77EB8F}"/>
    <cellStyle name="Normal 5 3 3 3 2 7 4" xfId="31039" xr:uid="{A61693D6-52E4-4E04-A665-A8F82A8C7E0A}"/>
    <cellStyle name="Normal 5 3 3 3 2 8" xfId="9092" xr:uid="{A018BC5E-3880-4BA4-8CFB-322C89A13B5F}"/>
    <cellStyle name="Normal 5 3 3 3 2 9" xfId="9928" xr:uid="{629390D3-0F5A-4311-98FF-7F68120B12B5}"/>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16702" xr:uid="{6595AF8B-F897-4FF3-8A0A-4A24138D73D6}"/>
    <cellStyle name="Normal 5 3 3 3 3 2 2 3" xfId="25149" xr:uid="{8CBB3FA7-B438-4649-81DC-025427E87D67}"/>
    <cellStyle name="Normal 5 3 3 3 3 2 2 4" xfId="33596" xr:uid="{394E3DDE-C2EF-4FE9-BFA4-25499438665F}"/>
    <cellStyle name="Normal 5 3 3 3 3 2 3" xfId="12485" xr:uid="{D2B83133-F6E4-439B-84BE-1ADFFB7C79F2}"/>
    <cellStyle name="Normal 5 3 3 3 3 2 4" xfId="20932" xr:uid="{23626BAA-A65C-43B7-AE3B-5CC8AA4CE05E}"/>
    <cellStyle name="Normal 5 3 3 3 3 2 5" xfId="29379" xr:uid="{28873511-F9B3-4F3D-818A-AF08917F197E}"/>
    <cellStyle name="Normal 5 3 3 3 3 3" xfId="5231" xr:uid="{00000000-0005-0000-0000-0000DE190000}"/>
    <cellStyle name="Normal 5 3 3 3 3 3 2" xfId="14557" xr:uid="{753421BE-B3F4-4F53-9DD7-B2EBF79A1BE9}"/>
    <cellStyle name="Normal 5 3 3 3 3 3 3" xfId="23004" xr:uid="{D71F780A-D46B-4C26-B391-38D4143F4883}"/>
    <cellStyle name="Normal 5 3 3 3 3 3 4" xfId="31451" xr:uid="{8E98A1A8-B342-40A0-A009-7D6F0A26C3C7}"/>
    <cellStyle name="Normal 5 3 3 3 3 4" xfId="9310" xr:uid="{D169C31A-17C5-4934-97DF-D90479FD2654}"/>
    <cellStyle name="Normal 5 3 3 3 3 5" xfId="10340" xr:uid="{4461EE1F-BE9C-422F-89A1-73144765EDE0}"/>
    <cellStyle name="Normal 5 3 3 3 3 6" xfId="18787" xr:uid="{7626BD6C-D6AB-4ADE-9632-FE3445F8AA00}"/>
    <cellStyle name="Normal 5 3 3 3 3 7" xfId="27234" xr:uid="{69716165-70BE-4641-A900-942258B687C1}"/>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17115" xr:uid="{FB2B34BA-416B-483F-AA6A-EFDDBA5BE4BD}"/>
    <cellStyle name="Normal 5 3 3 3 4 2 2 3" xfId="25562" xr:uid="{C2A7E04A-7F4C-4037-B52C-5AE80A29CBEB}"/>
    <cellStyle name="Normal 5 3 3 3 4 2 2 4" xfId="34009" xr:uid="{3E3DB01C-0F8D-490C-B5E9-D99FD7A6E7FA}"/>
    <cellStyle name="Normal 5 3 3 3 4 2 3" xfId="12898" xr:uid="{D0F0205F-3902-42FF-A134-7B923AD9B8E7}"/>
    <cellStyle name="Normal 5 3 3 3 4 2 4" xfId="21345" xr:uid="{E89FCED5-8A40-4DD2-9EE0-3A459AD6C7E6}"/>
    <cellStyle name="Normal 5 3 3 3 4 2 5" xfId="29792" xr:uid="{AFB3A6D7-BBC3-4DC3-85A4-3CD0469BB2D9}"/>
    <cellStyle name="Normal 5 3 3 3 4 3" xfId="5644" xr:uid="{00000000-0005-0000-0000-0000E2190000}"/>
    <cellStyle name="Normal 5 3 3 3 4 3 2" xfId="14970" xr:uid="{B378D9D3-2EEC-48A7-8536-C047FF60B492}"/>
    <cellStyle name="Normal 5 3 3 3 4 3 3" xfId="23417" xr:uid="{794D6F5F-3B25-44BB-8BE9-B52AD50ED9F0}"/>
    <cellStyle name="Normal 5 3 3 3 4 3 4" xfId="31864" xr:uid="{39397E9D-D186-444F-B930-E44486B5FB9E}"/>
    <cellStyle name="Normal 5 3 3 3 4 4" xfId="10753" xr:uid="{4CF371AC-D93C-4309-98D2-DE77A33D6770}"/>
    <cellStyle name="Normal 5 3 3 3 4 5" xfId="19200" xr:uid="{92CDA474-916B-4975-9B12-96DFDDCA1665}"/>
    <cellStyle name="Normal 5 3 3 3 4 6" xfId="27647" xr:uid="{30FDE2CE-28B2-467F-BC61-A82754CE5C0A}"/>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17528" xr:uid="{D713BA0A-6D2F-4E83-BB54-0751E1D9BFE5}"/>
    <cellStyle name="Normal 5 3 3 3 5 2 2 3" xfId="25975" xr:uid="{60C6069B-3F3B-4812-A1D6-F2A788509D4A}"/>
    <cellStyle name="Normal 5 3 3 3 5 2 2 4" xfId="34422" xr:uid="{12FC5123-7501-41A5-8815-8B59DF96A15D}"/>
    <cellStyle name="Normal 5 3 3 3 5 2 3" xfId="13311" xr:uid="{D3622A8D-9F40-47C0-9556-80A6136D8CFB}"/>
    <cellStyle name="Normal 5 3 3 3 5 2 4" xfId="21758" xr:uid="{5D943E3A-2F36-4261-8364-2E22A0E137B8}"/>
    <cellStyle name="Normal 5 3 3 3 5 2 5" xfId="30205" xr:uid="{E6A00FA6-96CE-45B0-B673-0832E37E4D32}"/>
    <cellStyle name="Normal 5 3 3 3 5 3" xfId="6057" xr:uid="{00000000-0005-0000-0000-0000E6190000}"/>
    <cellStyle name="Normal 5 3 3 3 5 3 2" xfId="15383" xr:uid="{7474EC1D-9D0D-422A-B5DA-D315A1943C51}"/>
    <cellStyle name="Normal 5 3 3 3 5 3 3" xfId="23830" xr:uid="{F7ECF20D-A473-4848-B75E-4A7450E9FA02}"/>
    <cellStyle name="Normal 5 3 3 3 5 3 4" xfId="32277" xr:uid="{B2809C3C-9FBD-4B7F-AB41-C91D0B5DE87C}"/>
    <cellStyle name="Normal 5 3 3 3 5 4" xfId="11166" xr:uid="{1D3FB256-14C1-4457-83CC-6E66A4B48A94}"/>
    <cellStyle name="Normal 5 3 3 3 5 5" xfId="19613" xr:uid="{D59044DE-07E1-4A40-9452-A73CAB5CB116}"/>
    <cellStyle name="Normal 5 3 3 3 5 6" xfId="28060" xr:uid="{F960BE30-32A1-4E10-9DF4-D5CABA14B199}"/>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17941" xr:uid="{D4FE9FDB-5EA9-4256-A5EE-891167241730}"/>
    <cellStyle name="Normal 5 3 3 3 6 2 2 3" xfId="26388" xr:uid="{72A282D5-1E89-4EBF-8952-FA5A9E601E1B}"/>
    <cellStyle name="Normal 5 3 3 3 6 2 2 4" xfId="34835" xr:uid="{BAE161C4-A672-4483-8A61-370B3368BE1A}"/>
    <cellStyle name="Normal 5 3 3 3 6 2 3" xfId="13724" xr:uid="{8805F393-998C-4140-BE1D-6917A4C3E398}"/>
    <cellStyle name="Normal 5 3 3 3 6 2 4" xfId="22171" xr:uid="{4A2CB0FD-6BA7-4551-99BB-D84B7B801036}"/>
    <cellStyle name="Normal 5 3 3 3 6 2 5" xfId="30618" xr:uid="{89D3B16F-0EF6-462A-8CC9-1D00A072EE9A}"/>
    <cellStyle name="Normal 5 3 3 3 6 3" xfId="6470" xr:uid="{00000000-0005-0000-0000-0000EA190000}"/>
    <cellStyle name="Normal 5 3 3 3 6 3 2" xfId="15796" xr:uid="{409DADA4-C1F2-4C49-93E9-A1E2473B2195}"/>
    <cellStyle name="Normal 5 3 3 3 6 3 3" xfId="24243" xr:uid="{FE1D925A-A219-4D8A-BC86-703F01295A2E}"/>
    <cellStyle name="Normal 5 3 3 3 6 3 4" xfId="32690" xr:uid="{E23DA4EE-6C62-4F43-B2EE-CAE183B3F846}"/>
    <cellStyle name="Normal 5 3 3 3 6 4" xfId="11579" xr:uid="{797A0F79-F0DD-4D95-8120-56412D5D4F0B}"/>
    <cellStyle name="Normal 5 3 3 3 6 5" xfId="20026" xr:uid="{FCBC0C2B-553B-4E07-A23B-91EBAA7A1701}"/>
    <cellStyle name="Normal 5 3 3 3 6 6" xfId="28473" xr:uid="{140FDFAD-2C37-407E-9B5D-5E65F9484F41}"/>
    <cellStyle name="Normal 5 3 3 3 7" xfId="2600" xr:uid="{00000000-0005-0000-0000-0000EB190000}"/>
    <cellStyle name="Normal 5 3 3 3 7 2" xfId="6883" xr:uid="{00000000-0005-0000-0000-0000EC190000}"/>
    <cellStyle name="Normal 5 3 3 3 7 2 2" xfId="16209" xr:uid="{807EE490-854A-470F-B28A-717071325323}"/>
    <cellStyle name="Normal 5 3 3 3 7 2 3" xfId="24656" xr:uid="{4D81A056-9047-410E-AEAE-7355F0770126}"/>
    <cellStyle name="Normal 5 3 3 3 7 2 4" xfId="33103" xr:uid="{9FB5D7C8-90BF-4DF7-B4FE-3628C4EB2542}"/>
    <cellStyle name="Normal 5 3 3 3 7 3" xfId="11992" xr:uid="{5766B8FC-C13B-4EB5-9470-A42662E3AAA8}"/>
    <cellStyle name="Normal 5 3 3 3 7 4" xfId="20439" xr:uid="{EC41B33C-6BAB-4788-8354-FBA9B34EBC2E}"/>
    <cellStyle name="Normal 5 3 3 3 7 5" xfId="28886" xr:uid="{76556886-5F50-4DF1-B6BD-D4A1EEC665F4}"/>
    <cellStyle name="Normal 5 3 3 3 8" xfId="4818" xr:uid="{00000000-0005-0000-0000-0000ED190000}"/>
    <cellStyle name="Normal 5 3 3 3 8 2" xfId="14144" xr:uid="{FE49B06D-2AB0-49FE-B300-02096EF2CEAF}"/>
    <cellStyle name="Normal 5 3 3 3 8 3" xfId="22591" xr:uid="{AC3E2105-34D2-4F7D-A499-844F1A2AC43F}"/>
    <cellStyle name="Normal 5 3 3 3 8 4" xfId="31038" xr:uid="{22AA31FA-9FB4-45D4-B29E-FF742701B2F0}"/>
    <cellStyle name="Normal 5 3 3 3 9" xfId="8885" xr:uid="{BFA59703-C126-4DE9-A819-9190501D5C5B}"/>
    <cellStyle name="Normal 5 3 3 4" xfId="448" xr:uid="{00000000-0005-0000-0000-0000EE190000}"/>
    <cellStyle name="Normal 5 3 3 4 10" xfId="18376" xr:uid="{2B0841DF-CC59-430B-9776-E799CA833BFF}"/>
    <cellStyle name="Normal 5 3 3 4 11" xfId="26823" xr:uid="{F8B7D90F-50C8-4011-9F14-B415669148C9}"/>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16704" xr:uid="{BC8146ED-77BB-4CC2-85EF-3F2C8137273C}"/>
    <cellStyle name="Normal 5 3 3 4 2 2 2 3" xfId="25151" xr:uid="{7CB55296-C292-4915-9040-D43FC3E359AD}"/>
    <cellStyle name="Normal 5 3 3 4 2 2 2 4" xfId="33598" xr:uid="{D680BCD4-67F9-496E-BB12-A5EF71221BD9}"/>
    <cellStyle name="Normal 5 3 3 4 2 2 3" xfId="12487" xr:uid="{FCADF672-DA92-40BC-8B8A-3B239F5FA375}"/>
    <cellStyle name="Normal 5 3 3 4 2 2 4" xfId="20934" xr:uid="{D47B8586-2BF5-4469-8325-A28C64468F8F}"/>
    <cellStyle name="Normal 5 3 3 4 2 2 5" xfId="29381" xr:uid="{9E8E6AE2-7ACC-4D82-B929-E30FB8CE6496}"/>
    <cellStyle name="Normal 5 3 3 4 2 3" xfId="5233" xr:uid="{00000000-0005-0000-0000-0000F2190000}"/>
    <cellStyle name="Normal 5 3 3 4 2 3 2" xfId="14559" xr:uid="{A297DC04-CAEB-45D2-929F-637C7028AED4}"/>
    <cellStyle name="Normal 5 3 3 4 2 3 3" xfId="23006" xr:uid="{5B297480-CB98-4BA0-96CD-AFB83E92F24F}"/>
    <cellStyle name="Normal 5 3 3 4 2 3 4" xfId="31453" xr:uid="{2B687B07-AC2F-4C1D-8A76-55D1E504C6C9}"/>
    <cellStyle name="Normal 5 3 3 4 2 4" xfId="9414" xr:uid="{BD781A4C-FDA7-4D11-87F3-3D38EC19B37A}"/>
    <cellStyle name="Normal 5 3 3 4 2 5" xfId="10342" xr:uid="{57A29F09-B018-4547-8E7C-DF9ACCF1FF7A}"/>
    <cellStyle name="Normal 5 3 3 4 2 6" xfId="18789" xr:uid="{FA117287-31D0-41BB-8EBC-68F2F09CBD95}"/>
    <cellStyle name="Normal 5 3 3 4 2 7" xfId="27236" xr:uid="{0C8891FF-FF0F-4CFF-95EC-02D700D195C3}"/>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17117" xr:uid="{8E6F99DF-267C-4CD3-9D1E-BCA8970AD0EC}"/>
    <cellStyle name="Normal 5 3 3 4 3 2 2 3" xfId="25564" xr:uid="{8717CF1B-D785-4327-88C2-F61E665D62AA}"/>
    <cellStyle name="Normal 5 3 3 4 3 2 2 4" xfId="34011" xr:uid="{F5FF3AD3-1E07-4C45-9B61-4EBAE30AEB29}"/>
    <cellStyle name="Normal 5 3 3 4 3 2 3" xfId="12900" xr:uid="{C6874D8B-EC8C-4808-BB5B-ED5B2B706506}"/>
    <cellStyle name="Normal 5 3 3 4 3 2 4" xfId="21347" xr:uid="{51FD6147-1A90-4C07-8BE5-4421C8074494}"/>
    <cellStyle name="Normal 5 3 3 4 3 2 5" xfId="29794" xr:uid="{7AAADF87-891B-4CB5-A38F-781175D1FC94}"/>
    <cellStyle name="Normal 5 3 3 4 3 3" xfId="5646" xr:uid="{00000000-0005-0000-0000-0000F6190000}"/>
    <cellStyle name="Normal 5 3 3 4 3 3 2" xfId="14972" xr:uid="{68629CDD-FE14-4B60-9624-CF5614941240}"/>
    <cellStyle name="Normal 5 3 3 4 3 3 3" xfId="23419" xr:uid="{D0043689-8D35-4ECB-A7E8-81E3EA947E39}"/>
    <cellStyle name="Normal 5 3 3 4 3 3 4" xfId="31866" xr:uid="{3C5D0631-98AB-4AB7-B5C3-B3ED2C747396}"/>
    <cellStyle name="Normal 5 3 3 4 3 4" xfId="10755" xr:uid="{E17BE792-BE3F-4F46-A1BF-B6F68897BFE0}"/>
    <cellStyle name="Normal 5 3 3 4 3 5" xfId="19202" xr:uid="{062D3DF4-EDC9-4FCF-9E8D-59AAA083AB8D}"/>
    <cellStyle name="Normal 5 3 3 4 3 6" xfId="27649" xr:uid="{853F4701-FB1A-4B0A-B94C-35748223F4AC}"/>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17530" xr:uid="{557B901E-1528-40BE-8C05-0381AB3D2429}"/>
    <cellStyle name="Normal 5 3 3 4 4 2 2 3" xfId="25977" xr:uid="{7E888395-69C8-4688-AA96-C141CE4E4EDF}"/>
    <cellStyle name="Normal 5 3 3 4 4 2 2 4" xfId="34424" xr:uid="{960E3377-86C3-4DDA-A8C5-633B56EC4620}"/>
    <cellStyle name="Normal 5 3 3 4 4 2 3" xfId="13313" xr:uid="{FD9B396E-8677-4FF2-872A-0A22AE0E0CBB}"/>
    <cellStyle name="Normal 5 3 3 4 4 2 4" xfId="21760" xr:uid="{F1F57664-55A1-4A95-B6D3-49CDF5C2D326}"/>
    <cellStyle name="Normal 5 3 3 4 4 2 5" xfId="30207" xr:uid="{3DE15BA4-26DC-48E1-A18E-704494A74D80}"/>
    <cellStyle name="Normal 5 3 3 4 4 3" xfId="6059" xr:uid="{00000000-0005-0000-0000-0000FA190000}"/>
    <cellStyle name="Normal 5 3 3 4 4 3 2" xfId="15385" xr:uid="{C89FAF67-44D9-4768-A58E-7BD46B687800}"/>
    <cellStyle name="Normal 5 3 3 4 4 3 3" xfId="23832" xr:uid="{5793F4F7-DC67-4765-A4DA-E144B595BC40}"/>
    <cellStyle name="Normal 5 3 3 4 4 3 4" xfId="32279" xr:uid="{88199C20-18CF-41EC-80F3-30AA47A15B4D}"/>
    <cellStyle name="Normal 5 3 3 4 4 4" xfId="11168" xr:uid="{A3C44158-3990-40A5-9A3C-061172519466}"/>
    <cellStyle name="Normal 5 3 3 4 4 5" xfId="19615" xr:uid="{6E7895D0-8E9F-4663-AAFE-B9DC9B5A561C}"/>
    <cellStyle name="Normal 5 3 3 4 4 6" xfId="28062" xr:uid="{5F94F971-FD3C-49C1-9454-1C9EEAC361A2}"/>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17943" xr:uid="{E1BDB7DA-0DFF-49E3-B3A5-5C01A267D3A5}"/>
    <cellStyle name="Normal 5 3 3 4 5 2 2 3" xfId="26390" xr:uid="{70923382-7DD3-4C4F-80C0-ECB7970B030B}"/>
    <cellStyle name="Normal 5 3 3 4 5 2 2 4" xfId="34837" xr:uid="{087E9921-F032-431E-A727-06CAD099F974}"/>
    <cellStyle name="Normal 5 3 3 4 5 2 3" xfId="13726" xr:uid="{D2FFDFF0-E204-46D3-B9F8-A33FD1FE836B}"/>
    <cellStyle name="Normal 5 3 3 4 5 2 4" xfId="22173" xr:uid="{594A74F5-CD58-4274-BB7A-53DE2C5CD08F}"/>
    <cellStyle name="Normal 5 3 3 4 5 2 5" xfId="30620" xr:uid="{3C7B9701-3815-444E-98B8-2E9C38AB7D67}"/>
    <cellStyle name="Normal 5 3 3 4 5 3" xfId="6472" xr:uid="{00000000-0005-0000-0000-0000FE190000}"/>
    <cellStyle name="Normal 5 3 3 4 5 3 2" xfId="15798" xr:uid="{0434CE45-1838-49FB-B884-C2AF1F333FCA}"/>
    <cellStyle name="Normal 5 3 3 4 5 3 3" xfId="24245" xr:uid="{A1EAD148-C998-4E5E-B7A9-F218A77FD40F}"/>
    <cellStyle name="Normal 5 3 3 4 5 3 4" xfId="32692" xr:uid="{A18420CD-DF70-4A6A-ADC3-2D75D7CA1071}"/>
    <cellStyle name="Normal 5 3 3 4 5 4" xfId="11581" xr:uid="{E548FC04-2A92-44CA-97C3-8BC5DE512E0F}"/>
    <cellStyle name="Normal 5 3 3 4 5 5" xfId="20028" xr:uid="{FCE640F6-E199-4C7B-BDC5-B240D39F0152}"/>
    <cellStyle name="Normal 5 3 3 4 5 6" xfId="28475" xr:uid="{E09D0DF8-CAFD-4877-A301-FD35CCABF1B4}"/>
    <cellStyle name="Normal 5 3 3 4 6" xfId="2602" xr:uid="{00000000-0005-0000-0000-0000FF190000}"/>
    <cellStyle name="Normal 5 3 3 4 6 2" xfId="6885" xr:uid="{00000000-0005-0000-0000-0000001A0000}"/>
    <cellStyle name="Normal 5 3 3 4 6 2 2" xfId="16211" xr:uid="{37FC8922-6967-4EED-9BEB-5032135D7A3D}"/>
    <cellStyle name="Normal 5 3 3 4 6 2 3" xfId="24658" xr:uid="{67A20824-847B-438A-A436-B2E793898054}"/>
    <cellStyle name="Normal 5 3 3 4 6 2 4" xfId="33105" xr:uid="{D78095F0-DBA8-4842-8F6D-B10B82099B2D}"/>
    <cellStyle name="Normal 5 3 3 4 6 3" xfId="11994" xr:uid="{8E0F83FD-AAB0-4A2C-85BE-5A077A1ACA15}"/>
    <cellStyle name="Normal 5 3 3 4 6 4" xfId="20441" xr:uid="{EB65867B-A73C-4126-9875-425B500E6E37}"/>
    <cellStyle name="Normal 5 3 3 4 6 5" xfId="28888" xr:uid="{D54FD7BC-4D08-4B46-BC04-A8924193CCF7}"/>
    <cellStyle name="Normal 5 3 3 4 7" xfId="4820" xr:uid="{00000000-0005-0000-0000-0000011A0000}"/>
    <cellStyle name="Normal 5 3 3 4 7 2" xfId="14146" xr:uid="{9000A8A1-9293-4F4A-890C-484B6C750885}"/>
    <cellStyle name="Normal 5 3 3 4 7 3" xfId="22593" xr:uid="{933FEAF8-BD08-4B7B-9F3C-D8CBE74FF870}"/>
    <cellStyle name="Normal 5 3 3 4 7 4" xfId="31040" xr:uid="{75648F71-2168-466F-B214-FD606460D2BD}"/>
    <cellStyle name="Normal 5 3 3 4 8" xfId="8989" xr:uid="{20FA1483-98E6-46C4-B00B-4EAF7957981D}"/>
    <cellStyle name="Normal 5 3 3 4 9" xfId="9929" xr:uid="{E76E8191-7A22-4BD8-B25C-BE2D0CC8BFDF}"/>
    <cellStyle name="Normal 5 3 3 5" xfId="915" xr:uid="{00000000-0005-0000-0000-0000021A0000}"/>
    <cellStyle name="Normal 5 3 3 5 2" xfId="3149" xr:uid="{00000000-0005-0000-0000-0000031A0000}"/>
    <cellStyle name="Normal 5 3 3 5 2 2" xfId="7371" xr:uid="{00000000-0005-0000-0000-0000041A0000}"/>
    <cellStyle name="Normal 5 3 3 5 2 2 2" xfId="16697" xr:uid="{28AB075E-70C6-47AD-88A8-9AE76B88E47C}"/>
    <cellStyle name="Normal 5 3 3 5 2 2 3" xfId="25144" xr:uid="{CBFFFB8B-D084-4A01-B144-8A0F5B8227AF}"/>
    <cellStyle name="Normal 5 3 3 5 2 2 4" xfId="33591" xr:uid="{6D73B781-4925-46B5-B3AA-FE8C63E77CBB}"/>
    <cellStyle name="Normal 5 3 3 5 2 3" xfId="12480" xr:uid="{F1ECABF1-C863-4B3B-814B-1F81D46D4FF6}"/>
    <cellStyle name="Normal 5 3 3 5 2 4" xfId="20927" xr:uid="{98B2C86F-39D8-496F-AC91-953B9D16EA31}"/>
    <cellStyle name="Normal 5 3 3 5 2 5" xfId="29374" xr:uid="{2ADAFF49-C0B8-46D7-8637-059177692E02}"/>
    <cellStyle name="Normal 5 3 3 5 3" xfId="5226" xr:uid="{00000000-0005-0000-0000-0000051A0000}"/>
    <cellStyle name="Normal 5 3 3 5 3 2" xfId="14552" xr:uid="{5548BBEF-E863-496D-B61B-0EECF41708AF}"/>
    <cellStyle name="Normal 5 3 3 5 3 3" xfId="22999" xr:uid="{8F581901-E425-4110-A18F-C64229BCB2C6}"/>
    <cellStyle name="Normal 5 3 3 5 3 4" xfId="31446" xr:uid="{89DBA6C2-CB70-49B6-8D6C-A3A953475E91}"/>
    <cellStyle name="Normal 5 3 3 5 4" xfId="9206" xr:uid="{CA749CBB-EAB5-483B-862D-D7B95A23D45C}"/>
    <cellStyle name="Normal 5 3 3 5 5" xfId="10335" xr:uid="{A234F9FA-2041-4CE4-9988-4C446E13B2E3}"/>
    <cellStyle name="Normal 5 3 3 5 6" xfId="18782" xr:uid="{72B0B81B-BD92-4FB7-A66C-08D4FCE51104}"/>
    <cellStyle name="Normal 5 3 3 5 7" xfId="27229" xr:uid="{CCB55908-5BDD-4032-808B-1D5FA869A984}"/>
    <cellStyle name="Normal 5 3 3 6" xfId="1332" xr:uid="{00000000-0005-0000-0000-0000061A0000}"/>
    <cellStyle name="Normal 5 3 3 6 2" xfId="3562" xr:uid="{00000000-0005-0000-0000-0000071A0000}"/>
    <cellStyle name="Normal 5 3 3 6 2 2" xfId="7784" xr:uid="{00000000-0005-0000-0000-0000081A0000}"/>
    <cellStyle name="Normal 5 3 3 6 2 2 2" xfId="17110" xr:uid="{C60D6A4D-907C-430A-A04D-BC8E000D77EE}"/>
    <cellStyle name="Normal 5 3 3 6 2 2 3" xfId="25557" xr:uid="{34E47A92-FB73-4E4D-B233-E9C1BD5B4EA8}"/>
    <cellStyle name="Normal 5 3 3 6 2 2 4" xfId="34004" xr:uid="{B15DA600-5E88-4524-986E-6B09E6C26757}"/>
    <cellStyle name="Normal 5 3 3 6 2 3" xfId="12893" xr:uid="{D4FEC8F2-7607-49F2-9C50-E9C7CFFE76B7}"/>
    <cellStyle name="Normal 5 3 3 6 2 4" xfId="21340" xr:uid="{F66C716A-8412-47A5-9BDF-9EF9D083AB3B}"/>
    <cellStyle name="Normal 5 3 3 6 2 5" xfId="29787" xr:uid="{5624FE7E-300B-4F28-8DF3-BA456E138B48}"/>
    <cellStyle name="Normal 5 3 3 6 3" xfId="5639" xr:uid="{00000000-0005-0000-0000-0000091A0000}"/>
    <cellStyle name="Normal 5 3 3 6 3 2" xfId="14965" xr:uid="{A61C3180-11AB-4979-84B4-5F5A94EC1E50}"/>
    <cellStyle name="Normal 5 3 3 6 3 3" xfId="23412" xr:uid="{ADE9C7F3-84B0-433D-BB0E-C4297D57AE92}"/>
    <cellStyle name="Normal 5 3 3 6 3 4" xfId="31859" xr:uid="{2E0E844F-56E8-457B-BCC1-62FE72C0B65B}"/>
    <cellStyle name="Normal 5 3 3 6 4" xfId="10748" xr:uid="{539736D8-C541-4D49-A0A0-1E9FE5653517}"/>
    <cellStyle name="Normal 5 3 3 6 5" xfId="19195" xr:uid="{F1B84EC8-151D-4E91-AAF1-034F02DFBD01}"/>
    <cellStyle name="Normal 5 3 3 6 6" xfId="27642" xr:uid="{6767024D-586B-476C-AC20-80AC562F92AC}"/>
    <cellStyle name="Normal 5 3 3 7" xfId="1745" xr:uid="{00000000-0005-0000-0000-00000A1A0000}"/>
    <cellStyle name="Normal 5 3 3 7 2" xfId="3975" xr:uid="{00000000-0005-0000-0000-00000B1A0000}"/>
    <cellStyle name="Normal 5 3 3 7 2 2" xfId="8197" xr:uid="{00000000-0005-0000-0000-00000C1A0000}"/>
    <cellStyle name="Normal 5 3 3 7 2 2 2" xfId="17523" xr:uid="{B7C68681-7E2B-4103-A8A0-20AEACA8A0EA}"/>
    <cellStyle name="Normal 5 3 3 7 2 2 3" xfId="25970" xr:uid="{6C807E98-048F-429F-8FED-86A149E45D5A}"/>
    <cellStyle name="Normal 5 3 3 7 2 2 4" xfId="34417" xr:uid="{9F128D14-5140-4753-9FB0-F9C988683987}"/>
    <cellStyle name="Normal 5 3 3 7 2 3" xfId="13306" xr:uid="{9218BFE8-B3BE-4EC6-B41F-492913F359D4}"/>
    <cellStyle name="Normal 5 3 3 7 2 4" xfId="21753" xr:uid="{C297030E-D742-439B-994D-18C0DBA7A828}"/>
    <cellStyle name="Normal 5 3 3 7 2 5" xfId="30200" xr:uid="{06EF8EEB-2B20-4105-A449-B358312B09A1}"/>
    <cellStyle name="Normal 5 3 3 7 3" xfId="6052" xr:uid="{00000000-0005-0000-0000-00000D1A0000}"/>
    <cellStyle name="Normal 5 3 3 7 3 2" xfId="15378" xr:uid="{40F9D56F-D922-418A-8D07-6B7729A42F55}"/>
    <cellStyle name="Normal 5 3 3 7 3 3" xfId="23825" xr:uid="{06E47B27-9E2C-452F-8310-1DD22D99989B}"/>
    <cellStyle name="Normal 5 3 3 7 3 4" xfId="32272" xr:uid="{E11D5A69-7994-4D2A-8D53-32BFADC46F5C}"/>
    <cellStyle name="Normal 5 3 3 7 4" xfId="11161" xr:uid="{D8721614-B664-443A-BBF0-5BC92EDC4060}"/>
    <cellStyle name="Normal 5 3 3 7 5" xfId="19608" xr:uid="{415299EA-4740-4416-9425-CAB1F214C263}"/>
    <cellStyle name="Normal 5 3 3 7 6" xfId="28055" xr:uid="{26923AB4-F5E2-4A52-8C68-123584705ECB}"/>
    <cellStyle name="Normal 5 3 3 8" xfId="2159" xr:uid="{00000000-0005-0000-0000-00000E1A0000}"/>
    <cellStyle name="Normal 5 3 3 8 2" xfId="4388" xr:uid="{00000000-0005-0000-0000-00000F1A0000}"/>
    <cellStyle name="Normal 5 3 3 8 2 2" xfId="8610" xr:uid="{00000000-0005-0000-0000-0000101A0000}"/>
    <cellStyle name="Normal 5 3 3 8 2 2 2" xfId="17936" xr:uid="{5A0C24AA-70FD-482E-827B-8B73E5508DD0}"/>
    <cellStyle name="Normal 5 3 3 8 2 2 3" xfId="26383" xr:uid="{CD745834-EB95-45F0-9DA2-9F195D4BFD4D}"/>
    <cellStyle name="Normal 5 3 3 8 2 2 4" xfId="34830" xr:uid="{289EEBF4-E94D-4472-A4EE-B9950A01D0D5}"/>
    <cellStyle name="Normal 5 3 3 8 2 3" xfId="13719" xr:uid="{42A3207C-5D60-46AF-836F-8C55F76DF9AA}"/>
    <cellStyle name="Normal 5 3 3 8 2 4" xfId="22166" xr:uid="{AF1E3872-EE57-4DB9-A78E-58FEAA3018D3}"/>
    <cellStyle name="Normal 5 3 3 8 2 5" xfId="30613" xr:uid="{2A4C4186-E44B-4846-8DFB-AE110BF122CF}"/>
    <cellStyle name="Normal 5 3 3 8 3" xfId="6465" xr:uid="{00000000-0005-0000-0000-0000111A0000}"/>
    <cellStyle name="Normal 5 3 3 8 3 2" xfId="15791" xr:uid="{4F056C37-3FB2-4989-803A-8C77B7D8E498}"/>
    <cellStyle name="Normal 5 3 3 8 3 3" xfId="24238" xr:uid="{39001A46-BC44-4B56-B838-2A6A14449E0E}"/>
    <cellStyle name="Normal 5 3 3 8 3 4" xfId="32685" xr:uid="{F91072B0-A3A4-4EE0-9F6E-299B6BAFD4CD}"/>
    <cellStyle name="Normal 5 3 3 8 4" xfId="11574" xr:uid="{39E9F295-360D-473B-A032-3BB4D55F8676}"/>
    <cellStyle name="Normal 5 3 3 8 5" xfId="20021" xr:uid="{F90C4627-25A6-41C4-ACA1-79D66F75C419}"/>
    <cellStyle name="Normal 5 3 3 8 6" xfId="28468" xr:uid="{2E5E35DE-7090-4D97-BF7D-634D4FC10466}"/>
    <cellStyle name="Normal 5 3 3 9" xfId="2595" xr:uid="{00000000-0005-0000-0000-0000121A0000}"/>
    <cellStyle name="Normal 5 3 3 9 2" xfId="6878" xr:uid="{00000000-0005-0000-0000-0000131A0000}"/>
    <cellStyle name="Normal 5 3 3 9 2 2" xfId="16204" xr:uid="{A0454BBC-9170-4C13-9B4B-59DAE0E089E7}"/>
    <cellStyle name="Normal 5 3 3 9 2 3" xfId="24651" xr:uid="{3B6B40F4-FB6A-44F7-8F80-A3E062930163}"/>
    <cellStyle name="Normal 5 3 3 9 2 4" xfId="33098" xr:uid="{B95FC4C1-16EB-4888-A913-D1675C979C1C}"/>
    <cellStyle name="Normal 5 3 3 9 3" xfId="11987" xr:uid="{872BAAEA-C702-44D3-84BA-436633F04AEE}"/>
    <cellStyle name="Normal 5 3 3 9 4" xfId="20434" xr:uid="{43A990BA-9E4B-4E4D-AC60-33FC2B307570}"/>
    <cellStyle name="Normal 5 3 3 9 5" xfId="28881" xr:uid="{1B66FE3D-4AFE-4A69-AE77-4691371B407A}"/>
    <cellStyle name="Normal 5 3 4" xfId="449" xr:uid="{00000000-0005-0000-0000-0000141A0000}"/>
    <cellStyle name="Normal 5 3 4 10" xfId="8831" xr:uid="{39AD872D-FBC2-4C4A-B537-79F8014E4247}"/>
    <cellStyle name="Normal 5 3 4 11" xfId="9930" xr:uid="{11EB6DCC-BC9A-4AA6-AB7D-39235C86657A}"/>
    <cellStyle name="Normal 5 3 4 12" xfId="18377" xr:uid="{77FFCD7C-8627-47F1-BB97-5E2CAADB473A}"/>
    <cellStyle name="Normal 5 3 4 13" xfId="26824" xr:uid="{B2156217-0120-4B6E-B268-ADE0ED07FBF1}"/>
    <cellStyle name="Normal 5 3 4 2" xfId="450" xr:uid="{00000000-0005-0000-0000-0000151A0000}"/>
    <cellStyle name="Normal 5 3 4 2 10" xfId="9931" xr:uid="{099AA632-066A-480D-921F-E607D0DADF8C}"/>
    <cellStyle name="Normal 5 3 4 2 11" xfId="18378" xr:uid="{4D54DE8E-FDE0-4272-B733-F8C450523A9B}"/>
    <cellStyle name="Normal 5 3 4 2 12" xfId="26825" xr:uid="{6F0BB44E-580F-42E5-AA48-7CB6774C26AE}"/>
    <cellStyle name="Normal 5 3 4 2 2" xfId="451" xr:uid="{00000000-0005-0000-0000-0000161A0000}"/>
    <cellStyle name="Normal 5 3 4 2 2 10" xfId="18379" xr:uid="{7EAA39F2-89AF-419E-A77A-AFAD1D805DA1}"/>
    <cellStyle name="Normal 5 3 4 2 2 11" xfId="26826" xr:uid="{9FF0A900-188A-4601-8DC1-58026669CC63}"/>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16707" xr:uid="{99C1FF39-C317-4330-AB9F-6D4D5897548B}"/>
    <cellStyle name="Normal 5 3 4 2 2 2 2 2 3" xfId="25154" xr:uid="{A743A06B-C9BA-4B94-BCE4-931FEC5D6F6E}"/>
    <cellStyle name="Normal 5 3 4 2 2 2 2 2 4" xfId="33601" xr:uid="{1D50FB55-5CF5-4D1B-8D5C-68AEA5676C7B}"/>
    <cellStyle name="Normal 5 3 4 2 2 2 2 3" xfId="12490" xr:uid="{5E76527B-3F24-4EC8-B6CE-B50F8CACBDAC}"/>
    <cellStyle name="Normal 5 3 4 2 2 2 2 4" xfId="20937" xr:uid="{4173045C-79ED-439C-AA09-72211FFF0F1D}"/>
    <cellStyle name="Normal 5 3 4 2 2 2 2 5" xfId="29384" xr:uid="{FC96864B-DDBF-4DD8-8BBC-656FC08E1784}"/>
    <cellStyle name="Normal 5 3 4 2 2 2 3" xfId="5236" xr:uid="{00000000-0005-0000-0000-00001A1A0000}"/>
    <cellStyle name="Normal 5 3 4 2 2 2 3 2" xfId="14562" xr:uid="{B67265DD-0A6E-4D01-A7F0-C180CFB8A451}"/>
    <cellStyle name="Normal 5 3 4 2 2 2 3 3" xfId="23009" xr:uid="{F7D139CA-60FA-40BF-8EAC-D556194118AD}"/>
    <cellStyle name="Normal 5 3 4 2 2 2 3 4" xfId="31456" xr:uid="{324D0DEA-F9E5-4534-B273-AFDADC9F5EEA}"/>
    <cellStyle name="Normal 5 3 4 2 2 2 4" xfId="9566" xr:uid="{D483C248-9680-462F-989C-42C712CD6EB7}"/>
    <cellStyle name="Normal 5 3 4 2 2 2 5" xfId="10345" xr:uid="{53CC5A99-CDE6-4E1E-895E-5E0C20520EFF}"/>
    <cellStyle name="Normal 5 3 4 2 2 2 6" xfId="18792" xr:uid="{296A5E42-61AA-4010-B014-9D752A1B605F}"/>
    <cellStyle name="Normal 5 3 4 2 2 2 7" xfId="27239" xr:uid="{AF0AC6AC-DD3C-4EB1-B7E1-59E6A36B835B}"/>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17120" xr:uid="{2C64A1F5-1D8A-48A9-99CE-06EA0D666C8A}"/>
    <cellStyle name="Normal 5 3 4 2 2 3 2 2 3" xfId="25567" xr:uid="{ED9A8411-0417-4340-A3BC-963DCD4EBB6E}"/>
    <cellStyle name="Normal 5 3 4 2 2 3 2 2 4" xfId="34014" xr:uid="{D2E870D7-C8B4-44FE-BE7B-3C549B92111B}"/>
    <cellStyle name="Normal 5 3 4 2 2 3 2 3" xfId="12903" xr:uid="{A72F4828-F614-481A-9D72-C4A19283A343}"/>
    <cellStyle name="Normal 5 3 4 2 2 3 2 4" xfId="21350" xr:uid="{CD2E4B7B-8266-4185-ADDB-1DAA9061A51D}"/>
    <cellStyle name="Normal 5 3 4 2 2 3 2 5" xfId="29797" xr:uid="{8BAC9CB9-35E6-40B7-B4FF-EA236E1A1E0B}"/>
    <cellStyle name="Normal 5 3 4 2 2 3 3" xfId="5649" xr:uid="{00000000-0005-0000-0000-00001E1A0000}"/>
    <cellStyle name="Normal 5 3 4 2 2 3 3 2" xfId="14975" xr:uid="{FAD2762D-9B6B-43F6-8737-489C44ACDD74}"/>
    <cellStyle name="Normal 5 3 4 2 2 3 3 3" xfId="23422" xr:uid="{20FC720A-6034-4E4F-928D-82449207F84D}"/>
    <cellStyle name="Normal 5 3 4 2 2 3 3 4" xfId="31869" xr:uid="{EC6CF7EA-C758-42FF-A9D4-1DF095D3F903}"/>
    <cellStyle name="Normal 5 3 4 2 2 3 4" xfId="10758" xr:uid="{D0968F7A-B8E4-4CB2-8132-1BCB8DAD42D6}"/>
    <cellStyle name="Normal 5 3 4 2 2 3 5" xfId="19205" xr:uid="{A88083F6-39B8-41AF-A4B2-594325BBD05C}"/>
    <cellStyle name="Normal 5 3 4 2 2 3 6" xfId="27652" xr:uid="{1F63A49A-BDFA-425B-91C7-581AE4A2E2F8}"/>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17533" xr:uid="{D3F2C84B-6D16-418B-89A0-39663B2EB0C4}"/>
    <cellStyle name="Normal 5 3 4 2 2 4 2 2 3" xfId="25980" xr:uid="{B6859597-B976-4DCF-90EF-467B4A72D639}"/>
    <cellStyle name="Normal 5 3 4 2 2 4 2 2 4" xfId="34427" xr:uid="{8594F28B-F9B9-4F89-9647-E37AFB837B25}"/>
    <cellStyle name="Normal 5 3 4 2 2 4 2 3" xfId="13316" xr:uid="{3027AA10-99FA-4594-9DC2-B15760F5AEDC}"/>
    <cellStyle name="Normal 5 3 4 2 2 4 2 4" xfId="21763" xr:uid="{7043B641-3137-419B-AAA3-464F2B9F5D1D}"/>
    <cellStyle name="Normal 5 3 4 2 2 4 2 5" xfId="30210" xr:uid="{09B691E5-190B-46B9-ADF9-B45CA7AFB4C6}"/>
    <cellStyle name="Normal 5 3 4 2 2 4 3" xfId="6062" xr:uid="{00000000-0005-0000-0000-0000221A0000}"/>
    <cellStyle name="Normal 5 3 4 2 2 4 3 2" xfId="15388" xr:uid="{A970496A-95EE-41D6-9754-A7A24667DF09}"/>
    <cellStyle name="Normal 5 3 4 2 2 4 3 3" xfId="23835" xr:uid="{A76BFAB0-8140-429B-BB6A-F54E2FFB97F7}"/>
    <cellStyle name="Normal 5 3 4 2 2 4 3 4" xfId="32282" xr:uid="{1C79E18E-45A7-45E7-A51E-09D372A5A9A7}"/>
    <cellStyle name="Normal 5 3 4 2 2 4 4" xfId="11171" xr:uid="{03CEFF0C-A162-457F-9C38-DE29A44CC477}"/>
    <cellStyle name="Normal 5 3 4 2 2 4 5" xfId="19618" xr:uid="{F8708FA2-324F-4E7C-BE67-09EDD59C0F14}"/>
    <cellStyle name="Normal 5 3 4 2 2 4 6" xfId="28065" xr:uid="{F618A6C4-71BD-4223-8D53-7859234E1839}"/>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17946" xr:uid="{C49B1961-76C7-4ECD-B08C-E414A345F6D3}"/>
    <cellStyle name="Normal 5 3 4 2 2 5 2 2 3" xfId="26393" xr:uid="{E9F0E83B-1F03-4742-910B-89D1D090EC7D}"/>
    <cellStyle name="Normal 5 3 4 2 2 5 2 2 4" xfId="34840" xr:uid="{54F18B3A-47EF-45F8-B9F4-E3E5C62F1C34}"/>
    <cellStyle name="Normal 5 3 4 2 2 5 2 3" xfId="13729" xr:uid="{04BBCD34-ADCE-4C98-BFF6-0C0A85C82505}"/>
    <cellStyle name="Normal 5 3 4 2 2 5 2 4" xfId="22176" xr:uid="{240233E0-B158-4CAA-B569-1962810406E6}"/>
    <cellStyle name="Normal 5 3 4 2 2 5 2 5" xfId="30623" xr:uid="{1734E065-3BFD-4656-8FD0-BBC505F9EC27}"/>
    <cellStyle name="Normal 5 3 4 2 2 5 3" xfId="6475" xr:uid="{00000000-0005-0000-0000-0000261A0000}"/>
    <cellStyle name="Normal 5 3 4 2 2 5 3 2" xfId="15801" xr:uid="{F8B04E60-C63C-4967-B25E-A58A479F2566}"/>
    <cellStyle name="Normal 5 3 4 2 2 5 3 3" xfId="24248" xr:uid="{58E457D2-3AA5-45E2-B800-21ED2E02E2AF}"/>
    <cellStyle name="Normal 5 3 4 2 2 5 3 4" xfId="32695" xr:uid="{69EFFB3E-0C25-45D9-87DD-3E49E80566AC}"/>
    <cellStyle name="Normal 5 3 4 2 2 5 4" xfId="11584" xr:uid="{1A62AAAC-2CAD-4A7C-9F33-0E611F4DD6AF}"/>
    <cellStyle name="Normal 5 3 4 2 2 5 5" xfId="20031" xr:uid="{C6C56979-244F-4DD2-97EE-56B868F53F9F}"/>
    <cellStyle name="Normal 5 3 4 2 2 5 6" xfId="28478" xr:uid="{F8135078-8254-466A-ADD3-FB34EED21DEE}"/>
    <cellStyle name="Normal 5 3 4 2 2 6" xfId="2605" xr:uid="{00000000-0005-0000-0000-0000271A0000}"/>
    <cellStyle name="Normal 5 3 4 2 2 6 2" xfId="6888" xr:uid="{00000000-0005-0000-0000-0000281A0000}"/>
    <cellStyle name="Normal 5 3 4 2 2 6 2 2" xfId="16214" xr:uid="{1EB7416A-2D80-4E4A-B9C4-9C3BD341A4C8}"/>
    <cellStyle name="Normal 5 3 4 2 2 6 2 3" xfId="24661" xr:uid="{7A03110A-79EA-4170-8B54-906BE85AB034}"/>
    <cellStyle name="Normal 5 3 4 2 2 6 2 4" xfId="33108" xr:uid="{B1083FB6-9956-433E-A392-5AE5BFCE1877}"/>
    <cellStyle name="Normal 5 3 4 2 2 6 3" xfId="11997" xr:uid="{242B8896-EFF8-4F6B-BFE4-153B9C9CB9D2}"/>
    <cellStyle name="Normal 5 3 4 2 2 6 4" xfId="20444" xr:uid="{4B8AABF8-29ED-43F0-AC96-FE7B84848B7B}"/>
    <cellStyle name="Normal 5 3 4 2 2 6 5" xfId="28891" xr:uid="{58608CB1-091D-4301-BEFB-A2F2DE672BBB}"/>
    <cellStyle name="Normal 5 3 4 2 2 7" xfId="4823" xr:uid="{00000000-0005-0000-0000-0000291A0000}"/>
    <cellStyle name="Normal 5 3 4 2 2 7 2" xfId="14149" xr:uid="{F31B4431-AD76-4DC3-8E91-30192719F4ED}"/>
    <cellStyle name="Normal 5 3 4 2 2 7 3" xfId="22596" xr:uid="{BE30755F-8617-40D4-BE40-8C4AABF1A0ED}"/>
    <cellStyle name="Normal 5 3 4 2 2 7 4" xfId="31043" xr:uid="{F9F79DE6-E166-4C8B-97D5-B249CF253E4C}"/>
    <cellStyle name="Normal 5 3 4 2 2 8" xfId="9141" xr:uid="{6B63A6D0-0E60-498B-8E53-451D5144533A}"/>
    <cellStyle name="Normal 5 3 4 2 2 9" xfId="9932" xr:uid="{8A3D4A1F-D216-4341-84A6-4F9C07E4C9A2}"/>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16706" xr:uid="{537F36E8-4D64-4B97-9508-536F4B8686BC}"/>
    <cellStyle name="Normal 5 3 4 2 3 2 2 3" xfId="25153" xr:uid="{C48DF9A5-0BCE-443D-8012-86735E38654C}"/>
    <cellStyle name="Normal 5 3 4 2 3 2 2 4" xfId="33600" xr:uid="{3CE8B71F-7DFC-4F9C-A872-56A5655C2BC0}"/>
    <cellStyle name="Normal 5 3 4 2 3 2 3" xfId="12489" xr:uid="{48444E50-CA23-4B89-B53A-423C9E808C47}"/>
    <cellStyle name="Normal 5 3 4 2 3 2 4" xfId="20936" xr:uid="{15202C45-E39A-48D9-B4EA-0EC6FA41771B}"/>
    <cellStyle name="Normal 5 3 4 2 3 2 5" xfId="29383" xr:uid="{410BAA19-6256-432F-89F3-9E08E28275A4}"/>
    <cellStyle name="Normal 5 3 4 2 3 3" xfId="5235" xr:uid="{00000000-0005-0000-0000-00002D1A0000}"/>
    <cellStyle name="Normal 5 3 4 2 3 3 2" xfId="14561" xr:uid="{58E04B10-4393-4596-BAB5-DCA28E47D7C1}"/>
    <cellStyle name="Normal 5 3 4 2 3 3 3" xfId="23008" xr:uid="{071C37D4-9AFD-4EAD-B97B-10910F5B9597}"/>
    <cellStyle name="Normal 5 3 4 2 3 3 4" xfId="31455" xr:uid="{42DFD74D-2567-4F39-A512-BA66BB1814EA}"/>
    <cellStyle name="Normal 5 3 4 2 3 4" xfId="9359" xr:uid="{FAC41203-2BC4-411F-9296-10781BA4F1AB}"/>
    <cellStyle name="Normal 5 3 4 2 3 5" xfId="10344" xr:uid="{F4F57E5B-8CBE-436A-8FF1-C11740594A86}"/>
    <cellStyle name="Normal 5 3 4 2 3 6" xfId="18791" xr:uid="{79F2106C-75FD-47FF-B9D4-A1DB2043B1E1}"/>
    <cellStyle name="Normal 5 3 4 2 3 7" xfId="27238" xr:uid="{121D7DE1-ACAC-47CC-B52D-5B69EA36F66F}"/>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17119" xr:uid="{DD114B7E-EC23-49A0-88A3-9CB17D90B4AB}"/>
    <cellStyle name="Normal 5 3 4 2 4 2 2 3" xfId="25566" xr:uid="{38ACC38F-DB04-49ED-91A0-AAFE775FF214}"/>
    <cellStyle name="Normal 5 3 4 2 4 2 2 4" xfId="34013" xr:uid="{257F69EE-63DE-4214-9BFE-78C82381F19C}"/>
    <cellStyle name="Normal 5 3 4 2 4 2 3" xfId="12902" xr:uid="{9A00D0FD-6365-4A31-B6FD-1AC4C9A0CD47}"/>
    <cellStyle name="Normal 5 3 4 2 4 2 4" xfId="21349" xr:uid="{E1FC174D-EA65-42F5-96E6-96FE2B84B8BC}"/>
    <cellStyle name="Normal 5 3 4 2 4 2 5" xfId="29796" xr:uid="{670E73A0-DD0A-4454-83EB-EB735E29CE7A}"/>
    <cellStyle name="Normal 5 3 4 2 4 3" xfId="5648" xr:uid="{00000000-0005-0000-0000-0000311A0000}"/>
    <cellStyle name="Normal 5 3 4 2 4 3 2" xfId="14974" xr:uid="{9D0A16D7-0B4F-4FBE-8FE9-F1B11098BF1D}"/>
    <cellStyle name="Normal 5 3 4 2 4 3 3" xfId="23421" xr:uid="{E04A9B82-B825-45CD-B69E-12E4B4F28686}"/>
    <cellStyle name="Normal 5 3 4 2 4 3 4" xfId="31868" xr:uid="{014ECB25-F834-4CC1-BF33-67CCFB75C388}"/>
    <cellStyle name="Normal 5 3 4 2 4 4" xfId="10757" xr:uid="{F69FF674-1DB9-46B4-82EF-B943AD8BF78F}"/>
    <cellStyle name="Normal 5 3 4 2 4 5" xfId="19204" xr:uid="{C0775729-3D17-48F7-BCB1-A58CC5CFE473}"/>
    <cellStyle name="Normal 5 3 4 2 4 6" xfId="27651" xr:uid="{B6CBF46A-D1DE-45B1-830F-91275DE30248}"/>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17532" xr:uid="{C974CB3E-9759-47A9-A5F1-427AB62F42E3}"/>
    <cellStyle name="Normal 5 3 4 2 5 2 2 3" xfId="25979" xr:uid="{32F6CC8A-7606-4F4C-8019-A0486E526E6A}"/>
    <cellStyle name="Normal 5 3 4 2 5 2 2 4" xfId="34426" xr:uid="{42BFF077-46C8-4946-9F17-DDAB750A07D6}"/>
    <cellStyle name="Normal 5 3 4 2 5 2 3" xfId="13315" xr:uid="{721C5B9B-1143-4EF2-897B-1D0C08FD2F35}"/>
    <cellStyle name="Normal 5 3 4 2 5 2 4" xfId="21762" xr:uid="{8988E627-AA79-4738-93C8-F6DCB490485F}"/>
    <cellStyle name="Normal 5 3 4 2 5 2 5" xfId="30209" xr:uid="{58607589-73A5-45A1-B743-602AD60EB8F3}"/>
    <cellStyle name="Normal 5 3 4 2 5 3" xfId="6061" xr:uid="{00000000-0005-0000-0000-0000351A0000}"/>
    <cellStyle name="Normal 5 3 4 2 5 3 2" xfId="15387" xr:uid="{F44DB146-2D8E-441E-B380-111EB99E07C1}"/>
    <cellStyle name="Normal 5 3 4 2 5 3 3" xfId="23834" xr:uid="{996F81DE-5FF4-4023-9A06-181F96487052}"/>
    <cellStyle name="Normal 5 3 4 2 5 3 4" xfId="32281" xr:uid="{52D89780-9A46-4496-9D61-E6977650F906}"/>
    <cellStyle name="Normal 5 3 4 2 5 4" xfId="11170" xr:uid="{A0F7E225-26BC-4038-ABBA-81153F19D88C}"/>
    <cellStyle name="Normal 5 3 4 2 5 5" xfId="19617" xr:uid="{78923B29-4C05-4713-9C74-A33B3D09FA95}"/>
    <cellStyle name="Normal 5 3 4 2 5 6" xfId="28064" xr:uid="{E0574E5F-AFE6-41B0-A9E3-3DF78D869F7B}"/>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17945" xr:uid="{9E79ACB7-10DD-4649-B455-A2A4EF01BC6C}"/>
    <cellStyle name="Normal 5 3 4 2 6 2 2 3" xfId="26392" xr:uid="{42AB0F10-5626-4438-BA9D-51E0744EE704}"/>
    <cellStyle name="Normal 5 3 4 2 6 2 2 4" xfId="34839" xr:uid="{61BE1AE7-318E-49DB-9E50-9FAE5B6222E2}"/>
    <cellStyle name="Normal 5 3 4 2 6 2 3" xfId="13728" xr:uid="{797A5AB0-B917-41FF-9F8A-06CD9BDBDD0F}"/>
    <cellStyle name="Normal 5 3 4 2 6 2 4" xfId="22175" xr:uid="{77986C1F-E48E-44A1-98FC-029CA030FA50}"/>
    <cellStyle name="Normal 5 3 4 2 6 2 5" xfId="30622" xr:uid="{E3E2D38C-84D3-421D-B38C-7C1A4B972A05}"/>
    <cellStyle name="Normal 5 3 4 2 6 3" xfId="6474" xr:uid="{00000000-0005-0000-0000-0000391A0000}"/>
    <cellStyle name="Normal 5 3 4 2 6 3 2" xfId="15800" xr:uid="{637B3C92-5136-488B-B2E7-4A99A9AC4745}"/>
    <cellStyle name="Normal 5 3 4 2 6 3 3" xfId="24247" xr:uid="{4629F502-1BB8-4B29-BC94-FE1A99FF7684}"/>
    <cellStyle name="Normal 5 3 4 2 6 3 4" xfId="32694" xr:uid="{951AE783-23D9-40D1-B8B1-7854655DA6E4}"/>
    <cellStyle name="Normal 5 3 4 2 6 4" xfId="11583" xr:uid="{397EE8EB-3121-4AC3-8066-28BD5680C0B7}"/>
    <cellStyle name="Normal 5 3 4 2 6 5" xfId="20030" xr:uid="{467AB160-54E9-4F1E-8C7A-42EC5E58753D}"/>
    <cellStyle name="Normal 5 3 4 2 6 6" xfId="28477" xr:uid="{EC5BBCFC-5A99-4CA9-A28C-4BABCFCDB297}"/>
    <cellStyle name="Normal 5 3 4 2 7" xfId="2604" xr:uid="{00000000-0005-0000-0000-00003A1A0000}"/>
    <cellStyle name="Normal 5 3 4 2 7 2" xfId="6887" xr:uid="{00000000-0005-0000-0000-00003B1A0000}"/>
    <cellStyle name="Normal 5 3 4 2 7 2 2" xfId="16213" xr:uid="{E35B6999-222E-4741-B137-47B267891338}"/>
    <cellStyle name="Normal 5 3 4 2 7 2 3" xfId="24660" xr:uid="{927BBB42-91CD-43F5-A51E-BAC178667249}"/>
    <cellStyle name="Normal 5 3 4 2 7 2 4" xfId="33107" xr:uid="{B4B17975-16B5-4CA1-95E9-12B9559E1AF5}"/>
    <cellStyle name="Normal 5 3 4 2 7 3" xfId="11996" xr:uid="{5E534EF3-8104-4E32-B451-BF2D3FF5D5D1}"/>
    <cellStyle name="Normal 5 3 4 2 7 4" xfId="20443" xr:uid="{BA03F7E6-AF6F-4E95-8419-D1F4A99EAB7B}"/>
    <cellStyle name="Normal 5 3 4 2 7 5" xfId="28890" xr:uid="{7AA1AAA7-4718-4D48-A916-D87D47FB5AF7}"/>
    <cellStyle name="Normal 5 3 4 2 8" xfId="4822" xr:uid="{00000000-0005-0000-0000-00003C1A0000}"/>
    <cellStyle name="Normal 5 3 4 2 8 2" xfId="14148" xr:uid="{9FEBABD7-DE36-4813-8FCD-2E191F1561CC}"/>
    <cellStyle name="Normal 5 3 4 2 8 3" xfId="22595" xr:uid="{EC24F4D0-AFE3-4F5D-85E0-271F800D1582}"/>
    <cellStyle name="Normal 5 3 4 2 8 4" xfId="31042" xr:uid="{105C96D7-599D-4F11-BEE7-2AA5358AEF57}"/>
    <cellStyle name="Normal 5 3 4 2 9" xfId="8934" xr:uid="{D16D0DF9-4576-4200-8972-8AAD50545E0D}"/>
    <cellStyle name="Normal 5 3 4 3" xfId="452" xr:uid="{00000000-0005-0000-0000-00003D1A0000}"/>
    <cellStyle name="Normal 5 3 4 3 10" xfId="18380" xr:uid="{D24DEC1B-B60C-40A2-8E60-4F8E221C9E63}"/>
    <cellStyle name="Normal 5 3 4 3 11" xfId="26827" xr:uid="{442B8021-B2C8-4BE9-9FE4-C7BD8DA7E0E4}"/>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16708" xr:uid="{F64F3EEF-78D2-4AD1-8CBB-8B49A1AA6204}"/>
    <cellStyle name="Normal 5 3 4 3 2 2 2 3" xfId="25155" xr:uid="{07CFB85E-957C-4862-A931-04794D90D9D5}"/>
    <cellStyle name="Normal 5 3 4 3 2 2 2 4" xfId="33602" xr:uid="{C3159220-DD74-43BE-A7D1-C44D7AD1A217}"/>
    <cellStyle name="Normal 5 3 4 3 2 2 3" xfId="12491" xr:uid="{5EC3D0BB-4700-4372-95B9-90F99BDAB469}"/>
    <cellStyle name="Normal 5 3 4 3 2 2 4" xfId="20938" xr:uid="{F30977D2-C479-4234-9E0D-2517940B2C53}"/>
    <cellStyle name="Normal 5 3 4 3 2 2 5" xfId="29385" xr:uid="{6BF1B327-C294-4D32-AB11-08342B78E70E}"/>
    <cellStyle name="Normal 5 3 4 3 2 3" xfId="5237" xr:uid="{00000000-0005-0000-0000-0000411A0000}"/>
    <cellStyle name="Normal 5 3 4 3 2 3 2" xfId="14563" xr:uid="{E9EFD0A7-59AC-48FF-962E-2A9242180130}"/>
    <cellStyle name="Normal 5 3 4 3 2 3 3" xfId="23010" xr:uid="{471FD057-5C6B-4CE1-88E6-28514B8014D9}"/>
    <cellStyle name="Normal 5 3 4 3 2 3 4" xfId="31457" xr:uid="{CC38326F-AEAF-4C97-A539-0DF5B783557D}"/>
    <cellStyle name="Normal 5 3 4 3 2 4" xfId="9463" xr:uid="{1CC38E89-013B-404F-9F3E-11BABC37F656}"/>
    <cellStyle name="Normal 5 3 4 3 2 5" xfId="10346" xr:uid="{BBFE7D10-B91F-4C1E-B905-9BD664CE28A6}"/>
    <cellStyle name="Normal 5 3 4 3 2 6" xfId="18793" xr:uid="{58F60084-C167-4DD1-B048-17A3840423EB}"/>
    <cellStyle name="Normal 5 3 4 3 2 7" xfId="27240" xr:uid="{A267C393-262C-439D-8193-17C2AEE71C12}"/>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17121" xr:uid="{329C7AB1-4DE1-48D9-B68C-038677AEF8A3}"/>
    <cellStyle name="Normal 5 3 4 3 3 2 2 3" xfId="25568" xr:uid="{26651E13-2410-4BB5-9AF9-470FAB889016}"/>
    <cellStyle name="Normal 5 3 4 3 3 2 2 4" xfId="34015" xr:uid="{9A60637C-02F4-4F01-80E2-99F41C1DA14C}"/>
    <cellStyle name="Normal 5 3 4 3 3 2 3" xfId="12904" xr:uid="{3F52EF2F-4315-41C8-B921-BA6774A432A9}"/>
    <cellStyle name="Normal 5 3 4 3 3 2 4" xfId="21351" xr:uid="{CC69FAEC-4952-459E-A967-78F9AF2A061D}"/>
    <cellStyle name="Normal 5 3 4 3 3 2 5" xfId="29798" xr:uid="{BF5261B9-9033-44FE-9122-DFE74962D449}"/>
    <cellStyle name="Normal 5 3 4 3 3 3" xfId="5650" xr:uid="{00000000-0005-0000-0000-0000451A0000}"/>
    <cellStyle name="Normal 5 3 4 3 3 3 2" xfId="14976" xr:uid="{2EB573DC-A240-46C8-BBC3-379905D807C5}"/>
    <cellStyle name="Normal 5 3 4 3 3 3 3" xfId="23423" xr:uid="{B0054C90-880A-4878-B81D-079284CD7991}"/>
    <cellStyle name="Normal 5 3 4 3 3 3 4" xfId="31870" xr:uid="{115636E2-BE39-4924-BDBB-43433F601489}"/>
    <cellStyle name="Normal 5 3 4 3 3 4" xfId="10759" xr:uid="{A439260E-9CBD-407D-BF2F-B7F3330EB850}"/>
    <cellStyle name="Normal 5 3 4 3 3 5" xfId="19206" xr:uid="{3673931C-7031-48CD-9160-A313F9BAB946}"/>
    <cellStyle name="Normal 5 3 4 3 3 6" xfId="27653" xr:uid="{7D224060-4F34-4EE6-A872-E85D4EA01525}"/>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17534" xr:uid="{108FE9A8-A81B-4A2E-B07D-732A5B7F961E}"/>
    <cellStyle name="Normal 5 3 4 3 4 2 2 3" xfId="25981" xr:uid="{41F3095C-23EE-43FB-89DE-283E13C7DBC2}"/>
    <cellStyle name="Normal 5 3 4 3 4 2 2 4" xfId="34428" xr:uid="{A30C0FAB-2E11-45AE-9F80-4195FC2A9274}"/>
    <cellStyle name="Normal 5 3 4 3 4 2 3" xfId="13317" xr:uid="{7344F860-343C-4CEE-9D74-34360354BEF3}"/>
    <cellStyle name="Normal 5 3 4 3 4 2 4" xfId="21764" xr:uid="{056B698F-53D0-4AB5-9604-C1A880429790}"/>
    <cellStyle name="Normal 5 3 4 3 4 2 5" xfId="30211" xr:uid="{43DE3583-65C8-427D-9882-412C0021B2F1}"/>
    <cellStyle name="Normal 5 3 4 3 4 3" xfId="6063" xr:uid="{00000000-0005-0000-0000-0000491A0000}"/>
    <cellStyle name="Normal 5 3 4 3 4 3 2" xfId="15389" xr:uid="{2E9A335E-69D3-493D-839A-28A3E0F7CF27}"/>
    <cellStyle name="Normal 5 3 4 3 4 3 3" xfId="23836" xr:uid="{CF6B6AD4-1F3D-41EC-8F1D-B563B1DE8C1C}"/>
    <cellStyle name="Normal 5 3 4 3 4 3 4" xfId="32283" xr:uid="{B3130216-5AA7-4ED7-845C-4A69B1D1160D}"/>
    <cellStyle name="Normal 5 3 4 3 4 4" xfId="11172" xr:uid="{F952EE33-AA31-41F0-8530-AE5EBE146A1F}"/>
    <cellStyle name="Normal 5 3 4 3 4 5" xfId="19619" xr:uid="{FC69F7D5-3701-4498-9221-C536D2A7910D}"/>
    <cellStyle name="Normal 5 3 4 3 4 6" xfId="28066" xr:uid="{58D3305D-04BD-40B1-A38C-5E6D4ABB2327}"/>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17947" xr:uid="{9CDC6FD2-ED77-46EA-93A9-4367BB83B20A}"/>
    <cellStyle name="Normal 5 3 4 3 5 2 2 3" xfId="26394" xr:uid="{D9218EF8-8D75-4C63-9DFF-507574CC6864}"/>
    <cellStyle name="Normal 5 3 4 3 5 2 2 4" xfId="34841" xr:uid="{5C789D56-6DF5-4D24-9021-19D553483699}"/>
    <cellStyle name="Normal 5 3 4 3 5 2 3" xfId="13730" xr:uid="{CCB9B8DD-DAB2-4CAE-BBC1-C181830440A7}"/>
    <cellStyle name="Normal 5 3 4 3 5 2 4" xfId="22177" xr:uid="{83801CD1-5619-4356-88C7-1E483C8561B1}"/>
    <cellStyle name="Normal 5 3 4 3 5 2 5" xfId="30624" xr:uid="{B2BD6AAE-6576-4E88-894B-BE1926188395}"/>
    <cellStyle name="Normal 5 3 4 3 5 3" xfId="6476" xr:uid="{00000000-0005-0000-0000-00004D1A0000}"/>
    <cellStyle name="Normal 5 3 4 3 5 3 2" xfId="15802" xr:uid="{D4ACAD2B-34E5-43D0-9572-FD38F0861ADF}"/>
    <cellStyle name="Normal 5 3 4 3 5 3 3" xfId="24249" xr:uid="{DE314B0E-AF98-4946-9C9D-5FCCE74A7807}"/>
    <cellStyle name="Normal 5 3 4 3 5 3 4" xfId="32696" xr:uid="{6A6D6747-7F40-4344-A94D-0063D67E8B14}"/>
    <cellStyle name="Normal 5 3 4 3 5 4" xfId="11585" xr:uid="{470713BB-5F5A-45B2-B028-102E4B92DD5F}"/>
    <cellStyle name="Normal 5 3 4 3 5 5" xfId="20032" xr:uid="{D022EF02-79BF-453D-8859-0F5E286B00F1}"/>
    <cellStyle name="Normal 5 3 4 3 5 6" xfId="28479" xr:uid="{CD85A0B7-13F0-419A-8C85-C8F71C9FBE1C}"/>
    <cellStyle name="Normal 5 3 4 3 6" xfId="2606" xr:uid="{00000000-0005-0000-0000-00004E1A0000}"/>
    <cellStyle name="Normal 5 3 4 3 6 2" xfId="6889" xr:uid="{00000000-0005-0000-0000-00004F1A0000}"/>
    <cellStyle name="Normal 5 3 4 3 6 2 2" xfId="16215" xr:uid="{2529A55F-E11F-4F1B-BF66-35D4CC51ABA6}"/>
    <cellStyle name="Normal 5 3 4 3 6 2 3" xfId="24662" xr:uid="{CBE57F1D-835C-4122-A63F-B8D32990ECA1}"/>
    <cellStyle name="Normal 5 3 4 3 6 2 4" xfId="33109" xr:uid="{F6922369-5B16-43E7-8062-327BE1965FEC}"/>
    <cellStyle name="Normal 5 3 4 3 6 3" xfId="11998" xr:uid="{70E425D7-4A0F-4451-B5E8-2C31FA013D07}"/>
    <cellStyle name="Normal 5 3 4 3 6 4" xfId="20445" xr:uid="{5FBD4931-2E56-4F57-94D9-4B4BBAB3E060}"/>
    <cellStyle name="Normal 5 3 4 3 6 5" xfId="28892" xr:uid="{2879C1DE-0427-4594-AA3B-37174813C296}"/>
    <cellStyle name="Normal 5 3 4 3 7" xfId="4824" xr:uid="{00000000-0005-0000-0000-0000501A0000}"/>
    <cellStyle name="Normal 5 3 4 3 7 2" xfId="14150" xr:uid="{858AA897-FF14-48E3-AF5E-7156681AEEF6}"/>
    <cellStyle name="Normal 5 3 4 3 7 3" xfId="22597" xr:uid="{5635275D-038C-440D-8FF1-19D29C3E64B4}"/>
    <cellStyle name="Normal 5 3 4 3 7 4" xfId="31044" xr:uid="{4D3D5037-2DA9-4C84-9367-D0BDA73ED8A8}"/>
    <cellStyle name="Normal 5 3 4 3 8" xfId="9038" xr:uid="{15024032-E3C2-4FDD-B674-481D39A836C5}"/>
    <cellStyle name="Normal 5 3 4 3 9" xfId="9933" xr:uid="{18CC719A-B684-41DE-B85A-D401DB9A529C}"/>
    <cellStyle name="Normal 5 3 4 4" xfId="923" xr:uid="{00000000-0005-0000-0000-0000511A0000}"/>
    <cellStyle name="Normal 5 3 4 4 2" xfId="3157" xr:uid="{00000000-0005-0000-0000-0000521A0000}"/>
    <cellStyle name="Normal 5 3 4 4 2 2" xfId="7379" xr:uid="{00000000-0005-0000-0000-0000531A0000}"/>
    <cellStyle name="Normal 5 3 4 4 2 2 2" xfId="16705" xr:uid="{775AA401-D11D-4927-AF32-460C052ACF62}"/>
    <cellStyle name="Normal 5 3 4 4 2 2 3" xfId="25152" xr:uid="{903EDC62-8786-402C-9759-F8616CCA5872}"/>
    <cellStyle name="Normal 5 3 4 4 2 2 4" xfId="33599" xr:uid="{F0219AAB-F01E-4268-B3D3-777CFBE88244}"/>
    <cellStyle name="Normal 5 3 4 4 2 3" xfId="12488" xr:uid="{B2CB606A-252E-4154-8A14-8A1F76C9F07B}"/>
    <cellStyle name="Normal 5 3 4 4 2 4" xfId="20935" xr:uid="{B7CB5666-BE71-4917-8B4F-F95FCF06765A}"/>
    <cellStyle name="Normal 5 3 4 4 2 5" xfId="29382" xr:uid="{A26BFE19-24BA-4CE4-B016-FD993C91798E}"/>
    <cellStyle name="Normal 5 3 4 4 3" xfId="5234" xr:uid="{00000000-0005-0000-0000-0000541A0000}"/>
    <cellStyle name="Normal 5 3 4 4 3 2" xfId="14560" xr:uid="{27DE7B68-ED4B-40C2-BD2E-92D9DCD317C8}"/>
    <cellStyle name="Normal 5 3 4 4 3 3" xfId="23007" xr:uid="{E777D5FA-3F98-4ABE-8641-999565A2259B}"/>
    <cellStyle name="Normal 5 3 4 4 3 4" xfId="31454" xr:uid="{C5A8F3AD-1DCB-4D8F-B1CD-9C89D7B65D3C}"/>
    <cellStyle name="Normal 5 3 4 4 4" xfId="9256" xr:uid="{69A14F57-2B46-4294-8CA5-E21858516C25}"/>
    <cellStyle name="Normal 5 3 4 4 5" xfId="10343" xr:uid="{6FB8ADD0-2B11-446E-A9F7-DEC9A976CC83}"/>
    <cellStyle name="Normal 5 3 4 4 6" xfId="18790" xr:uid="{9079FA86-88FA-41A1-8C58-3303E2D6C9F5}"/>
    <cellStyle name="Normal 5 3 4 4 7" xfId="27237" xr:uid="{F01565C1-94A9-4174-A76B-4036BF22402C}"/>
    <cellStyle name="Normal 5 3 4 5" xfId="1340" xr:uid="{00000000-0005-0000-0000-0000551A0000}"/>
    <cellStyle name="Normal 5 3 4 5 2" xfId="3570" xr:uid="{00000000-0005-0000-0000-0000561A0000}"/>
    <cellStyle name="Normal 5 3 4 5 2 2" xfId="7792" xr:uid="{00000000-0005-0000-0000-0000571A0000}"/>
    <cellStyle name="Normal 5 3 4 5 2 2 2" xfId="17118" xr:uid="{389333B5-2519-43B2-84DC-DC3E409BA3C1}"/>
    <cellStyle name="Normal 5 3 4 5 2 2 3" xfId="25565" xr:uid="{517C2625-167A-4DED-A2AC-42BC2D69F478}"/>
    <cellStyle name="Normal 5 3 4 5 2 2 4" xfId="34012" xr:uid="{7C6A5DCA-69B0-4E8A-830A-2B572B7ED565}"/>
    <cellStyle name="Normal 5 3 4 5 2 3" xfId="12901" xr:uid="{6828E687-9484-4C44-A382-EBAEC6DF9231}"/>
    <cellStyle name="Normal 5 3 4 5 2 4" xfId="21348" xr:uid="{5EA00CA2-86F9-46AF-ADD0-C68CD2087868}"/>
    <cellStyle name="Normal 5 3 4 5 2 5" xfId="29795" xr:uid="{9CF2F87E-9715-479C-A99A-E58F428B55E0}"/>
    <cellStyle name="Normal 5 3 4 5 3" xfId="5647" xr:uid="{00000000-0005-0000-0000-0000581A0000}"/>
    <cellStyle name="Normal 5 3 4 5 3 2" xfId="14973" xr:uid="{1AAED98E-ED70-4ECA-ADA8-6E9A80423A27}"/>
    <cellStyle name="Normal 5 3 4 5 3 3" xfId="23420" xr:uid="{B841F772-57D8-4F76-90BB-E8A1DA194440}"/>
    <cellStyle name="Normal 5 3 4 5 3 4" xfId="31867" xr:uid="{7F392215-F7C2-4245-ADE7-04F73E748BD2}"/>
    <cellStyle name="Normal 5 3 4 5 4" xfId="10756" xr:uid="{CF62FB32-854C-4A4E-80ED-B0BBDCB5323B}"/>
    <cellStyle name="Normal 5 3 4 5 5" xfId="19203" xr:uid="{F74A3114-EEDF-4CEA-A21F-DCABC82F538A}"/>
    <cellStyle name="Normal 5 3 4 5 6" xfId="27650" xr:uid="{6C2B2E59-82BD-487B-A2BC-5DC6B899CCDE}"/>
    <cellStyle name="Normal 5 3 4 6" xfId="1753" xr:uid="{00000000-0005-0000-0000-0000591A0000}"/>
    <cellStyle name="Normal 5 3 4 6 2" xfId="3983" xr:uid="{00000000-0005-0000-0000-00005A1A0000}"/>
    <cellStyle name="Normal 5 3 4 6 2 2" xfId="8205" xr:uid="{00000000-0005-0000-0000-00005B1A0000}"/>
    <cellStyle name="Normal 5 3 4 6 2 2 2" xfId="17531" xr:uid="{5F597666-DB8C-4636-A997-1721E4B31510}"/>
    <cellStyle name="Normal 5 3 4 6 2 2 3" xfId="25978" xr:uid="{DA71D4B1-5E51-4DBB-9AC3-154871A97B85}"/>
    <cellStyle name="Normal 5 3 4 6 2 2 4" xfId="34425" xr:uid="{EE71444E-4C2E-4C7C-A0E0-4EB60EFECE58}"/>
    <cellStyle name="Normal 5 3 4 6 2 3" xfId="13314" xr:uid="{6EEB635D-3425-42A8-B1AB-9AC67E0E0331}"/>
    <cellStyle name="Normal 5 3 4 6 2 4" xfId="21761" xr:uid="{DE0004EE-5AE5-4FD8-BE0A-792563972576}"/>
    <cellStyle name="Normal 5 3 4 6 2 5" xfId="30208" xr:uid="{BEEB09FF-C0A5-446D-8679-8A2A8FD450B0}"/>
    <cellStyle name="Normal 5 3 4 6 3" xfId="6060" xr:uid="{00000000-0005-0000-0000-00005C1A0000}"/>
    <cellStyle name="Normal 5 3 4 6 3 2" xfId="15386" xr:uid="{B8E58874-2188-48A4-9596-EF37CE433A30}"/>
    <cellStyle name="Normal 5 3 4 6 3 3" xfId="23833" xr:uid="{8576833C-3447-44EF-B171-99F00A67DF9E}"/>
    <cellStyle name="Normal 5 3 4 6 3 4" xfId="32280" xr:uid="{67239638-8ABB-4943-820D-9283D1A052FE}"/>
    <cellStyle name="Normal 5 3 4 6 4" xfId="11169" xr:uid="{358E4AB0-F900-469C-92B0-4EDAC7C1AAAB}"/>
    <cellStyle name="Normal 5 3 4 6 5" xfId="19616" xr:uid="{2CD7152D-EDE7-4C8A-AB52-23CBD49DD2BE}"/>
    <cellStyle name="Normal 5 3 4 6 6" xfId="28063" xr:uid="{D2EDC72D-823C-49CD-AF04-C4BD140DA38D}"/>
    <cellStyle name="Normal 5 3 4 7" xfId="2167" xr:uid="{00000000-0005-0000-0000-00005D1A0000}"/>
    <cellStyle name="Normal 5 3 4 7 2" xfId="4396" xr:uid="{00000000-0005-0000-0000-00005E1A0000}"/>
    <cellStyle name="Normal 5 3 4 7 2 2" xfId="8618" xr:uid="{00000000-0005-0000-0000-00005F1A0000}"/>
    <cellStyle name="Normal 5 3 4 7 2 2 2" xfId="17944" xr:uid="{FDCC8663-1CF6-4B0E-8FAE-3BC03AF903E3}"/>
    <cellStyle name="Normal 5 3 4 7 2 2 3" xfId="26391" xr:uid="{327D63B2-2773-45D6-AC2D-C633EAB1C39F}"/>
    <cellStyle name="Normal 5 3 4 7 2 2 4" xfId="34838" xr:uid="{DC9F3927-3760-47DE-B3A9-5972BEC7A4ED}"/>
    <cellStyle name="Normal 5 3 4 7 2 3" xfId="13727" xr:uid="{82A93EAE-0F0E-42A4-9B01-E89FBF313937}"/>
    <cellStyle name="Normal 5 3 4 7 2 4" xfId="22174" xr:uid="{EC1E5585-CA81-4B25-BEF9-10CE308E6816}"/>
    <cellStyle name="Normal 5 3 4 7 2 5" xfId="30621" xr:uid="{CD5BC307-334E-45FD-B15D-A7B244D1C413}"/>
    <cellStyle name="Normal 5 3 4 7 3" xfId="6473" xr:uid="{00000000-0005-0000-0000-0000601A0000}"/>
    <cellStyle name="Normal 5 3 4 7 3 2" xfId="15799" xr:uid="{3AB946AC-DAB8-4D83-B6A8-A1DF4B096929}"/>
    <cellStyle name="Normal 5 3 4 7 3 3" xfId="24246" xr:uid="{7B1739EE-1B59-4664-995B-FC37B1A06B2C}"/>
    <cellStyle name="Normal 5 3 4 7 3 4" xfId="32693" xr:uid="{4E53B75E-065B-47F5-A706-60740DDB9551}"/>
    <cellStyle name="Normal 5 3 4 7 4" xfId="11582" xr:uid="{D62CBD82-C5D9-4E6A-B8B9-9C82D27E238B}"/>
    <cellStyle name="Normal 5 3 4 7 5" xfId="20029" xr:uid="{4CDF26AF-1A95-4B74-8C89-FC15517EC2AE}"/>
    <cellStyle name="Normal 5 3 4 7 6" xfId="28476" xr:uid="{9296EDF7-368B-45F8-BD8F-A8557D963F23}"/>
    <cellStyle name="Normal 5 3 4 8" xfId="2603" xr:uid="{00000000-0005-0000-0000-0000611A0000}"/>
    <cellStyle name="Normal 5 3 4 8 2" xfId="6886" xr:uid="{00000000-0005-0000-0000-0000621A0000}"/>
    <cellStyle name="Normal 5 3 4 8 2 2" xfId="16212" xr:uid="{A604FD5E-6700-4E58-AFD4-EEA84D983732}"/>
    <cellStyle name="Normal 5 3 4 8 2 3" xfId="24659" xr:uid="{9DBEB945-9BB9-461F-864E-FB9A64AFDA82}"/>
    <cellStyle name="Normal 5 3 4 8 2 4" xfId="33106" xr:uid="{B0D96960-8592-43E6-9FCF-03AD346CF871}"/>
    <cellStyle name="Normal 5 3 4 8 3" xfId="11995" xr:uid="{0359E6B7-ADAB-4435-A66F-97DD428ADFAD}"/>
    <cellStyle name="Normal 5 3 4 8 4" xfId="20442" xr:uid="{3996FD51-045E-48E4-9328-E2718139611F}"/>
    <cellStyle name="Normal 5 3 4 8 5" xfId="28889" xr:uid="{A416AE7F-6D5B-4B56-9B58-410CEF33C99E}"/>
    <cellStyle name="Normal 5 3 4 9" xfId="4821" xr:uid="{00000000-0005-0000-0000-0000631A0000}"/>
    <cellStyle name="Normal 5 3 4 9 2" xfId="14147" xr:uid="{DD22A6E1-6C70-48B1-BB75-87EBCF29393B}"/>
    <cellStyle name="Normal 5 3 4 9 3" xfId="22594" xr:uid="{9E29BEB5-4B7B-40B7-AE3F-7F7CA0E27A52}"/>
    <cellStyle name="Normal 5 3 4 9 4" xfId="31041" xr:uid="{2B23D713-D7FB-4D9F-BE6A-60E39164FE43}"/>
    <cellStyle name="Normal 5 3 5" xfId="453" xr:uid="{00000000-0005-0000-0000-0000641A0000}"/>
    <cellStyle name="Normal 5 3 5 10" xfId="9934" xr:uid="{38D3586A-28B3-406A-9ED3-414223DEB1E0}"/>
    <cellStyle name="Normal 5 3 5 11" xfId="18381" xr:uid="{0EE53EB8-1C08-47A6-9F1E-84AA39E15F6B}"/>
    <cellStyle name="Normal 5 3 5 12" xfId="26828" xr:uid="{8C5F1BA6-2FCA-4B6D-AACD-D4B0E069EFC7}"/>
    <cellStyle name="Normal 5 3 5 2" xfId="454" xr:uid="{00000000-0005-0000-0000-0000651A0000}"/>
    <cellStyle name="Normal 5 3 5 2 10" xfId="18382" xr:uid="{0ACDAE68-B8FD-4956-AA5B-91C91F94E556}"/>
    <cellStyle name="Normal 5 3 5 2 11" xfId="26829" xr:uid="{57186891-7401-4C5B-8E37-9E6E44406ACC}"/>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16710" xr:uid="{FE9D1A5D-585F-4939-978E-F739C7787DF5}"/>
    <cellStyle name="Normal 5 3 5 2 2 2 2 3" xfId="25157" xr:uid="{DC0DB9D8-32AF-444D-9C60-D292E39E639B}"/>
    <cellStyle name="Normal 5 3 5 2 2 2 2 4" xfId="33604" xr:uid="{0EB71E49-D16D-4365-B573-93094EED35FB}"/>
    <cellStyle name="Normal 5 3 5 2 2 2 3" xfId="12493" xr:uid="{61E6AAC9-AE6A-43B7-92B4-045AFB263CD8}"/>
    <cellStyle name="Normal 5 3 5 2 2 2 4" xfId="20940" xr:uid="{66350C82-6D0F-40F8-A0C2-CC81AE1F1111}"/>
    <cellStyle name="Normal 5 3 5 2 2 2 5" xfId="29387" xr:uid="{E534AFC4-2E5D-4C09-91BB-C2241075017A}"/>
    <cellStyle name="Normal 5 3 5 2 2 3" xfId="5239" xr:uid="{00000000-0005-0000-0000-0000691A0000}"/>
    <cellStyle name="Normal 5 3 5 2 2 3 2" xfId="14565" xr:uid="{16F5DF64-1FE1-467B-B3E9-47CC36DEDE69}"/>
    <cellStyle name="Normal 5 3 5 2 2 3 3" xfId="23012" xr:uid="{369D0499-CA30-486D-8928-631ACDA252DA}"/>
    <cellStyle name="Normal 5 3 5 2 2 3 4" xfId="31459" xr:uid="{24E1902B-E1C0-415E-AA5C-28C81C180467}"/>
    <cellStyle name="Normal 5 3 5 2 2 4" xfId="9485" xr:uid="{E88A0512-4544-44F7-B02F-696DEB177F8E}"/>
    <cellStyle name="Normal 5 3 5 2 2 5" xfId="10348" xr:uid="{2B129B4E-1DD5-4F7D-93DF-3C15EFDF0955}"/>
    <cellStyle name="Normal 5 3 5 2 2 6" xfId="18795" xr:uid="{EDF4E2D7-2304-42ED-BD7C-DD770FE541DE}"/>
    <cellStyle name="Normal 5 3 5 2 2 7" xfId="27242" xr:uid="{3574A6AF-5F1F-4600-BF1C-400FF0B156A8}"/>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17123" xr:uid="{17625E92-94BB-4E0A-B4C3-53261C65D128}"/>
    <cellStyle name="Normal 5 3 5 2 3 2 2 3" xfId="25570" xr:uid="{FDA8BF6B-2CD0-447E-80AA-C88334D11EEA}"/>
    <cellStyle name="Normal 5 3 5 2 3 2 2 4" xfId="34017" xr:uid="{7F59F7CF-F1C9-4DD1-AE5C-B937DB4D80F3}"/>
    <cellStyle name="Normal 5 3 5 2 3 2 3" xfId="12906" xr:uid="{949A65BF-1801-4871-92AA-44EB10618432}"/>
    <cellStyle name="Normal 5 3 5 2 3 2 4" xfId="21353" xr:uid="{8C030073-6F4E-48FF-8B46-3575FBC86002}"/>
    <cellStyle name="Normal 5 3 5 2 3 2 5" xfId="29800" xr:uid="{540CA3AD-25B5-4504-86FA-0A9F8E0A10E0}"/>
    <cellStyle name="Normal 5 3 5 2 3 3" xfId="5652" xr:uid="{00000000-0005-0000-0000-00006D1A0000}"/>
    <cellStyle name="Normal 5 3 5 2 3 3 2" xfId="14978" xr:uid="{784AB4A1-61E2-4742-A825-F7A90D7AA8B2}"/>
    <cellStyle name="Normal 5 3 5 2 3 3 3" xfId="23425" xr:uid="{751C4C4F-D15F-4748-BCFB-FEEBACA4FEBB}"/>
    <cellStyle name="Normal 5 3 5 2 3 3 4" xfId="31872" xr:uid="{07FFA475-B5F2-48F5-BDE4-4D605360240B}"/>
    <cellStyle name="Normal 5 3 5 2 3 4" xfId="10761" xr:uid="{90A8A0D3-D74B-4FB3-8CC7-DE6564508B54}"/>
    <cellStyle name="Normal 5 3 5 2 3 5" xfId="19208" xr:uid="{F7F897E4-1738-4888-B6EA-A4DA18B56F0C}"/>
    <cellStyle name="Normal 5 3 5 2 3 6" xfId="27655" xr:uid="{5F1AE267-C378-4E3D-833B-57C24399F1DA}"/>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17536" xr:uid="{FD12321D-316A-4E7E-813A-7A53DAF8A710}"/>
    <cellStyle name="Normal 5 3 5 2 4 2 2 3" xfId="25983" xr:uid="{22C4646D-0512-40EB-9F2F-0C9974DEA450}"/>
    <cellStyle name="Normal 5 3 5 2 4 2 2 4" xfId="34430" xr:uid="{054ECC41-6C5F-435A-8603-371A0AB757A6}"/>
    <cellStyle name="Normal 5 3 5 2 4 2 3" xfId="13319" xr:uid="{5ED8A2EF-DD5B-439A-926E-B1E64BA3CB95}"/>
    <cellStyle name="Normal 5 3 5 2 4 2 4" xfId="21766" xr:uid="{BC19EC1D-BF0F-4488-88FC-803DAE717F72}"/>
    <cellStyle name="Normal 5 3 5 2 4 2 5" xfId="30213" xr:uid="{773BA9FD-4207-4D7B-A1AE-D459B1E273CD}"/>
    <cellStyle name="Normal 5 3 5 2 4 3" xfId="6065" xr:uid="{00000000-0005-0000-0000-0000711A0000}"/>
    <cellStyle name="Normal 5 3 5 2 4 3 2" xfId="15391" xr:uid="{88C97DF9-6A72-467F-965D-2C165DC1ADD6}"/>
    <cellStyle name="Normal 5 3 5 2 4 3 3" xfId="23838" xr:uid="{D19147CA-2CB3-4869-A46C-DB8BDF7F4383}"/>
    <cellStyle name="Normal 5 3 5 2 4 3 4" xfId="32285" xr:uid="{5DF3526F-2A39-4047-9FE7-EE89DDF04228}"/>
    <cellStyle name="Normal 5 3 5 2 4 4" xfId="11174" xr:uid="{A3772C2F-CD3C-459F-BD69-13E368D33952}"/>
    <cellStyle name="Normal 5 3 5 2 4 5" xfId="19621" xr:uid="{02A36DC2-F183-4544-8944-18E161BC5A05}"/>
    <cellStyle name="Normal 5 3 5 2 4 6" xfId="28068" xr:uid="{E0CF2969-C5D7-4F91-97A7-2F1DC62A901B}"/>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17949" xr:uid="{989F119C-A71F-4B17-9BA1-9A56EB9B0CFF}"/>
    <cellStyle name="Normal 5 3 5 2 5 2 2 3" xfId="26396" xr:uid="{500F3475-99D2-4A57-9C2C-1BAE0D45463B}"/>
    <cellStyle name="Normal 5 3 5 2 5 2 2 4" xfId="34843" xr:uid="{BAD91E97-8C57-4D6B-BA85-B3AAA0371D8D}"/>
    <cellStyle name="Normal 5 3 5 2 5 2 3" xfId="13732" xr:uid="{06F80817-3C67-4863-91AA-363A1DC70C71}"/>
    <cellStyle name="Normal 5 3 5 2 5 2 4" xfId="22179" xr:uid="{F809B97D-96BD-43AA-AE1D-1DAE6606162E}"/>
    <cellStyle name="Normal 5 3 5 2 5 2 5" xfId="30626" xr:uid="{D71934D5-EE86-4D02-9E22-7DB82D5BF337}"/>
    <cellStyle name="Normal 5 3 5 2 5 3" xfId="6478" xr:uid="{00000000-0005-0000-0000-0000751A0000}"/>
    <cellStyle name="Normal 5 3 5 2 5 3 2" xfId="15804" xr:uid="{A5B8B5B9-68F1-413E-A539-31AC9F8249A9}"/>
    <cellStyle name="Normal 5 3 5 2 5 3 3" xfId="24251" xr:uid="{F926E983-734F-45EB-997D-5A1A2ADCE0B3}"/>
    <cellStyle name="Normal 5 3 5 2 5 3 4" xfId="32698" xr:uid="{27E60D20-4D45-46E1-9A06-CEEB8896F5CC}"/>
    <cellStyle name="Normal 5 3 5 2 5 4" xfId="11587" xr:uid="{E7FFE738-5754-4DFB-8C44-7C71FC2E24FB}"/>
    <cellStyle name="Normal 5 3 5 2 5 5" xfId="20034" xr:uid="{E015F6D8-E110-4938-8625-3B9DEB7E1C6D}"/>
    <cellStyle name="Normal 5 3 5 2 5 6" xfId="28481" xr:uid="{0BBE3B9B-2002-4340-861B-3987A4851F90}"/>
    <cellStyle name="Normal 5 3 5 2 6" xfId="2608" xr:uid="{00000000-0005-0000-0000-0000761A0000}"/>
    <cellStyle name="Normal 5 3 5 2 6 2" xfId="6891" xr:uid="{00000000-0005-0000-0000-0000771A0000}"/>
    <cellStyle name="Normal 5 3 5 2 6 2 2" xfId="16217" xr:uid="{1FD7BF9A-FC49-4281-9A54-A151DB13F55E}"/>
    <cellStyle name="Normal 5 3 5 2 6 2 3" xfId="24664" xr:uid="{E9183C03-33A0-477E-9FA8-220348673304}"/>
    <cellStyle name="Normal 5 3 5 2 6 2 4" xfId="33111" xr:uid="{3947DA2B-4FE6-48EC-9411-0504F6AADA91}"/>
    <cellStyle name="Normal 5 3 5 2 6 3" xfId="12000" xr:uid="{F91DFC54-8400-4A58-A812-5EE312DB2611}"/>
    <cellStyle name="Normal 5 3 5 2 6 4" xfId="20447" xr:uid="{4C442892-1D7C-4767-80BD-3F46891C230E}"/>
    <cellStyle name="Normal 5 3 5 2 6 5" xfId="28894" xr:uid="{EC379796-0823-49DD-9469-CF0C7615D57E}"/>
    <cellStyle name="Normal 5 3 5 2 7" xfId="4826" xr:uid="{00000000-0005-0000-0000-0000781A0000}"/>
    <cellStyle name="Normal 5 3 5 2 7 2" xfId="14152" xr:uid="{AC7CE3CC-F130-49CC-AFE1-63C5F4574809}"/>
    <cellStyle name="Normal 5 3 5 2 7 3" xfId="22599" xr:uid="{70020984-5498-4BA0-82EB-8B7C1FA7F460}"/>
    <cellStyle name="Normal 5 3 5 2 7 4" xfId="31046" xr:uid="{D2547F05-9F0C-4AF5-867F-7BAF4A1D7A0E}"/>
    <cellStyle name="Normal 5 3 5 2 8" xfId="9060" xr:uid="{D76124DC-5753-46E4-97E7-1D76E6E20EEE}"/>
    <cellStyle name="Normal 5 3 5 2 9" xfId="9935" xr:uid="{CB62756F-A5F9-4E4E-A38B-79ACDFF9CAF9}"/>
    <cellStyle name="Normal 5 3 5 3" xfId="927" xr:uid="{00000000-0005-0000-0000-0000791A0000}"/>
    <cellStyle name="Normal 5 3 5 3 2" xfId="3161" xr:uid="{00000000-0005-0000-0000-00007A1A0000}"/>
    <cellStyle name="Normal 5 3 5 3 2 2" xfId="7383" xr:uid="{00000000-0005-0000-0000-00007B1A0000}"/>
    <cellStyle name="Normal 5 3 5 3 2 2 2" xfId="16709" xr:uid="{11766E7D-3C63-4A62-8E5C-1EBFA1160174}"/>
    <cellStyle name="Normal 5 3 5 3 2 2 3" xfId="25156" xr:uid="{EC7048DF-4832-42FB-9599-BEEBA6362B5D}"/>
    <cellStyle name="Normal 5 3 5 3 2 2 4" xfId="33603" xr:uid="{5768DF84-8934-4AA7-9975-14B0AFD0412F}"/>
    <cellStyle name="Normal 5 3 5 3 2 3" xfId="12492" xr:uid="{23530402-17AB-4D23-A133-E4DD8B5B27EA}"/>
    <cellStyle name="Normal 5 3 5 3 2 4" xfId="20939" xr:uid="{58F3E708-AC93-449F-A6A6-E6BEBF06369E}"/>
    <cellStyle name="Normal 5 3 5 3 2 5" xfId="29386" xr:uid="{F2849D51-517A-47C6-9689-0EB4165CFDB0}"/>
    <cellStyle name="Normal 5 3 5 3 3" xfId="5238" xr:uid="{00000000-0005-0000-0000-00007C1A0000}"/>
    <cellStyle name="Normal 5 3 5 3 3 2" xfId="14564" xr:uid="{483A0F95-5713-4B0A-9ADC-1E0839237474}"/>
    <cellStyle name="Normal 5 3 5 3 3 3" xfId="23011" xr:uid="{508020ED-09B8-4F8B-85B4-5A5052BAB44B}"/>
    <cellStyle name="Normal 5 3 5 3 3 4" xfId="31458" xr:uid="{6E901A34-8ED3-4208-B9B0-C796046765A7}"/>
    <cellStyle name="Normal 5 3 5 3 4" xfId="9278" xr:uid="{6197750A-97CA-41EF-A67C-63E25EE58E9E}"/>
    <cellStyle name="Normal 5 3 5 3 5" xfId="10347" xr:uid="{5CE2B75E-9B1B-4C2B-AAF7-8D3D52973C9E}"/>
    <cellStyle name="Normal 5 3 5 3 6" xfId="18794" xr:uid="{253318D2-EF5B-46DB-8305-3F611CEBB11B}"/>
    <cellStyle name="Normal 5 3 5 3 7" xfId="27241" xr:uid="{1CA4C21E-1288-45BB-8B93-403A502482BD}"/>
    <cellStyle name="Normal 5 3 5 4" xfId="1344" xr:uid="{00000000-0005-0000-0000-00007D1A0000}"/>
    <cellStyle name="Normal 5 3 5 4 2" xfId="3574" xr:uid="{00000000-0005-0000-0000-00007E1A0000}"/>
    <cellStyle name="Normal 5 3 5 4 2 2" xfId="7796" xr:uid="{00000000-0005-0000-0000-00007F1A0000}"/>
    <cellStyle name="Normal 5 3 5 4 2 2 2" xfId="17122" xr:uid="{76D13C08-EAEA-487B-B72E-2E80E4409C09}"/>
    <cellStyle name="Normal 5 3 5 4 2 2 3" xfId="25569" xr:uid="{3583AB76-1A9F-417A-BE28-49957D5C7BCF}"/>
    <cellStyle name="Normal 5 3 5 4 2 2 4" xfId="34016" xr:uid="{69B42807-5521-4735-B0A9-6113A9B259C1}"/>
    <cellStyle name="Normal 5 3 5 4 2 3" xfId="12905" xr:uid="{5FB539D9-68DE-4BDC-935B-6E7A936DF4F0}"/>
    <cellStyle name="Normal 5 3 5 4 2 4" xfId="21352" xr:uid="{A7E46CEF-9903-4B14-A037-B7E86BCA2E3C}"/>
    <cellStyle name="Normal 5 3 5 4 2 5" xfId="29799" xr:uid="{E45B4EA5-00A6-44D0-9940-C2FFE470DD1F}"/>
    <cellStyle name="Normal 5 3 5 4 3" xfId="5651" xr:uid="{00000000-0005-0000-0000-0000801A0000}"/>
    <cellStyle name="Normal 5 3 5 4 3 2" xfId="14977" xr:uid="{AC97EE54-284B-486B-9F13-52E512E03D48}"/>
    <cellStyle name="Normal 5 3 5 4 3 3" xfId="23424" xr:uid="{5510FC37-7C5B-4314-BCF5-DA7D654B247F}"/>
    <cellStyle name="Normal 5 3 5 4 3 4" xfId="31871" xr:uid="{4FFCB41F-6C2C-43DD-8B9E-201A7408028C}"/>
    <cellStyle name="Normal 5 3 5 4 4" xfId="10760" xr:uid="{1B4B85DB-6598-4836-B4F3-F9C987320E10}"/>
    <cellStyle name="Normal 5 3 5 4 5" xfId="19207" xr:uid="{AA899645-561E-4494-A137-719E5B485561}"/>
    <cellStyle name="Normal 5 3 5 4 6" xfId="27654" xr:uid="{B69A4EE3-C84F-4AD7-86CF-5CF08AE73787}"/>
    <cellStyle name="Normal 5 3 5 5" xfId="1757" xr:uid="{00000000-0005-0000-0000-0000811A0000}"/>
    <cellStyle name="Normal 5 3 5 5 2" xfId="3987" xr:uid="{00000000-0005-0000-0000-0000821A0000}"/>
    <cellStyle name="Normal 5 3 5 5 2 2" xfId="8209" xr:uid="{00000000-0005-0000-0000-0000831A0000}"/>
    <cellStyle name="Normal 5 3 5 5 2 2 2" xfId="17535" xr:uid="{11430EC0-4ADD-4834-ABD5-952DEA76AD22}"/>
    <cellStyle name="Normal 5 3 5 5 2 2 3" xfId="25982" xr:uid="{5DA9F1DC-B685-4977-909F-7471E5DA2949}"/>
    <cellStyle name="Normal 5 3 5 5 2 2 4" xfId="34429" xr:uid="{C53748D3-43B9-4D5D-B75E-44233F25F916}"/>
    <cellStyle name="Normal 5 3 5 5 2 3" xfId="13318" xr:uid="{73FCF10C-198C-432F-B532-3E9B06D71952}"/>
    <cellStyle name="Normal 5 3 5 5 2 4" xfId="21765" xr:uid="{F0AA7600-F0B2-4BF0-BBCD-BB7F3C12A995}"/>
    <cellStyle name="Normal 5 3 5 5 2 5" xfId="30212" xr:uid="{E80AA46B-4C32-47A6-965F-D67DCBF18C63}"/>
    <cellStyle name="Normal 5 3 5 5 3" xfId="6064" xr:uid="{00000000-0005-0000-0000-0000841A0000}"/>
    <cellStyle name="Normal 5 3 5 5 3 2" xfId="15390" xr:uid="{E8009E24-17A7-4C8F-82DA-B7D989B6C60F}"/>
    <cellStyle name="Normal 5 3 5 5 3 3" xfId="23837" xr:uid="{5186B621-34F9-4BA9-968A-D507759C8C1D}"/>
    <cellStyle name="Normal 5 3 5 5 3 4" xfId="32284" xr:uid="{29B2F80A-7F31-41DC-8C73-19D40C0ACFB0}"/>
    <cellStyle name="Normal 5 3 5 5 4" xfId="11173" xr:uid="{EC8B58B0-EAFA-480A-B8AC-D7AE1FCA8F8D}"/>
    <cellStyle name="Normal 5 3 5 5 5" xfId="19620" xr:uid="{689AF9D2-FBB1-4BF1-BE97-1922177AAEF5}"/>
    <cellStyle name="Normal 5 3 5 5 6" xfId="28067" xr:uid="{9084D8BC-316D-4482-A85E-6D06726C099B}"/>
    <cellStyle name="Normal 5 3 5 6" xfId="2171" xr:uid="{00000000-0005-0000-0000-0000851A0000}"/>
    <cellStyle name="Normal 5 3 5 6 2" xfId="4400" xr:uid="{00000000-0005-0000-0000-0000861A0000}"/>
    <cellStyle name="Normal 5 3 5 6 2 2" xfId="8622" xr:uid="{00000000-0005-0000-0000-0000871A0000}"/>
    <cellStyle name="Normal 5 3 5 6 2 2 2" xfId="17948" xr:uid="{F6D1B037-C2C1-4FDF-9B18-5C5D3B482CE2}"/>
    <cellStyle name="Normal 5 3 5 6 2 2 3" xfId="26395" xr:uid="{72D9E9C7-B32C-479C-829C-D0453B76587E}"/>
    <cellStyle name="Normal 5 3 5 6 2 2 4" xfId="34842" xr:uid="{29AEBEFE-3B01-45BA-8549-E83325286D18}"/>
    <cellStyle name="Normal 5 3 5 6 2 3" xfId="13731" xr:uid="{3FAD3FA6-E29B-4077-914A-067FE4625FAE}"/>
    <cellStyle name="Normal 5 3 5 6 2 4" xfId="22178" xr:uid="{1BB8233A-7CC8-4928-993D-F26774A964DE}"/>
    <cellStyle name="Normal 5 3 5 6 2 5" xfId="30625" xr:uid="{FBC6FBEC-3F4B-4095-97C7-A15723E95864}"/>
    <cellStyle name="Normal 5 3 5 6 3" xfId="6477" xr:uid="{00000000-0005-0000-0000-0000881A0000}"/>
    <cellStyle name="Normal 5 3 5 6 3 2" xfId="15803" xr:uid="{82C3B20F-CAE0-4988-A649-25C7BA816F50}"/>
    <cellStyle name="Normal 5 3 5 6 3 3" xfId="24250" xr:uid="{1D253239-6CA7-4866-91DA-39EFADDCE9C9}"/>
    <cellStyle name="Normal 5 3 5 6 3 4" xfId="32697" xr:uid="{76944BB6-C27A-4D3B-9EED-F5753BDF4EA1}"/>
    <cellStyle name="Normal 5 3 5 6 4" xfId="11586" xr:uid="{2CC96274-7E4D-472E-B84C-03F30E206D6A}"/>
    <cellStyle name="Normal 5 3 5 6 5" xfId="20033" xr:uid="{0F5B3D5B-86A1-444F-8FD4-9CBD06CBA125}"/>
    <cellStyle name="Normal 5 3 5 6 6" xfId="28480" xr:uid="{5FCF280B-B4CF-42B7-9A04-0DAC2FA1782B}"/>
    <cellStyle name="Normal 5 3 5 7" xfId="2607" xr:uid="{00000000-0005-0000-0000-0000891A0000}"/>
    <cellStyle name="Normal 5 3 5 7 2" xfId="6890" xr:uid="{00000000-0005-0000-0000-00008A1A0000}"/>
    <cellStyle name="Normal 5 3 5 7 2 2" xfId="16216" xr:uid="{32A30D98-CFE6-46E3-986A-6F164235730C}"/>
    <cellStyle name="Normal 5 3 5 7 2 3" xfId="24663" xr:uid="{4B847397-E36A-4869-886B-55C8D28EA21A}"/>
    <cellStyle name="Normal 5 3 5 7 2 4" xfId="33110" xr:uid="{E0126E42-9376-4645-B088-CF06C2F02AF4}"/>
    <cellStyle name="Normal 5 3 5 7 3" xfId="11999" xr:uid="{1585CF43-636E-4F49-B74E-AD039BD07878}"/>
    <cellStyle name="Normal 5 3 5 7 4" xfId="20446" xr:uid="{7E2CFEEA-B70C-453E-B511-3690FDF2D50B}"/>
    <cellStyle name="Normal 5 3 5 7 5" xfId="28893" xr:uid="{3E2F3C8C-366A-4A43-858D-B4ED81AE4E77}"/>
    <cellStyle name="Normal 5 3 5 8" xfId="4825" xr:uid="{00000000-0005-0000-0000-00008B1A0000}"/>
    <cellStyle name="Normal 5 3 5 8 2" xfId="14151" xr:uid="{6518D752-89D2-407C-B5C3-D0A1901C3F6F}"/>
    <cellStyle name="Normal 5 3 5 8 3" xfId="22598" xr:uid="{DA55591D-AC5D-485A-8B0E-86365952BF97}"/>
    <cellStyle name="Normal 5 3 5 8 4" xfId="31045" xr:uid="{BF8A83CA-C0D5-4F31-9C58-BEB72B7274C2}"/>
    <cellStyle name="Normal 5 3 5 9" xfId="8853" xr:uid="{049FA2CE-003F-47C1-A264-645323886F35}"/>
    <cellStyle name="Normal 5 3 6" xfId="455" xr:uid="{00000000-0005-0000-0000-00008C1A0000}"/>
    <cellStyle name="Normal 5 3 6 10" xfId="18383" xr:uid="{397B4554-C002-4C6A-BE8A-20C1820E72F5}"/>
    <cellStyle name="Normal 5 3 6 11" xfId="26830" xr:uid="{93110BA2-4F98-4CDA-AAE3-B458C867D4A9}"/>
    <cellStyle name="Normal 5 3 6 2" xfId="929" xr:uid="{00000000-0005-0000-0000-00008D1A0000}"/>
    <cellStyle name="Normal 5 3 6 2 2" xfId="3163" xr:uid="{00000000-0005-0000-0000-00008E1A0000}"/>
    <cellStyle name="Normal 5 3 6 2 2 2" xfId="7385" xr:uid="{00000000-0005-0000-0000-00008F1A0000}"/>
    <cellStyle name="Normal 5 3 6 2 2 2 2" xfId="16711" xr:uid="{CB7E6C67-3602-413D-B42E-D5FC134871EB}"/>
    <cellStyle name="Normal 5 3 6 2 2 2 3" xfId="25158" xr:uid="{9C8E7945-5FA7-4B8E-8D95-6069A50436BB}"/>
    <cellStyle name="Normal 5 3 6 2 2 2 4" xfId="33605" xr:uid="{1B5D315E-B8AB-4761-A780-89BF78A0C004}"/>
    <cellStyle name="Normal 5 3 6 2 2 3" xfId="12494" xr:uid="{9CEA9240-302A-4F3C-892E-23CDED8212E5}"/>
    <cellStyle name="Normal 5 3 6 2 2 4" xfId="20941" xr:uid="{084950AD-1344-49A0-A4D6-476AB680BB95}"/>
    <cellStyle name="Normal 5 3 6 2 2 5" xfId="29388" xr:uid="{67735AD9-9A3B-434B-80C5-A14473A68B2B}"/>
    <cellStyle name="Normal 5 3 6 2 3" xfId="5240" xr:uid="{00000000-0005-0000-0000-0000901A0000}"/>
    <cellStyle name="Normal 5 3 6 2 3 2" xfId="14566" xr:uid="{A304E7D2-27F1-492D-8B3F-0BDA6993DAD4}"/>
    <cellStyle name="Normal 5 3 6 2 3 3" xfId="23013" xr:uid="{EBF19CC8-636E-492E-B342-1C6C47916CD1}"/>
    <cellStyle name="Normal 5 3 6 2 3 4" xfId="31460" xr:uid="{61B828F5-5A70-48E9-A93B-392AFFBEC81A}"/>
    <cellStyle name="Normal 5 3 6 2 4" xfId="9394" xr:uid="{040FDD8C-10C9-4583-9A6E-8F76047ECA0C}"/>
    <cellStyle name="Normal 5 3 6 2 5" xfId="10349" xr:uid="{D98F0616-96DC-4AC6-B343-A72F64F9488A}"/>
    <cellStyle name="Normal 5 3 6 2 6" xfId="18796" xr:uid="{71485068-899D-4BA3-B12B-D3CC8577AED8}"/>
    <cellStyle name="Normal 5 3 6 2 7" xfId="27243" xr:uid="{313B3F30-52EE-444D-B64E-AF2FBE165FA1}"/>
    <cellStyle name="Normal 5 3 6 3" xfId="1346" xr:uid="{00000000-0005-0000-0000-0000911A0000}"/>
    <cellStyle name="Normal 5 3 6 3 2" xfId="3576" xr:uid="{00000000-0005-0000-0000-0000921A0000}"/>
    <cellStyle name="Normal 5 3 6 3 2 2" xfId="7798" xr:uid="{00000000-0005-0000-0000-0000931A0000}"/>
    <cellStyle name="Normal 5 3 6 3 2 2 2" xfId="17124" xr:uid="{25ABD5A0-7205-47BB-AD95-97FB441EC99E}"/>
    <cellStyle name="Normal 5 3 6 3 2 2 3" xfId="25571" xr:uid="{8C4264BF-C9AC-4FFE-83EF-05E761C15B9D}"/>
    <cellStyle name="Normal 5 3 6 3 2 2 4" xfId="34018" xr:uid="{B1997B6D-A640-4569-AEF2-0DCFD7C7F094}"/>
    <cellStyle name="Normal 5 3 6 3 2 3" xfId="12907" xr:uid="{C485DF8F-7665-4439-984A-08E3E54D51E4}"/>
    <cellStyle name="Normal 5 3 6 3 2 4" xfId="21354" xr:uid="{A4D365CF-243C-4C4A-9156-5905278B167E}"/>
    <cellStyle name="Normal 5 3 6 3 2 5" xfId="29801" xr:uid="{14FEDFF2-45B6-4608-98DF-85D21949CD07}"/>
    <cellStyle name="Normal 5 3 6 3 3" xfId="5653" xr:uid="{00000000-0005-0000-0000-0000941A0000}"/>
    <cellStyle name="Normal 5 3 6 3 3 2" xfId="14979" xr:uid="{B0DD6022-E290-40D5-9C9C-14DF6CE75B95}"/>
    <cellStyle name="Normal 5 3 6 3 3 3" xfId="23426" xr:uid="{CAEE28E8-5F0D-43E7-ADD2-181D0C66D129}"/>
    <cellStyle name="Normal 5 3 6 3 3 4" xfId="31873" xr:uid="{1FA62911-3261-4CDC-BD9C-95CF3AADC093}"/>
    <cellStyle name="Normal 5 3 6 3 4" xfId="10762" xr:uid="{76EBA42C-6606-470C-AC21-0FC37F689203}"/>
    <cellStyle name="Normal 5 3 6 3 5" xfId="19209" xr:uid="{F2B02755-3FC9-4B11-BA6F-0E58A4927DE3}"/>
    <cellStyle name="Normal 5 3 6 3 6" xfId="27656" xr:uid="{E4A8C74F-A127-4C8B-B126-A99846B729C4}"/>
    <cellStyle name="Normal 5 3 6 4" xfId="1759" xr:uid="{00000000-0005-0000-0000-0000951A0000}"/>
    <cellStyle name="Normal 5 3 6 4 2" xfId="3989" xr:uid="{00000000-0005-0000-0000-0000961A0000}"/>
    <cellStyle name="Normal 5 3 6 4 2 2" xfId="8211" xr:uid="{00000000-0005-0000-0000-0000971A0000}"/>
    <cellStyle name="Normal 5 3 6 4 2 2 2" xfId="17537" xr:uid="{214E49F9-2E7E-4AF9-82BA-052FA4F7EA86}"/>
    <cellStyle name="Normal 5 3 6 4 2 2 3" xfId="25984" xr:uid="{D9038E0E-8E81-44C1-83CB-DD902DAC5105}"/>
    <cellStyle name="Normal 5 3 6 4 2 2 4" xfId="34431" xr:uid="{BB6F5DC1-12FF-46B8-B365-34A5242D5AF6}"/>
    <cellStyle name="Normal 5 3 6 4 2 3" xfId="13320" xr:uid="{ECADF270-76FC-458B-BCB5-3F7505D639A3}"/>
    <cellStyle name="Normal 5 3 6 4 2 4" xfId="21767" xr:uid="{477F1674-519B-4244-9D8B-1EB4377268C5}"/>
    <cellStyle name="Normal 5 3 6 4 2 5" xfId="30214" xr:uid="{93BB8437-F46C-405D-9ED5-B5A09A7DCD71}"/>
    <cellStyle name="Normal 5 3 6 4 3" xfId="6066" xr:uid="{00000000-0005-0000-0000-0000981A0000}"/>
    <cellStyle name="Normal 5 3 6 4 3 2" xfId="15392" xr:uid="{47C2B2E4-13BB-4DD7-9B67-9C2C2C49BCDE}"/>
    <cellStyle name="Normal 5 3 6 4 3 3" xfId="23839" xr:uid="{C7FEEAF4-0736-49B8-BA0D-F3B08DC65B64}"/>
    <cellStyle name="Normal 5 3 6 4 3 4" xfId="32286" xr:uid="{9DF30DBA-E681-4499-9B80-E16496CEE1B4}"/>
    <cellStyle name="Normal 5 3 6 4 4" xfId="11175" xr:uid="{FB0F2C78-7D2B-4377-A62E-3B343A3CF67F}"/>
    <cellStyle name="Normal 5 3 6 4 5" xfId="19622" xr:uid="{3C6DD8ED-DF2A-4FEC-9927-0263C17510FF}"/>
    <cellStyle name="Normal 5 3 6 4 6" xfId="28069" xr:uid="{177772A9-A02D-407E-8F14-965549DD67CA}"/>
    <cellStyle name="Normal 5 3 6 5" xfId="2173" xr:uid="{00000000-0005-0000-0000-0000991A0000}"/>
    <cellStyle name="Normal 5 3 6 5 2" xfId="4402" xr:uid="{00000000-0005-0000-0000-00009A1A0000}"/>
    <cellStyle name="Normal 5 3 6 5 2 2" xfId="8624" xr:uid="{00000000-0005-0000-0000-00009B1A0000}"/>
    <cellStyle name="Normal 5 3 6 5 2 2 2" xfId="17950" xr:uid="{53590B65-6AA6-42FF-9A30-2D662AB0522B}"/>
    <cellStyle name="Normal 5 3 6 5 2 2 3" xfId="26397" xr:uid="{7230CAC5-5FD7-434C-B5C1-1D3BD245461C}"/>
    <cellStyle name="Normal 5 3 6 5 2 2 4" xfId="34844" xr:uid="{D88535CC-8969-41A5-BA72-8DA85C3642DC}"/>
    <cellStyle name="Normal 5 3 6 5 2 3" xfId="13733" xr:uid="{D29F90E3-4ED8-4BB5-B7CA-45A92006190A}"/>
    <cellStyle name="Normal 5 3 6 5 2 4" xfId="22180" xr:uid="{DC192DD7-B242-43F0-8751-8E572903C454}"/>
    <cellStyle name="Normal 5 3 6 5 2 5" xfId="30627" xr:uid="{49CCD6AF-1BB8-46AA-BE5F-15CE315F91FB}"/>
    <cellStyle name="Normal 5 3 6 5 3" xfId="6479" xr:uid="{00000000-0005-0000-0000-00009C1A0000}"/>
    <cellStyle name="Normal 5 3 6 5 3 2" xfId="15805" xr:uid="{2FD04228-1835-47DA-A99A-B61FA72E4F95}"/>
    <cellStyle name="Normal 5 3 6 5 3 3" xfId="24252" xr:uid="{F298F8EA-059D-40C3-B8AD-0011C52218BA}"/>
    <cellStyle name="Normal 5 3 6 5 3 4" xfId="32699" xr:uid="{E8F4343C-5892-4B16-9486-B99F04208B15}"/>
    <cellStyle name="Normal 5 3 6 5 4" xfId="11588" xr:uid="{89D1E50E-685D-4B12-AD2A-8490A59250E8}"/>
    <cellStyle name="Normal 5 3 6 5 5" xfId="20035" xr:uid="{899A5D4D-E165-40C4-836B-AD9E7B6A7D7F}"/>
    <cellStyle name="Normal 5 3 6 5 6" xfId="28482" xr:uid="{AA5B8882-B5AE-4783-806D-A73C13DACF06}"/>
    <cellStyle name="Normal 5 3 6 6" xfId="2609" xr:uid="{00000000-0005-0000-0000-00009D1A0000}"/>
    <cellStyle name="Normal 5 3 6 6 2" xfId="6892" xr:uid="{00000000-0005-0000-0000-00009E1A0000}"/>
    <cellStyle name="Normal 5 3 6 6 2 2" xfId="16218" xr:uid="{A71BE82E-DE70-4890-9802-99610BC7D2C9}"/>
    <cellStyle name="Normal 5 3 6 6 2 3" xfId="24665" xr:uid="{4879E339-96F2-4342-8A56-C3BC36555FDE}"/>
    <cellStyle name="Normal 5 3 6 6 2 4" xfId="33112" xr:uid="{35F97C97-74D3-4A4F-A80C-F2CB1BA16CE5}"/>
    <cellStyle name="Normal 5 3 6 6 3" xfId="12001" xr:uid="{9441CEDA-B7C6-44B5-9C91-60D091FFBEBF}"/>
    <cellStyle name="Normal 5 3 6 6 4" xfId="20448" xr:uid="{5704397C-4D82-4969-8554-876902150711}"/>
    <cellStyle name="Normal 5 3 6 6 5" xfId="28895" xr:uid="{15A7FC2D-641C-4903-8A8D-292E6BA0BC9D}"/>
    <cellStyle name="Normal 5 3 6 7" xfId="4827" xr:uid="{00000000-0005-0000-0000-00009F1A0000}"/>
    <cellStyle name="Normal 5 3 6 7 2" xfId="14153" xr:uid="{2F24ECE3-C62E-4ED3-AE1F-5CEEA79D0390}"/>
    <cellStyle name="Normal 5 3 6 7 3" xfId="22600" xr:uid="{0262FDB2-2487-474C-84EB-7B8D49AA35BC}"/>
    <cellStyle name="Normal 5 3 6 7 4" xfId="31047" xr:uid="{9A0FC9A7-86A2-4809-AFBF-D46DA1A1FBC1}"/>
    <cellStyle name="Normal 5 3 6 8" xfId="8969" xr:uid="{FA7ABEAF-BFEA-4D3E-A53B-E23F3117BFD8}"/>
    <cellStyle name="Normal 5 3 6 9" xfId="9936" xr:uid="{9417EB38-7D38-460B-A5F5-4A65CC9FC22D}"/>
    <cellStyle name="Normal 5 3 7" xfId="913" xr:uid="{00000000-0005-0000-0000-0000A01A0000}"/>
    <cellStyle name="Normal 5 3 7 2" xfId="3148" xr:uid="{00000000-0005-0000-0000-0000A11A0000}"/>
    <cellStyle name="Normal 5 3 7 2 2" xfId="7370" xr:uid="{00000000-0005-0000-0000-0000A21A0000}"/>
    <cellStyle name="Normal 5 3 7 2 2 2" xfId="16696" xr:uid="{290D4A58-ECFD-4C72-9562-6896179C2D31}"/>
    <cellStyle name="Normal 5 3 7 2 2 3" xfId="25143" xr:uid="{461DCFBF-C756-49F7-928B-7A33B0ACE61B}"/>
    <cellStyle name="Normal 5 3 7 2 2 4" xfId="33590" xr:uid="{9E7BB950-4FC4-4508-81EC-540215606C8C}"/>
    <cellStyle name="Normal 5 3 7 2 3" xfId="12479" xr:uid="{E2962E96-1AAC-46BE-9339-3FF7EB9838FF}"/>
    <cellStyle name="Normal 5 3 7 2 4" xfId="20926" xr:uid="{F649898D-A82B-45DB-964D-BD3C456D632E}"/>
    <cellStyle name="Normal 5 3 7 2 5" xfId="29373" xr:uid="{AAFAB9CC-8EC5-4468-8E20-C1893D1B4A8E}"/>
    <cellStyle name="Normal 5 3 7 3" xfId="5225" xr:uid="{00000000-0005-0000-0000-0000A31A0000}"/>
    <cellStyle name="Normal 5 3 7 3 2" xfId="14551" xr:uid="{92099655-A93B-4644-9063-99DA4D9758BB}"/>
    <cellStyle name="Normal 5 3 7 3 3" xfId="22998" xr:uid="{2D5784EC-F493-4C71-B9D2-325F0B7CF2EF}"/>
    <cellStyle name="Normal 5 3 7 3 4" xfId="31445" xr:uid="{C50FAC89-790C-4863-9BAF-9406EE7194C7}"/>
    <cellStyle name="Normal 5 3 7 4" xfId="9172" xr:uid="{5609ABAF-B913-41DD-9CCE-B28C6A880815}"/>
    <cellStyle name="Normal 5 3 7 5" xfId="10334" xr:uid="{7D9DC15A-32E0-4C0C-B192-67C15D184DA4}"/>
    <cellStyle name="Normal 5 3 7 6" xfId="18781" xr:uid="{AC0E97F0-3004-4654-A9CB-7897DE32AE35}"/>
    <cellStyle name="Normal 5 3 7 7" xfId="27228" xr:uid="{E148466F-A75E-4EFD-B43D-420263057E4A}"/>
    <cellStyle name="Normal 5 3 8" xfId="1331" xr:uid="{00000000-0005-0000-0000-0000A41A0000}"/>
    <cellStyle name="Normal 5 3 8 2" xfId="3561" xr:uid="{00000000-0005-0000-0000-0000A51A0000}"/>
    <cellStyle name="Normal 5 3 8 2 2" xfId="7783" xr:uid="{00000000-0005-0000-0000-0000A61A0000}"/>
    <cellStyle name="Normal 5 3 8 2 2 2" xfId="17109" xr:uid="{767CE85B-48B1-4C13-9A19-08EE6D49666E}"/>
    <cellStyle name="Normal 5 3 8 2 2 3" xfId="25556" xr:uid="{DEAF8352-57E6-49C0-8DDC-8F015993DA4B}"/>
    <cellStyle name="Normal 5 3 8 2 2 4" xfId="34003" xr:uid="{6697D922-9DA1-4DE0-983B-DC24C8362D62}"/>
    <cellStyle name="Normal 5 3 8 2 3" xfId="12892" xr:uid="{89EFFCCC-3C6D-403D-B4FD-F5AF0D031DFA}"/>
    <cellStyle name="Normal 5 3 8 2 4" xfId="21339" xr:uid="{3CCE65C9-8272-4F78-A9AA-E95E51BA7EBC}"/>
    <cellStyle name="Normal 5 3 8 2 5" xfId="29786" xr:uid="{6E5BA350-484D-4FA2-8A6E-5771BED8A204}"/>
    <cellStyle name="Normal 5 3 8 3" xfId="5638" xr:uid="{00000000-0005-0000-0000-0000A71A0000}"/>
    <cellStyle name="Normal 5 3 8 3 2" xfId="14964" xr:uid="{8DC3B09F-32EB-4221-9B96-10000664EE5F}"/>
    <cellStyle name="Normal 5 3 8 3 3" xfId="23411" xr:uid="{17397936-5B4C-47FE-8833-B63F3089350E}"/>
    <cellStyle name="Normal 5 3 8 3 4" xfId="31858" xr:uid="{0D600468-4174-44E5-ADD7-6F1F129A00CC}"/>
    <cellStyle name="Normal 5 3 8 4" xfId="10747" xr:uid="{43DAD127-339A-4A61-9855-CE7952EAF781}"/>
    <cellStyle name="Normal 5 3 8 5" xfId="19194" xr:uid="{072577F8-62F9-430A-8BEA-30C047189233}"/>
    <cellStyle name="Normal 5 3 8 6" xfId="27641" xr:uid="{26775931-B383-47BA-B1FB-921BF6620D54}"/>
    <cellStyle name="Normal 5 3 9" xfId="1744" xr:uid="{00000000-0005-0000-0000-0000A81A0000}"/>
    <cellStyle name="Normal 5 3 9 2" xfId="3974" xr:uid="{00000000-0005-0000-0000-0000A91A0000}"/>
    <cellStyle name="Normal 5 3 9 2 2" xfId="8196" xr:uid="{00000000-0005-0000-0000-0000AA1A0000}"/>
    <cellStyle name="Normal 5 3 9 2 2 2" xfId="17522" xr:uid="{751D74E1-E4FE-4F13-8F3B-87A6AC9D3539}"/>
    <cellStyle name="Normal 5 3 9 2 2 3" xfId="25969" xr:uid="{B21DFA0B-B5D1-4940-828D-1DE0A1CC3C9A}"/>
    <cellStyle name="Normal 5 3 9 2 2 4" xfId="34416" xr:uid="{8BCA71FD-311E-40EF-8C55-D801449CCBC0}"/>
    <cellStyle name="Normal 5 3 9 2 3" xfId="13305" xr:uid="{3F3AF70C-1CA5-4366-A7E6-D5D6CBE52399}"/>
    <cellStyle name="Normal 5 3 9 2 4" xfId="21752" xr:uid="{882191E5-E4C5-4478-9212-986310607E6D}"/>
    <cellStyle name="Normal 5 3 9 2 5" xfId="30199" xr:uid="{55C696B4-8AED-45FA-A378-C5FD054440A1}"/>
    <cellStyle name="Normal 5 3 9 3" xfId="6051" xr:uid="{00000000-0005-0000-0000-0000AB1A0000}"/>
    <cellStyle name="Normal 5 3 9 3 2" xfId="15377" xr:uid="{845C0B48-9FAF-4D49-9758-BEAD64C79002}"/>
    <cellStyle name="Normal 5 3 9 3 3" xfId="23824" xr:uid="{A778F62B-3BF9-4E68-B4DB-85163F870900}"/>
    <cellStyle name="Normal 5 3 9 3 4" xfId="32271" xr:uid="{B6483C10-0CF5-4164-9662-DB50EF82B545}"/>
    <cellStyle name="Normal 5 3 9 4" xfId="11160" xr:uid="{7CCE5E36-614F-40BF-96AD-684758656F4F}"/>
    <cellStyle name="Normal 5 3 9 5" xfId="19607" xr:uid="{1687E5A3-5CDD-4C2D-9467-63C0ED18A29D}"/>
    <cellStyle name="Normal 5 3 9 6" xfId="28054" xr:uid="{B0820B7D-E66B-419D-9D20-CB39D6A58FFF}"/>
    <cellStyle name="Normal 5 4" xfId="456" xr:uid="{00000000-0005-0000-0000-0000AC1A0000}"/>
    <cellStyle name="Normal 5 4 10" xfId="4828" xr:uid="{00000000-0005-0000-0000-0000AD1A0000}"/>
    <cellStyle name="Normal 5 4 10 2" xfId="14154" xr:uid="{A7E59C60-3A7C-4C14-AE19-A86E10B33B47}"/>
    <cellStyle name="Normal 5 4 10 3" xfId="22601" xr:uid="{D1067B79-0DB6-4963-B8F7-CEC036F102CB}"/>
    <cellStyle name="Normal 5 4 10 4" xfId="31048" xr:uid="{1A3E57DD-DDCF-427D-BF82-BCA2525F0F88}"/>
    <cellStyle name="Normal 5 4 11" xfId="8773" xr:uid="{50472F80-32FD-428C-B078-8DE338D6CA16}"/>
    <cellStyle name="Normal 5 4 12" xfId="9937" xr:uid="{CC3C764E-916D-47FE-A956-BE2BC1EC2B9D}"/>
    <cellStyle name="Normal 5 4 13" xfId="18384" xr:uid="{B3977DCC-6969-4CD7-AB04-9ED9E6CC5FB9}"/>
    <cellStyle name="Normal 5 4 14" xfId="26831" xr:uid="{85DE558B-E495-4D49-ADEC-25B08ABBFCE9}"/>
    <cellStyle name="Normal 5 4 2" xfId="457" xr:uid="{00000000-0005-0000-0000-0000AE1A0000}"/>
    <cellStyle name="Normal 5 4 2 10" xfId="8833" xr:uid="{6EA55230-8E5B-4EF6-B83C-8DF4202F8C31}"/>
    <cellStyle name="Normal 5 4 2 11" xfId="9938" xr:uid="{8F9FCC54-B437-41CE-9A25-347D45EDA28B}"/>
    <cellStyle name="Normal 5 4 2 12" xfId="18385" xr:uid="{3078B989-371C-4773-9860-B53E787F0FC3}"/>
    <cellStyle name="Normal 5 4 2 13" xfId="26832" xr:uid="{F65FCDAA-3833-49D6-BB57-C40E3EED68F1}"/>
    <cellStyle name="Normal 5 4 2 2" xfId="458" xr:uid="{00000000-0005-0000-0000-0000AF1A0000}"/>
    <cellStyle name="Normal 5 4 2 2 10" xfId="9939" xr:uid="{A6E76CE5-F069-4534-A91A-7FEBB81E5176}"/>
    <cellStyle name="Normal 5 4 2 2 11" xfId="18386" xr:uid="{D49ABBC3-C03A-4C85-839C-68FC6AA7D225}"/>
    <cellStyle name="Normal 5 4 2 2 12" xfId="26833" xr:uid="{3242155D-08D5-4C5C-90BF-929FEF2E4A78}"/>
    <cellStyle name="Normal 5 4 2 2 2" xfId="459" xr:uid="{00000000-0005-0000-0000-0000B01A0000}"/>
    <cellStyle name="Normal 5 4 2 2 2 10" xfId="18387" xr:uid="{914CCCDA-32B2-48B3-AD81-346D1F3E1782}"/>
    <cellStyle name="Normal 5 4 2 2 2 11" xfId="26834" xr:uid="{91A378F6-4A46-4266-A6B1-FC394DD2DF49}"/>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16715" xr:uid="{A2FB90C2-BC8D-42A3-966C-76D4B3AB482A}"/>
    <cellStyle name="Normal 5 4 2 2 2 2 2 2 3" xfId="25162" xr:uid="{C1382A6E-32E4-4B2E-89C3-E2346F2D44DB}"/>
    <cellStyle name="Normal 5 4 2 2 2 2 2 2 4" xfId="33609" xr:uid="{A849921B-BB2C-48D1-A590-839E17D10D8B}"/>
    <cellStyle name="Normal 5 4 2 2 2 2 2 3" xfId="12498" xr:uid="{A394A5B7-9B86-4A86-ACD5-0928BA5C33FF}"/>
    <cellStyle name="Normal 5 4 2 2 2 2 2 4" xfId="20945" xr:uid="{8AC65E6D-0649-4A09-9C17-990D62F908B1}"/>
    <cellStyle name="Normal 5 4 2 2 2 2 2 5" xfId="29392" xr:uid="{8773C45E-3FFB-4C42-BF30-5790479E6C15}"/>
    <cellStyle name="Normal 5 4 2 2 2 2 3" xfId="5244" xr:uid="{00000000-0005-0000-0000-0000B41A0000}"/>
    <cellStyle name="Normal 5 4 2 2 2 2 3 2" xfId="14570" xr:uid="{309B3F72-9ADB-4FA8-9138-5287E7890DC0}"/>
    <cellStyle name="Normal 5 4 2 2 2 2 3 3" xfId="23017" xr:uid="{7D70AF7C-10AA-46D3-ABCE-A3BF0D919D3F}"/>
    <cellStyle name="Normal 5 4 2 2 2 2 3 4" xfId="31464" xr:uid="{7688D0C6-A156-4890-BBAD-9A32C9818020}"/>
    <cellStyle name="Normal 5 4 2 2 2 2 4" xfId="9568" xr:uid="{C9922021-D284-4633-BD4E-F2DB1197482A}"/>
    <cellStyle name="Normal 5 4 2 2 2 2 5" xfId="10353" xr:uid="{5C69EC05-26A2-4690-8575-2B3BD866BE4C}"/>
    <cellStyle name="Normal 5 4 2 2 2 2 6" xfId="18800" xr:uid="{E728D08F-A8F2-4D6D-A6FE-FE0454DFF334}"/>
    <cellStyle name="Normal 5 4 2 2 2 2 7" xfId="27247" xr:uid="{2567B62C-35F3-46A4-AAC0-6761F290A671}"/>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17128" xr:uid="{A855857D-2519-4220-9E72-D4AE237AD8D2}"/>
    <cellStyle name="Normal 5 4 2 2 2 3 2 2 3" xfId="25575" xr:uid="{0A732F55-6690-473F-836B-2A75051BFFAF}"/>
    <cellStyle name="Normal 5 4 2 2 2 3 2 2 4" xfId="34022" xr:uid="{C994C946-7A26-411A-9BDA-1E0B3004B262}"/>
    <cellStyle name="Normal 5 4 2 2 2 3 2 3" xfId="12911" xr:uid="{06F10A38-4155-4DE9-86A6-B5CE17E8B651}"/>
    <cellStyle name="Normal 5 4 2 2 2 3 2 4" xfId="21358" xr:uid="{09046B86-B101-4560-9693-843902928D1C}"/>
    <cellStyle name="Normal 5 4 2 2 2 3 2 5" xfId="29805" xr:uid="{B166C967-A84B-4AF2-929C-7EF9E4C7BFF8}"/>
    <cellStyle name="Normal 5 4 2 2 2 3 3" xfId="5657" xr:uid="{00000000-0005-0000-0000-0000B81A0000}"/>
    <cellStyle name="Normal 5 4 2 2 2 3 3 2" xfId="14983" xr:uid="{6759D7AA-708D-4433-90B4-D5F134489F51}"/>
    <cellStyle name="Normal 5 4 2 2 2 3 3 3" xfId="23430" xr:uid="{CD54F232-349C-41F4-9A8E-1527DD11A6A5}"/>
    <cellStyle name="Normal 5 4 2 2 2 3 3 4" xfId="31877" xr:uid="{D77B8B20-E81C-48D7-A7AB-5B34449D60A3}"/>
    <cellStyle name="Normal 5 4 2 2 2 3 4" xfId="10766" xr:uid="{2E595F6D-0D00-4141-A086-70930D2F4FEB}"/>
    <cellStyle name="Normal 5 4 2 2 2 3 5" xfId="19213" xr:uid="{20DBF15C-8728-4FEB-B534-44D48BBE054A}"/>
    <cellStyle name="Normal 5 4 2 2 2 3 6" xfId="27660" xr:uid="{A90CFE9F-5E39-47DD-B150-F27B18FB560C}"/>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17541" xr:uid="{E9E28409-D6BE-4B04-B180-C375F3F314B0}"/>
    <cellStyle name="Normal 5 4 2 2 2 4 2 2 3" xfId="25988" xr:uid="{99102BF6-FA3C-4E22-91BC-1791D25D2D41}"/>
    <cellStyle name="Normal 5 4 2 2 2 4 2 2 4" xfId="34435" xr:uid="{ADB75F0E-1304-43B5-A99A-6A2746E77A64}"/>
    <cellStyle name="Normal 5 4 2 2 2 4 2 3" xfId="13324" xr:uid="{F63BA45A-ADC8-4399-AD09-01596B3CCA99}"/>
    <cellStyle name="Normal 5 4 2 2 2 4 2 4" xfId="21771" xr:uid="{1743A618-0A3E-4D99-9F6A-CC32FF41814A}"/>
    <cellStyle name="Normal 5 4 2 2 2 4 2 5" xfId="30218" xr:uid="{94904F70-6486-4B8D-A427-F258A13D4D9F}"/>
    <cellStyle name="Normal 5 4 2 2 2 4 3" xfId="6070" xr:uid="{00000000-0005-0000-0000-0000BC1A0000}"/>
    <cellStyle name="Normal 5 4 2 2 2 4 3 2" xfId="15396" xr:uid="{700A3E93-AD93-4CC8-A321-FBF3FA006132}"/>
    <cellStyle name="Normal 5 4 2 2 2 4 3 3" xfId="23843" xr:uid="{449F6B06-EA6A-4641-A693-4C4A5CBAA830}"/>
    <cellStyle name="Normal 5 4 2 2 2 4 3 4" xfId="32290" xr:uid="{2F23F49F-F1F0-49BB-86CC-42FC40029C0B}"/>
    <cellStyle name="Normal 5 4 2 2 2 4 4" xfId="11179" xr:uid="{F388143D-5B75-4D48-AEB4-DABFD6AF6B82}"/>
    <cellStyle name="Normal 5 4 2 2 2 4 5" xfId="19626" xr:uid="{3C4FC41D-8CBB-4800-BACA-5AF58C82E783}"/>
    <cellStyle name="Normal 5 4 2 2 2 4 6" xfId="28073" xr:uid="{F9033399-EE9F-4C50-998D-149028934418}"/>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17954" xr:uid="{272A30A4-F842-4719-9F45-6C3689FEF014}"/>
    <cellStyle name="Normal 5 4 2 2 2 5 2 2 3" xfId="26401" xr:uid="{07440D73-31EE-424F-A3AB-376B4A8B2D19}"/>
    <cellStyle name="Normal 5 4 2 2 2 5 2 2 4" xfId="34848" xr:uid="{C8517728-7B3E-4D0F-8113-2629C1EC5182}"/>
    <cellStyle name="Normal 5 4 2 2 2 5 2 3" xfId="13737" xr:uid="{3F3EB037-312F-4FE3-BB8F-97F8B903DCB9}"/>
    <cellStyle name="Normal 5 4 2 2 2 5 2 4" xfId="22184" xr:uid="{90A23904-617B-4941-AF24-D6A689C3636D}"/>
    <cellStyle name="Normal 5 4 2 2 2 5 2 5" xfId="30631" xr:uid="{30988399-ADBB-415A-AA6C-C2BE1B0D36F0}"/>
    <cellStyle name="Normal 5 4 2 2 2 5 3" xfId="6483" xr:uid="{00000000-0005-0000-0000-0000C01A0000}"/>
    <cellStyle name="Normal 5 4 2 2 2 5 3 2" xfId="15809" xr:uid="{EB4207A9-22C3-4E1B-A3E1-CC5372C564AF}"/>
    <cellStyle name="Normal 5 4 2 2 2 5 3 3" xfId="24256" xr:uid="{CB3E76E2-8F0C-4D10-B94D-C0AFA393AC02}"/>
    <cellStyle name="Normal 5 4 2 2 2 5 3 4" xfId="32703" xr:uid="{DE68B355-DF16-4878-A9D7-0BFA28C24AA1}"/>
    <cellStyle name="Normal 5 4 2 2 2 5 4" xfId="11592" xr:uid="{C94F9BC4-CF49-4967-A38C-4B18D800D4CF}"/>
    <cellStyle name="Normal 5 4 2 2 2 5 5" xfId="20039" xr:uid="{32675398-55BE-43DD-8A87-FDF476D97967}"/>
    <cellStyle name="Normal 5 4 2 2 2 5 6" xfId="28486" xr:uid="{5392A989-139D-4421-885D-5163169CA0A8}"/>
    <cellStyle name="Normal 5 4 2 2 2 6" xfId="2613" xr:uid="{00000000-0005-0000-0000-0000C11A0000}"/>
    <cellStyle name="Normal 5 4 2 2 2 6 2" xfId="6896" xr:uid="{00000000-0005-0000-0000-0000C21A0000}"/>
    <cellStyle name="Normal 5 4 2 2 2 6 2 2" xfId="16222" xr:uid="{E6C3967F-89A1-4DD0-B6B5-5E9718BF0AF3}"/>
    <cellStyle name="Normal 5 4 2 2 2 6 2 3" xfId="24669" xr:uid="{96F99940-7313-4EB5-8115-D35C51F4F0B5}"/>
    <cellStyle name="Normal 5 4 2 2 2 6 2 4" xfId="33116" xr:uid="{3D976F42-91CC-4F4C-8C20-77F3C0F9BDF8}"/>
    <cellStyle name="Normal 5 4 2 2 2 6 3" xfId="12005" xr:uid="{7C59320D-EFC5-4E37-B7C6-33E32C0B3288}"/>
    <cellStyle name="Normal 5 4 2 2 2 6 4" xfId="20452" xr:uid="{D8BD953E-1BAC-4156-BFEA-E9AB60CA3424}"/>
    <cellStyle name="Normal 5 4 2 2 2 6 5" xfId="28899" xr:uid="{CE7B9083-F854-46F6-B130-59A0315290DE}"/>
    <cellStyle name="Normal 5 4 2 2 2 7" xfId="4831" xr:uid="{00000000-0005-0000-0000-0000C31A0000}"/>
    <cellStyle name="Normal 5 4 2 2 2 7 2" xfId="14157" xr:uid="{C0892FA4-9EB3-4197-AA8E-17D1CACEFD4F}"/>
    <cellStyle name="Normal 5 4 2 2 2 7 3" xfId="22604" xr:uid="{9B5421CD-9EC4-490B-B460-528FE44879E6}"/>
    <cellStyle name="Normal 5 4 2 2 2 7 4" xfId="31051" xr:uid="{972DEF65-2C02-469B-8480-837B3AFBA185}"/>
    <cellStyle name="Normal 5 4 2 2 2 8" xfId="9143" xr:uid="{C8F15FA9-FDFE-4358-95A8-17B14299B14C}"/>
    <cellStyle name="Normal 5 4 2 2 2 9" xfId="9940" xr:uid="{840483FD-8416-4670-B23A-CCDBD478E8FA}"/>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16714" xr:uid="{A53B6DB8-94FA-4B45-B576-5DDE533CDFA2}"/>
    <cellStyle name="Normal 5 4 2 2 3 2 2 3" xfId="25161" xr:uid="{13B75D35-9290-4F60-B433-3EFDD7953E83}"/>
    <cellStyle name="Normal 5 4 2 2 3 2 2 4" xfId="33608" xr:uid="{8032962D-88B4-40FE-988D-8AE29437430D}"/>
    <cellStyle name="Normal 5 4 2 2 3 2 3" xfId="12497" xr:uid="{F55221A1-87D0-43CE-8990-60E53C7069D8}"/>
    <cellStyle name="Normal 5 4 2 2 3 2 4" xfId="20944" xr:uid="{204C1BEC-6CFE-49E7-9798-C22D362D028E}"/>
    <cellStyle name="Normal 5 4 2 2 3 2 5" xfId="29391" xr:uid="{8DA510DF-5593-465A-9EED-DEFDD9D38476}"/>
    <cellStyle name="Normal 5 4 2 2 3 3" xfId="5243" xr:uid="{00000000-0005-0000-0000-0000C71A0000}"/>
    <cellStyle name="Normal 5 4 2 2 3 3 2" xfId="14569" xr:uid="{1DE50592-9FD2-4C67-965F-9F1421BBD3E3}"/>
    <cellStyle name="Normal 5 4 2 2 3 3 3" xfId="23016" xr:uid="{9C7D9AA3-A568-40F5-B9AA-DF5C528F5F08}"/>
    <cellStyle name="Normal 5 4 2 2 3 3 4" xfId="31463" xr:uid="{80CBD695-EE9C-423D-80EC-ADBC9F66359B}"/>
    <cellStyle name="Normal 5 4 2 2 3 4" xfId="9361" xr:uid="{421F0FC8-8E8F-498F-BD31-B00CB58D5B43}"/>
    <cellStyle name="Normal 5 4 2 2 3 5" xfId="10352" xr:uid="{28811AD7-32EE-4587-B6AA-D06075674BBC}"/>
    <cellStyle name="Normal 5 4 2 2 3 6" xfId="18799" xr:uid="{448769E7-560D-4FD5-BE98-44329F0079DC}"/>
    <cellStyle name="Normal 5 4 2 2 3 7" xfId="27246" xr:uid="{F729B14B-780B-42CD-A7F9-2DAFE9144F4A}"/>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17127" xr:uid="{F79E255B-B797-4082-B478-87654D430174}"/>
    <cellStyle name="Normal 5 4 2 2 4 2 2 3" xfId="25574" xr:uid="{809E963E-C9F4-48BA-941D-C69D46CFE066}"/>
    <cellStyle name="Normal 5 4 2 2 4 2 2 4" xfId="34021" xr:uid="{49D2C3F8-9D1E-4965-8AB2-66894B4E146B}"/>
    <cellStyle name="Normal 5 4 2 2 4 2 3" xfId="12910" xr:uid="{A02D2F8A-56FD-46F8-9AF9-EBDE7A1B722C}"/>
    <cellStyle name="Normal 5 4 2 2 4 2 4" xfId="21357" xr:uid="{40D3FF78-B1E3-4AA2-8E4F-C80975A254AF}"/>
    <cellStyle name="Normal 5 4 2 2 4 2 5" xfId="29804" xr:uid="{16DA1645-A49C-4445-8BFA-1E0E6CACDF8D}"/>
    <cellStyle name="Normal 5 4 2 2 4 3" xfId="5656" xr:uid="{00000000-0005-0000-0000-0000CB1A0000}"/>
    <cellStyle name="Normal 5 4 2 2 4 3 2" xfId="14982" xr:uid="{73321ED0-1FF2-422F-AAA9-AF196295EB56}"/>
    <cellStyle name="Normal 5 4 2 2 4 3 3" xfId="23429" xr:uid="{E6DFFF7A-5DBF-4205-9A04-D01DA885FB8E}"/>
    <cellStyle name="Normal 5 4 2 2 4 3 4" xfId="31876" xr:uid="{A51689B3-6E78-4FCD-81E2-7FA6CB8C6009}"/>
    <cellStyle name="Normal 5 4 2 2 4 4" xfId="10765" xr:uid="{72DB417A-3A1E-4FE1-8DC6-DABE9EADC4FF}"/>
    <cellStyle name="Normal 5 4 2 2 4 5" xfId="19212" xr:uid="{BDFB3897-6D45-424C-9951-DD0FD2632136}"/>
    <cellStyle name="Normal 5 4 2 2 4 6" xfId="27659" xr:uid="{C1F8BDDD-FD10-4DEF-A1A9-1F49FCD675C6}"/>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17540" xr:uid="{C343E00C-F408-460B-8FAD-1DCB6A3852EB}"/>
    <cellStyle name="Normal 5 4 2 2 5 2 2 3" xfId="25987" xr:uid="{C73F8835-3CCD-43A8-9BCA-88AF49DDF9EC}"/>
    <cellStyle name="Normal 5 4 2 2 5 2 2 4" xfId="34434" xr:uid="{9ECFBCF1-1BDC-4475-A77D-0CDCA8CAC34B}"/>
    <cellStyle name="Normal 5 4 2 2 5 2 3" xfId="13323" xr:uid="{BA640D92-8405-4EC7-AE69-8745C89D284A}"/>
    <cellStyle name="Normal 5 4 2 2 5 2 4" xfId="21770" xr:uid="{220BF8B6-B96F-43FF-B81F-D0F4A796272A}"/>
    <cellStyle name="Normal 5 4 2 2 5 2 5" xfId="30217" xr:uid="{D0CBD135-9338-4ADE-BAA2-A1B5E3F74191}"/>
    <cellStyle name="Normal 5 4 2 2 5 3" xfId="6069" xr:uid="{00000000-0005-0000-0000-0000CF1A0000}"/>
    <cellStyle name="Normal 5 4 2 2 5 3 2" xfId="15395" xr:uid="{1951A0B1-4CE7-4A08-A306-250A9E1FB5A2}"/>
    <cellStyle name="Normal 5 4 2 2 5 3 3" xfId="23842" xr:uid="{48FD53C3-8147-4B9A-8653-5749DC0812AD}"/>
    <cellStyle name="Normal 5 4 2 2 5 3 4" xfId="32289" xr:uid="{C29BB194-E173-4725-8343-8B76D092CED7}"/>
    <cellStyle name="Normal 5 4 2 2 5 4" xfId="11178" xr:uid="{926BB57C-A107-4792-881B-A734D8699495}"/>
    <cellStyle name="Normal 5 4 2 2 5 5" xfId="19625" xr:uid="{44DE8CAE-427B-4894-8575-3BB45D5D1971}"/>
    <cellStyle name="Normal 5 4 2 2 5 6" xfId="28072" xr:uid="{78B1AF35-C42F-498D-A7CD-BA2EB0BC1920}"/>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17953" xr:uid="{F591CA0D-BCE1-4178-A827-B0C2755A1F3A}"/>
    <cellStyle name="Normal 5 4 2 2 6 2 2 3" xfId="26400" xr:uid="{851C774D-631C-480F-964B-CACE09069D65}"/>
    <cellStyle name="Normal 5 4 2 2 6 2 2 4" xfId="34847" xr:uid="{7BDC4C2B-3CC0-4066-BB68-C60EF7A01123}"/>
    <cellStyle name="Normal 5 4 2 2 6 2 3" xfId="13736" xr:uid="{5907A86F-198A-4B39-B9D3-7D1071E44AED}"/>
    <cellStyle name="Normal 5 4 2 2 6 2 4" xfId="22183" xr:uid="{0127B5EA-5DAF-45E0-B877-A7E18DF5D226}"/>
    <cellStyle name="Normal 5 4 2 2 6 2 5" xfId="30630" xr:uid="{8D24CDF4-1F35-4630-92A3-46878A2FF719}"/>
    <cellStyle name="Normal 5 4 2 2 6 3" xfId="6482" xr:uid="{00000000-0005-0000-0000-0000D31A0000}"/>
    <cellStyle name="Normal 5 4 2 2 6 3 2" xfId="15808" xr:uid="{E142FDE0-7EAE-4F86-8CC7-AE660E4E040E}"/>
    <cellStyle name="Normal 5 4 2 2 6 3 3" xfId="24255" xr:uid="{173B353D-511F-4A51-829F-EBA03A38A403}"/>
    <cellStyle name="Normal 5 4 2 2 6 3 4" xfId="32702" xr:uid="{65C9178E-E660-42EF-A0F1-FA0DD7EAFFE6}"/>
    <cellStyle name="Normal 5 4 2 2 6 4" xfId="11591" xr:uid="{4EA43784-DECB-4A10-A0E1-B22C16A67CCD}"/>
    <cellStyle name="Normal 5 4 2 2 6 5" xfId="20038" xr:uid="{E9998B52-E2BD-438F-8E12-EF9D7099B92A}"/>
    <cellStyle name="Normal 5 4 2 2 6 6" xfId="28485" xr:uid="{47AF8CD0-5028-4AF3-899E-BB22520E279E}"/>
    <cellStyle name="Normal 5 4 2 2 7" xfId="2612" xr:uid="{00000000-0005-0000-0000-0000D41A0000}"/>
    <cellStyle name="Normal 5 4 2 2 7 2" xfId="6895" xr:uid="{00000000-0005-0000-0000-0000D51A0000}"/>
    <cellStyle name="Normal 5 4 2 2 7 2 2" xfId="16221" xr:uid="{F564CB8A-E260-47B2-A18C-0EB55B1EB532}"/>
    <cellStyle name="Normal 5 4 2 2 7 2 3" xfId="24668" xr:uid="{F82BEFE9-57F7-4DEA-A685-0CD07805763B}"/>
    <cellStyle name="Normal 5 4 2 2 7 2 4" xfId="33115" xr:uid="{B9757C16-07EA-46E0-808C-FEC5263C9D2F}"/>
    <cellStyle name="Normal 5 4 2 2 7 3" xfId="12004" xr:uid="{C78728A0-CFD8-40DC-98B4-A1807C176159}"/>
    <cellStyle name="Normal 5 4 2 2 7 4" xfId="20451" xr:uid="{57A78D81-9B0A-452E-B3A0-C8146376D82B}"/>
    <cellStyle name="Normal 5 4 2 2 7 5" xfId="28898" xr:uid="{B507DC58-529F-425F-AB0A-C18281C0E652}"/>
    <cellStyle name="Normal 5 4 2 2 8" xfId="4830" xr:uid="{00000000-0005-0000-0000-0000D61A0000}"/>
    <cellStyle name="Normal 5 4 2 2 8 2" xfId="14156" xr:uid="{F75EE41A-3F02-4D35-AFCA-67232115EF81}"/>
    <cellStyle name="Normal 5 4 2 2 8 3" xfId="22603" xr:uid="{8E0D1C07-9602-440A-BB63-682C144CFE95}"/>
    <cellStyle name="Normal 5 4 2 2 8 4" xfId="31050" xr:uid="{BA1ACBA2-5051-4265-ACB7-AEDB5FA1DC67}"/>
    <cellStyle name="Normal 5 4 2 2 9" xfId="8936" xr:uid="{31CF7A09-919D-40D2-B5FD-098CEA44D314}"/>
    <cellStyle name="Normal 5 4 2 3" xfId="460" xr:uid="{00000000-0005-0000-0000-0000D71A0000}"/>
    <cellStyle name="Normal 5 4 2 3 10" xfId="18388" xr:uid="{8E0BB636-2AF8-46FE-BB27-E436D23C51E3}"/>
    <cellStyle name="Normal 5 4 2 3 11" xfId="26835" xr:uid="{444430D1-61F2-4932-A864-A0B3FCBD6864}"/>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16716" xr:uid="{AE604A3A-AA37-4551-8676-A8858CA085B8}"/>
    <cellStyle name="Normal 5 4 2 3 2 2 2 3" xfId="25163" xr:uid="{F90DF85D-5B6B-434D-A422-09099E151CA7}"/>
    <cellStyle name="Normal 5 4 2 3 2 2 2 4" xfId="33610" xr:uid="{0B54692B-749D-4D1A-A523-4B3A0717CBD0}"/>
    <cellStyle name="Normal 5 4 2 3 2 2 3" xfId="12499" xr:uid="{8EA68240-D74F-4FF1-B046-4FA0447D05A5}"/>
    <cellStyle name="Normal 5 4 2 3 2 2 4" xfId="20946" xr:uid="{AC654D0A-F3FA-4BA1-A0C1-25E631ADEC3A}"/>
    <cellStyle name="Normal 5 4 2 3 2 2 5" xfId="29393" xr:uid="{CE4BFC22-D9EB-4280-9D0C-98DE892AAC9E}"/>
    <cellStyle name="Normal 5 4 2 3 2 3" xfId="5245" xr:uid="{00000000-0005-0000-0000-0000DB1A0000}"/>
    <cellStyle name="Normal 5 4 2 3 2 3 2" xfId="14571" xr:uid="{7A9486A0-A8AC-4E8D-A6C5-CD3393B97D27}"/>
    <cellStyle name="Normal 5 4 2 3 2 3 3" xfId="23018" xr:uid="{A6722C80-D515-41BB-BAE4-8B4DAC76B044}"/>
    <cellStyle name="Normal 5 4 2 3 2 3 4" xfId="31465" xr:uid="{ED4F9A03-DEA0-4541-8E68-64A00069F9C1}"/>
    <cellStyle name="Normal 5 4 2 3 2 4" xfId="9465" xr:uid="{B8459C73-266B-467B-A163-FFDFF015A460}"/>
    <cellStyle name="Normal 5 4 2 3 2 5" xfId="10354" xr:uid="{B0FA490E-4FC1-445C-BD8F-90CC7705873A}"/>
    <cellStyle name="Normal 5 4 2 3 2 6" xfId="18801" xr:uid="{A5685F27-FD9A-4B66-95E8-47B077C32062}"/>
    <cellStyle name="Normal 5 4 2 3 2 7" xfId="27248" xr:uid="{C43C265B-05AF-4F5F-9B77-B9E0787E2764}"/>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17129" xr:uid="{27E42B27-ABF5-45BD-AF7B-E69A6EDEFA91}"/>
    <cellStyle name="Normal 5 4 2 3 3 2 2 3" xfId="25576" xr:uid="{99A5A693-1EA6-402B-9DE5-7768D64D2D4A}"/>
    <cellStyle name="Normal 5 4 2 3 3 2 2 4" xfId="34023" xr:uid="{003423F6-BA0E-47E6-9526-F2B51E530CAA}"/>
    <cellStyle name="Normal 5 4 2 3 3 2 3" xfId="12912" xr:uid="{97123F32-3214-44B7-9C56-F7F1F33CF525}"/>
    <cellStyle name="Normal 5 4 2 3 3 2 4" xfId="21359" xr:uid="{CEB7A8AF-F5FD-45E8-85BB-58EFB9D34C2A}"/>
    <cellStyle name="Normal 5 4 2 3 3 2 5" xfId="29806" xr:uid="{DD2E66B8-C024-4EF4-B9D0-93F705FCAC07}"/>
    <cellStyle name="Normal 5 4 2 3 3 3" xfId="5658" xr:uid="{00000000-0005-0000-0000-0000DF1A0000}"/>
    <cellStyle name="Normal 5 4 2 3 3 3 2" xfId="14984" xr:uid="{4F6DCDF4-8237-4EAD-A26A-39038B8205C3}"/>
    <cellStyle name="Normal 5 4 2 3 3 3 3" xfId="23431" xr:uid="{27D2065D-E373-48BC-9562-72A15BF7AAEF}"/>
    <cellStyle name="Normal 5 4 2 3 3 3 4" xfId="31878" xr:uid="{150CB1B9-BF28-49E7-854F-AA14E83BBFED}"/>
    <cellStyle name="Normal 5 4 2 3 3 4" xfId="10767" xr:uid="{1A0C044E-2430-478A-8369-89B95C599983}"/>
    <cellStyle name="Normal 5 4 2 3 3 5" xfId="19214" xr:uid="{0311396A-C636-4CAE-A87E-20B7AE97D0CD}"/>
    <cellStyle name="Normal 5 4 2 3 3 6" xfId="27661" xr:uid="{03575273-8CFF-4A11-92B9-C9CC6CA0FA7B}"/>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17542" xr:uid="{BEC5698F-8192-4108-BC6A-ECD678322E5A}"/>
    <cellStyle name="Normal 5 4 2 3 4 2 2 3" xfId="25989" xr:uid="{16D4812D-A2BC-4FBC-8CBC-2C34E99D937D}"/>
    <cellStyle name="Normal 5 4 2 3 4 2 2 4" xfId="34436" xr:uid="{1104903A-EBDB-4CF0-BF59-2FA5D2E93B71}"/>
    <cellStyle name="Normal 5 4 2 3 4 2 3" xfId="13325" xr:uid="{9D3FC1E9-0DA4-4289-A1FC-9AB724D242DA}"/>
    <cellStyle name="Normal 5 4 2 3 4 2 4" xfId="21772" xr:uid="{DFE35496-BF8F-40A5-9A51-39CA09ED1019}"/>
    <cellStyle name="Normal 5 4 2 3 4 2 5" xfId="30219" xr:uid="{7615A5B6-7770-47D6-A0E6-348AF917ED65}"/>
    <cellStyle name="Normal 5 4 2 3 4 3" xfId="6071" xr:uid="{00000000-0005-0000-0000-0000E31A0000}"/>
    <cellStyle name="Normal 5 4 2 3 4 3 2" xfId="15397" xr:uid="{A1F7CCCC-46E6-43F4-ABE0-90CD90512FE3}"/>
    <cellStyle name="Normal 5 4 2 3 4 3 3" xfId="23844" xr:uid="{0E75B2C6-FCED-48B6-A189-E0CEEE7CC199}"/>
    <cellStyle name="Normal 5 4 2 3 4 3 4" xfId="32291" xr:uid="{701DC748-A290-4869-9C79-1045CB184ACF}"/>
    <cellStyle name="Normal 5 4 2 3 4 4" xfId="11180" xr:uid="{2C38AB11-1621-4DDC-8A1C-55D0FD64D4ED}"/>
    <cellStyle name="Normal 5 4 2 3 4 5" xfId="19627" xr:uid="{87B38418-7257-4B34-9E3E-B7DF49FD6673}"/>
    <cellStyle name="Normal 5 4 2 3 4 6" xfId="28074" xr:uid="{1FA98918-4E02-4971-85CD-7C802B1194C3}"/>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17955" xr:uid="{C7BFCFD8-BD59-438B-9A3F-6FE5AF5FB948}"/>
    <cellStyle name="Normal 5 4 2 3 5 2 2 3" xfId="26402" xr:uid="{6813476C-C350-4DE0-8FF7-E94916A0E87D}"/>
    <cellStyle name="Normal 5 4 2 3 5 2 2 4" xfId="34849" xr:uid="{816BCC58-3ADD-43EA-931E-4EFDC5C6B99A}"/>
    <cellStyle name="Normal 5 4 2 3 5 2 3" xfId="13738" xr:uid="{524F1E19-A952-46AE-B410-DA1966CAE700}"/>
    <cellStyle name="Normal 5 4 2 3 5 2 4" xfId="22185" xr:uid="{4E6B5CD7-9FBC-4B32-8464-E4F7EC023421}"/>
    <cellStyle name="Normal 5 4 2 3 5 2 5" xfId="30632" xr:uid="{FC43B449-4FB6-4749-B6D6-8AAB45A24315}"/>
    <cellStyle name="Normal 5 4 2 3 5 3" xfId="6484" xr:uid="{00000000-0005-0000-0000-0000E71A0000}"/>
    <cellStyle name="Normal 5 4 2 3 5 3 2" xfId="15810" xr:uid="{DA4BFA96-DBC1-4AEA-9BCC-5C27BE977586}"/>
    <cellStyle name="Normal 5 4 2 3 5 3 3" xfId="24257" xr:uid="{B0D424B9-54FB-4112-8697-447002101EB9}"/>
    <cellStyle name="Normal 5 4 2 3 5 3 4" xfId="32704" xr:uid="{26A4DBBE-93E2-444C-93CA-4CA3A949F904}"/>
    <cellStyle name="Normal 5 4 2 3 5 4" xfId="11593" xr:uid="{77FF8CBB-7C94-4439-B02A-A0604C5806A7}"/>
    <cellStyle name="Normal 5 4 2 3 5 5" xfId="20040" xr:uid="{59C3D90A-3EAB-4F83-AE00-A4FC5792EF13}"/>
    <cellStyle name="Normal 5 4 2 3 5 6" xfId="28487" xr:uid="{0F3561AC-79CF-4EC2-9CFA-27473206F36C}"/>
    <cellStyle name="Normal 5 4 2 3 6" xfId="2614" xr:uid="{00000000-0005-0000-0000-0000E81A0000}"/>
    <cellStyle name="Normal 5 4 2 3 6 2" xfId="6897" xr:uid="{00000000-0005-0000-0000-0000E91A0000}"/>
    <cellStyle name="Normal 5 4 2 3 6 2 2" xfId="16223" xr:uid="{027DF2CC-090C-4281-ACC5-7501E98A72FE}"/>
    <cellStyle name="Normal 5 4 2 3 6 2 3" xfId="24670" xr:uid="{AA1DF461-9576-4116-9CD3-4BC48AD79A17}"/>
    <cellStyle name="Normal 5 4 2 3 6 2 4" xfId="33117" xr:uid="{4B854469-68C4-4D99-BE7A-C88DF199F019}"/>
    <cellStyle name="Normal 5 4 2 3 6 3" xfId="12006" xr:uid="{8734711E-61D5-46DD-A026-404C87BFF3F4}"/>
    <cellStyle name="Normal 5 4 2 3 6 4" xfId="20453" xr:uid="{BCA72E8A-B47A-47A4-AB01-2848C7069FCD}"/>
    <cellStyle name="Normal 5 4 2 3 6 5" xfId="28900" xr:uid="{8C14E733-155F-4A65-9932-D5674FB049F9}"/>
    <cellStyle name="Normal 5 4 2 3 7" xfId="4832" xr:uid="{00000000-0005-0000-0000-0000EA1A0000}"/>
    <cellStyle name="Normal 5 4 2 3 7 2" xfId="14158" xr:uid="{17113B52-B165-4A96-A1D5-6F652B6DACDB}"/>
    <cellStyle name="Normal 5 4 2 3 7 3" xfId="22605" xr:uid="{22688438-F95B-44FB-B597-072705E5481E}"/>
    <cellStyle name="Normal 5 4 2 3 7 4" xfId="31052" xr:uid="{7B83130F-1AC1-4971-8350-DE85EB74AEED}"/>
    <cellStyle name="Normal 5 4 2 3 8" xfId="9040" xr:uid="{D68CAB17-BB41-4D9B-AA76-76FE511392DC}"/>
    <cellStyle name="Normal 5 4 2 3 9" xfId="9941" xr:uid="{64DBD77B-FCCD-43DC-B0D2-A2A6DC1011B7}"/>
    <cellStyle name="Normal 5 4 2 4" xfId="931" xr:uid="{00000000-0005-0000-0000-0000EB1A0000}"/>
    <cellStyle name="Normal 5 4 2 4 2" xfId="3165" xr:uid="{00000000-0005-0000-0000-0000EC1A0000}"/>
    <cellStyle name="Normal 5 4 2 4 2 2" xfId="7387" xr:uid="{00000000-0005-0000-0000-0000ED1A0000}"/>
    <cellStyle name="Normal 5 4 2 4 2 2 2" xfId="16713" xr:uid="{2ABB7B74-A8B3-4439-A8B5-166A8D674273}"/>
    <cellStyle name="Normal 5 4 2 4 2 2 3" xfId="25160" xr:uid="{AB0655A6-505A-430E-B7DE-CA26338E418B}"/>
    <cellStyle name="Normal 5 4 2 4 2 2 4" xfId="33607" xr:uid="{0A6457BB-F0A9-4CF5-AC67-4BEC683C9F35}"/>
    <cellStyle name="Normal 5 4 2 4 2 3" xfId="12496" xr:uid="{05C7CC74-3A96-4C9C-BAF3-9B812E16E141}"/>
    <cellStyle name="Normal 5 4 2 4 2 4" xfId="20943" xr:uid="{BE57D83F-4C78-4886-9321-64FFA4E1B783}"/>
    <cellStyle name="Normal 5 4 2 4 2 5" xfId="29390" xr:uid="{200D547C-01DE-47C5-9616-9658C7C09E3D}"/>
    <cellStyle name="Normal 5 4 2 4 3" xfId="5242" xr:uid="{00000000-0005-0000-0000-0000EE1A0000}"/>
    <cellStyle name="Normal 5 4 2 4 3 2" xfId="14568" xr:uid="{6BE2FF16-CB21-4A3C-8CDA-3FEA0F4FC43F}"/>
    <cellStyle name="Normal 5 4 2 4 3 3" xfId="23015" xr:uid="{70180461-19DD-4E65-BE6D-0C79ECA5B060}"/>
    <cellStyle name="Normal 5 4 2 4 3 4" xfId="31462" xr:uid="{111837D7-913B-4B4C-8797-CDC1610400B9}"/>
    <cellStyle name="Normal 5 4 2 4 4" xfId="9258" xr:uid="{971C48A9-8200-405B-A9BE-B3AFD2CDDA76}"/>
    <cellStyle name="Normal 5 4 2 4 5" xfId="10351" xr:uid="{C989F40E-EBD1-4202-B73B-2C1CFB9E13BC}"/>
    <cellStyle name="Normal 5 4 2 4 6" xfId="18798" xr:uid="{8DC4E2AC-234B-4AC0-B3B2-0EA7FB2F7386}"/>
    <cellStyle name="Normal 5 4 2 4 7" xfId="27245" xr:uid="{739A5612-B80A-4E60-99F1-CC21F069D67C}"/>
    <cellStyle name="Normal 5 4 2 5" xfId="1348" xr:uid="{00000000-0005-0000-0000-0000EF1A0000}"/>
    <cellStyle name="Normal 5 4 2 5 2" xfId="3578" xr:uid="{00000000-0005-0000-0000-0000F01A0000}"/>
    <cellStyle name="Normal 5 4 2 5 2 2" xfId="7800" xr:uid="{00000000-0005-0000-0000-0000F11A0000}"/>
    <cellStyle name="Normal 5 4 2 5 2 2 2" xfId="17126" xr:uid="{964A098F-8EBA-4DE1-9109-91A4D2FC501F}"/>
    <cellStyle name="Normal 5 4 2 5 2 2 3" xfId="25573" xr:uid="{ADCE6638-83DB-4B15-B590-15045CCE96E2}"/>
    <cellStyle name="Normal 5 4 2 5 2 2 4" xfId="34020" xr:uid="{BDEE2207-06B0-46E6-8B76-758BB30B92CE}"/>
    <cellStyle name="Normal 5 4 2 5 2 3" xfId="12909" xr:uid="{01CA5F89-9452-4C0D-95AF-6109234B4D39}"/>
    <cellStyle name="Normal 5 4 2 5 2 4" xfId="21356" xr:uid="{49CDAE5F-6BD6-4AA8-8A10-BB4350312E7A}"/>
    <cellStyle name="Normal 5 4 2 5 2 5" xfId="29803" xr:uid="{3F46FF81-80C0-4516-BDA4-46528E5A5F40}"/>
    <cellStyle name="Normal 5 4 2 5 3" xfId="5655" xr:uid="{00000000-0005-0000-0000-0000F21A0000}"/>
    <cellStyle name="Normal 5 4 2 5 3 2" xfId="14981" xr:uid="{34D1E815-9113-4DBD-A03A-1321193AAAC7}"/>
    <cellStyle name="Normal 5 4 2 5 3 3" xfId="23428" xr:uid="{AB369588-27CC-4515-9D0D-8CCC470D1287}"/>
    <cellStyle name="Normal 5 4 2 5 3 4" xfId="31875" xr:uid="{D3AE6FC9-7B19-4E32-ABDE-D4E1790B6B99}"/>
    <cellStyle name="Normal 5 4 2 5 4" xfId="10764" xr:uid="{40AF1CE5-9BA2-4A23-A36C-F55E38B3B003}"/>
    <cellStyle name="Normal 5 4 2 5 5" xfId="19211" xr:uid="{0F559090-9159-4AEB-A8AF-8E127A9514E2}"/>
    <cellStyle name="Normal 5 4 2 5 6" xfId="27658" xr:uid="{A7ED99E0-9369-4391-8F20-AB17F560F4CF}"/>
    <cellStyle name="Normal 5 4 2 6" xfId="1761" xr:uid="{00000000-0005-0000-0000-0000F31A0000}"/>
    <cellStyle name="Normal 5 4 2 6 2" xfId="3991" xr:uid="{00000000-0005-0000-0000-0000F41A0000}"/>
    <cellStyle name="Normal 5 4 2 6 2 2" xfId="8213" xr:uid="{00000000-0005-0000-0000-0000F51A0000}"/>
    <cellStyle name="Normal 5 4 2 6 2 2 2" xfId="17539" xr:uid="{7063E5F6-B6F2-4A04-ADD7-060F7A222936}"/>
    <cellStyle name="Normal 5 4 2 6 2 2 3" xfId="25986" xr:uid="{E521773E-7D40-463C-88FD-370B8F7BF84C}"/>
    <cellStyle name="Normal 5 4 2 6 2 2 4" xfId="34433" xr:uid="{732AC1AF-1E5A-4ED4-AFEA-3D6AD80756CF}"/>
    <cellStyle name="Normal 5 4 2 6 2 3" xfId="13322" xr:uid="{BC6BA87E-C53D-4B84-9D5B-BAB72764DBD7}"/>
    <cellStyle name="Normal 5 4 2 6 2 4" xfId="21769" xr:uid="{B275A0DF-C2C9-4DCF-8FA2-29FB1678057F}"/>
    <cellStyle name="Normal 5 4 2 6 2 5" xfId="30216" xr:uid="{00A833AA-313F-4D2F-8AE1-B3D7E057F366}"/>
    <cellStyle name="Normal 5 4 2 6 3" xfId="6068" xr:uid="{00000000-0005-0000-0000-0000F61A0000}"/>
    <cellStyle name="Normal 5 4 2 6 3 2" xfId="15394" xr:uid="{BBAA6DD9-5266-4144-87C7-8F9DB2EEAADB}"/>
    <cellStyle name="Normal 5 4 2 6 3 3" xfId="23841" xr:uid="{DAEF5B86-0219-4CBC-BCF2-B71DAE41B914}"/>
    <cellStyle name="Normal 5 4 2 6 3 4" xfId="32288" xr:uid="{ADAC6755-6175-4ABA-8FD6-D0B18FC56092}"/>
    <cellStyle name="Normal 5 4 2 6 4" xfId="11177" xr:uid="{8B7D8FBD-BAAB-42FF-8F9A-572F72E8F336}"/>
    <cellStyle name="Normal 5 4 2 6 5" xfId="19624" xr:uid="{BA74D34E-1D15-4B4E-9A0B-C3510EA33A91}"/>
    <cellStyle name="Normal 5 4 2 6 6" xfId="28071" xr:uid="{B0EEE34A-EDB3-41DD-B9D4-D5C14068D4B7}"/>
    <cellStyle name="Normal 5 4 2 7" xfId="2175" xr:uid="{00000000-0005-0000-0000-0000F71A0000}"/>
    <cellStyle name="Normal 5 4 2 7 2" xfId="4404" xr:uid="{00000000-0005-0000-0000-0000F81A0000}"/>
    <cellStyle name="Normal 5 4 2 7 2 2" xfId="8626" xr:uid="{00000000-0005-0000-0000-0000F91A0000}"/>
    <cellStyle name="Normal 5 4 2 7 2 2 2" xfId="17952" xr:uid="{DAF5C3EC-4675-4915-8113-37A02C04EF70}"/>
    <cellStyle name="Normal 5 4 2 7 2 2 3" xfId="26399" xr:uid="{253492FA-6C50-4890-9145-DEFE5A33FF62}"/>
    <cellStyle name="Normal 5 4 2 7 2 2 4" xfId="34846" xr:uid="{15081E1D-E7B1-4941-A85A-C1381F7F975E}"/>
    <cellStyle name="Normal 5 4 2 7 2 3" xfId="13735" xr:uid="{A8A9A0B8-1AE3-4EA4-9B46-DA377A63E746}"/>
    <cellStyle name="Normal 5 4 2 7 2 4" xfId="22182" xr:uid="{148C92DB-AC60-4E15-872B-20846E335F3C}"/>
    <cellStyle name="Normal 5 4 2 7 2 5" xfId="30629" xr:uid="{7502A414-A89C-4450-8C14-5D93D1E378BC}"/>
    <cellStyle name="Normal 5 4 2 7 3" xfId="6481" xr:uid="{00000000-0005-0000-0000-0000FA1A0000}"/>
    <cellStyle name="Normal 5 4 2 7 3 2" xfId="15807" xr:uid="{A75A6A75-D537-44C1-A53B-3FA09B25D283}"/>
    <cellStyle name="Normal 5 4 2 7 3 3" xfId="24254" xr:uid="{D05CB006-FDC2-417E-95F4-4D5D4301518E}"/>
    <cellStyle name="Normal 5 4 2 7 3 4" xfId="32701" xr:uid="{8E76A95A-FDBE-4B5B-98BA-008527A4341B}"/>
    <cellStyle name="Normal 5 4 2 7 4" xfId="11590" xr:uid="{DB688B70-C69D-4890-A1FD-B4552463B07B}"/>
    <cellStyle name="Normal 5 4 2 7 5" xfId="20037" xr:uid="{6F30BC95-26A4-409B-B54A-28E37C846F70}"/>
    <cellStyle name="Normal 5 4 2 7 6" xfId="28484" xr:uid="{2BDF0234-E034-4AEC-8D2D-A74612BBB2D5}"/>
    <cellStyle name="Normal 5 4 2 8" xfId="2611" xr:uid="{00000000-0005-0000-0000-0000FB1A0000}"/>
    <cellStyle name="Normal 5 4 2 8 2" xfId="6894" xr:uid="{00000000-0005-0000-0000-0000FC1A0000}"/>
    <cellStyle name="Normal 5 4 2 8 2 2" xfId="16220" xr:uid="{6AEB3C54-70D0-4315-97C1-419E697388BE}"/>
    <cellStyle name="Normal 5 4 2 8 2 3" xfId="24667" xr:uid="{A7177BA1-E75F-4848-AC97-6DEC1A9FE63F}"/>
    <cellStyle name="Normal 5 4 2 8 2 4" xfId="33114" xr:uid="{75BE6589-50A7-404C-AC8F-B052414AC6B1}"/>
    <cellStyle name="Normal 5 4 2 8 3" xfId="12003" xr:uid="{5F819E0B-8014-47AE-B595-47A7C5974E9B}"/>
    <cellStyle name="Normal 5 4 2 8 4" xfId="20450" xr:uid="{D50FA6A7-F361-4D21-9D22-00F9F27F806C}"/>
    <cellStyle name="Normal 5 4 2 8 5" xfId="28897" xr:uid="{431AC6DE-2A5B-46C0-A204-112C40D6FEED}"/>
    <cellStyle name="Normal 5 4 2 9" xfId="4829" xr:uid="{00000000-0005-0000-0000-0000FD1A0000}"/>
    <cellStyle name="Normal 5 4 2 9 2" xfId="14155" xr:uid="{BCA84314-B5E7-483F-8BA3-29C997053362}"/>
    <cellStyle name="Normal 5 4 2 9 3" xfId="22602" xr:uid="{7BFA3589-B87E-4812-B9E7-256615E4B5E5}"/>
    <cellStyle name="Normal 5 4 2 9 4" xfId="31049" xr:uid="{2E4745BF-539C-48B5-B0A4-1C6BA32AB62E}"/>
    <cellStyle name="Normal 5 4 3" xfId="461" xr:uid="{00000000-0005-0000-0000-0000FE1A0000}"/>
    <cellStyle name="Normal 5 4 3 10" xfId="9942" xr:uid="{A40864DA-363B-4125-A092-6AEBDDE0BE88}"/>
    <cellStyle name="Normal 5 4 3 11" xfId="18389" xr:uid="{8040C29A-F33B-40A9-BF9F-8B747A8B297F}"/>
    <cellStyle name="Normal 5 4 3 12" xfId="26836" xr:uid="{DA746B54-5418-44D3-ADBE-F1A7116D7871}"/>
    <cellStyle name="Normal 5 4 3 2" xfId="462" xr:uid="{00000000-0005-0000-0000-0000FF1A0000}"/>
    <cellStyle name="Normal 5 4 3 2 10" xfId="18390" xr:uid="{0220CFA6-1D5F-44A9-B207-5127C6BA86E0}"/>
    <cellStyle name="Normal 5 4 3 2 11" xfId="26837" xr:uid="{73551D06-3D13-4BF1-893A-1A5137EDF9AA}"/>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16718" xr:uid="{D8BAD7EC-BCE0-4FA5-B07B-8060EE335E7B}"/>
    <cellStyle name="Normal 5 4 3 2 2 2 2 3" xfId="25165" xr:uid="{CC4663D2-A4E2-4765-810C-E416EF9CF32D}"/>
    <cellStyle name="Normal 5 4 3 2 2 2 2 4" xfId="33612" xr:uid="{88E3AB59-471B-4977-B6DC-1742E5C4AE93}"/>
    <cellStyle name="Normal 5 4 3 2 2 2 3" xfId="12501" xr:uid="{CBA5E0F7-5357-4E3D-AE81-22B63B16D728}"/>
    <cellStyle name="Normal 5 4 3 2 2 2 4" xfId="20948" xr:uid="{36DFD9E5-D023-42FA-8C0A-EDCB73D39AB6}"/>
    <cellStyle name="Normal 5 4 3 2 2 2 5" xfId="29395" xr:uid="{9DB803B9-79D0-46D6-8C51-F5A8310F0514}"/>
    <cellStyle name="Normal 5 4 3 2 2 3" xfId="5247" xr:uid="{00000000-0005-0000-0000-0000031B0000}"/>
    <cellStyle name="Normal 5 4 3 2 2 3 2" xfId="14573" xr:uid="{6F6B9044-9D55-4A20-86D5-92927FF2520D}"/>
    <cellStyle name="Normal 5 4 3 2 2 3 3" xfId="23020" xr:uid="{517DB258-1869-4849-8796-C5A4467F0A64}"/>
    <cellStyle name="Normal 5 4 3 2 2 3 4" xfId="31467" xr:uid="{5543C8D1-C878-4558-9AE4-EE7BF133A15A}"/>
    <cellStyle name="Normal 5 4 3 2 2 4" xfId="9508" xr:uid="{1F9B5A8F-2A45-43C5-9422-E8BC84424A55}"/>
    <cellStyle name="Normal 5 4 3 2 2 5" xfId="10356" xr:uid="{A02A2123-D730-4639-B7F6-97C5114DC83D}"/>
    <cellStyle name="Normal 5 4 3 2 2 6" xfId="18803" xr:uid="{5375347C-B9C2-4F6E-A841-7CA632F90820}"/>
    <cellStyle name="Normal 5 4 3 2 2 7" xfId="27250" xr:uid="{0AFC6303-4E69-4F17-AC82-C4B5CD4F2137}"/>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17131" xr:uid="{F398CDF4-78EF-4D63-BC5A-ECD54A318943}"/>
    <cellStyle name="Normal 5 4 3 2 3 2 2 3" xfId="25578" xr:uid="{8CBDE297-6151-4B07-8905-1542A7FD6253}"/>
    <cellStyle name="Normal 5 4 3 2 3 2 2 4" xfId="34025" xr:uid="{2DDC834C-675D-4A38-9054-A305D305DD8F}"/>
    <cellStyle name="Normal 5 4 3 2 3 2 3" xfId="12914" xr:uid="{B8624B1E-5747-4407-9064-8956FFFFC948}"/>
    <cellStyle name="Normal 5 4 3 2 3 2 4" xfId="21361" xr:uid="{ADC5CB71-D4DD-495E-A5F4-3A375FEDE61F}"/>
    <cellStyle name="Normal 5 4 3 2 3 2 5" xfId="29808" xr:uid="{A586EAC2-A4DF-47EB-BF88-ED4F68CBFC09}"/>
    <cellStyle name="Normal 5 4 3 2 3 3" xfId="5660" xr:uid="{00000000-0005-0000-0000-0000071B0000}"/>
    <cellStyle name="Normal 5 4 3 2 3 3 2" xfId="14986" xr:uid="{65158B91-11B5-4B89-A644-EBD6969B0E97}"/>
    <cellStyle name="Normal 5 4 3 2 3 3 3" xfId="23433" xr:uid="{50E7959A-DD90-4C6D-812D-0AACC83D3A40}"/>
    <cellStyle name="Normal 5 4 3 2 3 3 4" xfId="31880" xr:uid="{98CFD019-1956-43B8-9B6A-F73FF9B9B9E3}"/>
    <cellStyle name="Normal 5 4 3 2 3 4" xfId="10769" xr:uid="{404ED7B2-13CF-46E5-85EE-8E2967B8FEC4}"/>
    <cellStyle name="Normal 5 4 3 2 3 5" xfId="19216" xr:uid="{18A7965C-1950-43F3-8368-B73CC402720C}"/>
    <cellStyle name="Normal 5 4 3 2 3 6" xfId="27663" xr:uid="{71C2E942-5D5B-4A0F-BBE1-AAA3DE69F029}"/>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17544" xr:uid="{C8B2ABBF-39BC-43AA-AC95-0AEE4CF8C708}"/>
    <cellStyle name="Normal 5 4 3 2 4 2 2 3" xfId="25991" xr:uid="{90380C09-A1C8-4FE9-9742-C2880D43ECFF}"/>
    <cellStyle name="Normal 5 4 3 2 4 2 2 4" xfId="34438" xr:uid="{613DD6FE-5BFF-47E0-8D9E-B8C23EA17131}"/>
    <cellStyle name="Normal 5 4 3 2 4 2 3" xfId="13327" xr:uid="{4BCC15B2-7366-4E82-9EBA-C5C6955B8AA8}"/>
    <cellStyle name="Normal 5 4 3 2 4 2 4" xfId="21774" xr:uid="{FBDF944F-67EA-422B-BCCD-F385B32110E9}"/>
    <cellStyle name="Normal 5 4 3 2 4 2 5" xfId="30221" xr:uid="{9C6AB8A3-5624-42F8-88F3-7108BF93D7A2}"/>
    <cellStyle name="Normal 5 4 3 2 4 3" xfId="6073" xr:uid="{00000000-0005-0000-0000-00000B1B0000}"/>
    <cellStyle name="Normal 5 4 3 2 4 3 2" xfId="15399" xr:uid="{17B3EF2A-E57F-4DA3-B42E-2DF2471EF393}"/>
    <cellStyle name="Normal 5 4 3 2 4 3 3" xfId="23846" xr:uid="{34513745-30DE-4E10-B9C4-445DCAFE8791}"/>
    <cellStyle name="Normal 5 4 3 2 4 3 4" xfId="32293" xr:uid="{A1EC81CF-EFF5-47CB-B8A2-03ED9CD33E15}"/>
    <cellStyle name="Normal 5 4 3 2 4 4" xfId="11182" xr:uid="{56BF6E6B-3A94-4949-8BB7-A223188444FD}"/>
    <cellStyle name="Normal 5 4 3 2 4 5" xfId="19629" xr:uid="{0AD2FD31-12A5-4C7D-A211-99C819214178}"/>
    <cellStyle name="Normal 5 4 3 2 4 6" xfId="28076" xr:uid="{E89E0A44-EFDD-43B7-8207-C6C78FDF3527}"/>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17957" xr:uid="{5199582E-EF0B-4F38-B8A2-0C08D8BD009A}"/>
    <cellStyle name="Normal 5 4 3 2 5 2 2 3" xfId="26404" xr:uid="{B5A11C6D-4489-466B-971E-BD53C571721A}"/>
    <cellStyle name="Normal 5 4 3 2 5 2 2 4" xfId="34851" xr:uid="{35D8C3F7-801E-43FE-A5A9-2D35616B108E}"/>
    <cellStyle name="Normal 5 4 3 2 5 2 3" xfId="13740" xr:uid="{30B46F17-29F8-42E7-A46D-7ADBA7486677}"/>
    <cellStyle name="Normal 5 4 3 2 5 2 4" xfId="22187" xr:uid="{187FE13C-4644-4DF4-82BE-3A3364E41058}"/>
    <cellStyle name="Normal 5 4 3 2 5 2 5" xfId="30634" xr:uid="{A44A506F-F092-47A0-8644-EBEDBFC46F98}"/>
    <cellStyle name="Normal 5 4 3 2 5 3" xfId="6486" xr:uid="{00000000-0005-0000-0000-00000F1B0000}"/>
    <cellStyle name="Normal 5 4 3 2 5 3 2" xfId="15812" xr:uid="{82F3CE29-1FFA-4C31-88C5-17EC9F1E6E00}"/>
    <cellStyle name="Normal 5 4 3 2 5 3 3" xfId="24259" xr:uid="{81AF4B94-6C72-433B-9A8D-2BD07074F1F0}"/>
    <cellStyle name="Normal 5 4 3 2 5 3 4" xfId="32706" xr:uid="{08E187E0-7B0E-4C20-A6E8-63BE0B7BB1DC}"/>
    <cellStyle name="Normal 5 4 3 2 5 4" xfId="11595" xr:uid="{8A790B33-CD28-477A-928B-FEE6B982FD06}"/>
    <cellStyle name="Normal 5 4 3 2 5 5" xfId="20042" xr:uid="{76E44A00-2D75-440C-A971-8B7911CB213B}"/>
    <cellStyle name="Normal 5 4 3 2 5 6" xfId="28489" xr:uid="{3EBBB689-C438-4AC3-9B6F-C960E8341AA4}"/>
    <cellStyle name="Normal 5 4 3 2 6" xfId="2616" xr:uid="{00000000-0005-0000-0000-0000101B0000}"/>
    <cellStyle name="Normal 5 4 3 2 6 2" xfId="6899" xr:uid="{00000000-0005-0000-0000-0000111B0000}"/>
    <cellStyle name="Normal 5 4 3 2 6 2 2" xfId="16225" xr:uid="{6F69B8C7-0290-48BB-B319-2AD25CED2E33}"/>
    <cellStyle name="Normal 5 4 3 2 6 2 3" xfId="24672" xr:uid="{B117982A-0243-4E1C-B8EC-2860C61EF67F}"/>
    <cellStyle name="Normal 5 4 3 2 6 2 4" xfId="33119" xr:uid="{1A778F5B-7665-4C45-9B91-804FF439A287}"/>
    <cellStyle name="Normal 5 4 3 2 6 3" xfId="12008" xr:uid="{336BAAFE-EEA2-484B-894D-1C5F93F6FF1A}"/>
    <cellStyle name="Normal 5 4 3 2 6 4" xfId="20455" xr:uid="{5F3DF83C-5F2E-4A36-A763-D08E315B9D9F}"/>
    <cellStyle name="Normal 5 4 3 2 6 5" xfId="28902" xr:uid="{7B8ECAA3-4C71-44AD-AAD3-71E1193F3075}"/>
    <cellStyle name="Normal 5 4 3 2 7" xfId="4834" xr:uid="{00000000-0005-0000-0000-0000121B0000}"/>
    <cellStyle name="Normal 5 4 3 2 7 2" xfId="14160" xr:uid="{D9C46A33-0AFE-417C-B1B8-A971516F0C63}"/>
    <cellStyle name="Normal 5 4 3 2 7 3" xfId="22607" xr:uid="{5891E12D-8177-4B1B-94ED-DB4F3EFB1888}"/>
    <cellStyle name="Normal 5 4 3 2 7 4" xfId="31054" xr:uid="{1A3995D6-2867-4BED-A21B-E5208E73574A}"/>
    <cellStyle name="Normal 5 4 3 2 8" xfId="9083" xr:uid="{206384C8-6AD8-4D28-8F99-3033A80D68FC}"/>
    <cellStyle name="Normal 5 4 3 2 9" xfId="9943" xr:uid="{1A0185BF-6006-4F70-BC94-EBC9F616634E}"/>
    <cellStyle name="Normal 5 4 3 3" xfId="935" xr:uid="{00000000-0005-0000-0000-0000131B0000}"/>
    <cellStyle name="Normal 5 4 3 3 2" xfId="3169" xr:uid="{00000000-0005-0000-0000-0000141B0000}"/>
    <cellStyle name="Normal 5 4 3 3 2 2" xfId="7391" xr:uid="{00000000-0005-0000-0000-0000151B0000}"/>
    <cellStyle name="Normal 5 4 3 3 2 2 2" xfId="16717" xr:uid="{086E273B-A9D4-4CFC-A2E3-C315C023C9F7}"/>
    <cellStyle name="Normal 5 4 3 3 2 2 3" xfId="25164" xr:uid="{0399A05B-24F8-4156-857A-A7350F2B2720}"/>
    <cellStyle name="Normal 5 4 3 3 2 2 4" xfId="33611" xr:uid="{1BA7496B-223D-455E-83F8-5F46C9797BAA}"/>
    <cellStyle name="Normal 5 4 3 3 2 3" xfId="12500" xr:uid="{64F87765-44E6-481A-A037-40F2C7FFF9E9}"/>
    <cellStyle name="Normal 5 4 3 3 2 4" xfId="20947" xr:uid="{1A2740C0-DD86-4894-B2DC-2C0B52F834B0}"/>
    <cellStyle name="Normal 5 4 3 3 2 5" xfId="29394" xr:uid="{57C6B363-99C5-4576-B13D-4B4EBB79DFC7}"/>
    <cellStyle name="Normal 5 4 3 3 3" xfId="5246" xr:uid="{00000000-0005-0000-0000-0000161B0000}"/>
    <cellStyle name="Normal 5 4 3 3 3 2" xfId="14572" xr:uid="{4223E83B-C597-4516-BF61-5F88B70929F4}"/>
    <cellStyle name="Normal 5 4 3 3 3 3" xfId="23019" xr:uid="{69F72356-F74C-4D80-BA37-3FF4F835C93D}"/>
    <cellStyle name="Normal 5 4 3 3 3 4" xfId="31466" xr:uid="{3206A2BB-AA44-4B64-AB7C-F8DF6B0AA40E}"/>
    <cellStyle name="Normal 5 4 3 3 4" xfId="9301" xr:uid="{CB02BBE7-2E3D-4C67-A62E-BA84DE882039}"/>
    <cellStyle name="Normal 5 4 3 3 5" xfId="10355" xr:uid="{1D033BB7-4FEC-4093-904F-647984CF96CF}"/>
    <cellStyle name="Normal 5 4 3 3 6" xfId="18802" xr:uid="{F77F8BA5-987E-4F24-9C12-3E74CA82352B}"/>
    <cellStyle name="Normal 5 4 3 3 7" xfId="27249" xr:uid="{0DDBCD0B-25E5-4EDA-AAC7-FE8C75E3D489}"/>
    <cellStyle name="Normal 5 4 3 4" xfId="1352" xr:uid="{00000000-0005-0000-0000-0000171B0000}"/>
    <cellStyle name="Normal 5 4 3 4 2" xfId="3582" xr:uid="{00000000-0005-0000-0000-0000181B0000}"/>
    <cellStyle name="Normal 5 4 3 4 2 2" xfId="7804" xr:uid="{00000000-0005-0000-0000-0000191B0000}"/>
    <cellStyle name="Normal 5 4 3 4 2 2 2" xfId="17130" xr:uid="{1F444867-80D3-4BD8-9F3E-E37D6726AE3A}"/>
    <cellStyle name="Normal 5 4 3 4 2 2 3" xfId="25577" xr:uid="{91649465-711C-4DE7-8B64-849B813112A9}"/>
    <cellStyle name="Normal 5 4 3 4 2 2 4" xfId="34024" xr:uid="{ED8F7014-A66B-429B-8BBB-488FAA914F19}"/>
    <cellStyle name="Normal 5 4 3 4 2 3" xfId="12913" xr:uid="{356D17CA-A5AE-4168-B8F2-BE150AE288D9}"/>
    <cellStyle name="Normal 5 4 3 4 2 4" xfId="21360" xr:uid="{65984F1E-92EA-4E66-A419-A45817CC1F73}"/>
    <cellStyle name="Normal 5 4 3 4 2 5" xfId="29807" xr:uid="{EC7D546C-2FD5-48A8-8A70-392C8246FF7A}"/>
    <cellStyle name="Normal 5 4 3 4 3" xfId="5659" xr:uid="{00000000-0005-0000-0000-00001A1B0000}"/>
    <cellStyle name="Normal 5 4 3 4 3 2" xfId="14985" xr:uid="{F9869AA4-1264-4089-9364-B97797E47CC8}"/>
    <cellStyle name="Normal 5 4 3 4 3 3" xfId="23432" xr:uid="{E062BD89-5D15-4C4C-8520-54785B5EB83D}"/>
    <cellStyle name="Normal 5 4 3 4 3 4" xfId="31879" xr:uid="{B0B8FCB3-B1E7-43DB-837C-A5B82691418F}"/>
    <cellStyle name="Normal 5 4 3 4 4" xfId="10768" xr:uid="{850F48B1-D277-4B97-BC67-7AA89AB2E3D6}"/>
    <cellStyle name="Normal 5 4 3 4 5" xfId="19215" xr:uid="{16B3B7B1-8738-4EE9-8338-D457C15AD821}"/>
    <cellStyle name="Normal 5 4 3 4 6" xfId="27662" xr:uid="{FEE0D568-BF6B-476B-9D6B-47E80FEC1810}"/>
    <cellStyle name="Normal 5 4 3 5" xfId="1765" xr:uid="{00000000-0005-0000-0000-00001B1B0000}"/>
    <cellStyle name="Normal 5 4 3 5 2" xfId="3995" xr:uid="{00000000-0005-0000-0000-00001C1B0000}"/>
    <cellStyle name="Normal 5 4 3 5 2 2" xfId="8217" xr:uid="{00000000-0005-0000-0000-00001D1B0000}"/>
    <cellStyle name="Normal 5 4 3 5 2 2 2" xfId="17543" xr:uid="{5A1D2D92-77E6-4A3B-B019-BA383DFBCDB5}"/>
    <cellStyle name="Normal 5 4 3 5 2 2 3" xfId="25990" xr:uid="{B33F3DBF-09B0-4E3B-B511-E4CF695C2F8B}"/>
    <cellStyle name="Normal 5 4 3 5 2 2 4" xfId="34437" xr:uid="{A39D8ACD-4C65-433D-9009-1C7F845EDD90}"/>
    <cellStyle name="Normal 5 4 3 5 2 3" xfId="13326" xr:uid="{D33884C7-6A3A-4DE7-9B59-70B6ACCC91A5}"/>
    <cellStyle name="Normal 5 4 3 5 2 4" xfId="21773" xr:uid="{9F511F35-B725-4D1F-9654-41726CB8579A}"/>
    <cellStyle name="Normal 5 4 3 5 2 5" xfId="30220" xr:uid="{EFDB3B18-A1ED-4F97-883B-262AE7B15F61}"/>
    <cellStyle name="Normal 5 4 3 5 3" xfId="6072" xr:uid="{00000000-0005-0000-0000-00001E1B0000}"/>
    <cellStyle name="Normal 5 4 3 5 3 2" xfId="15398" xr:uid="{95E6B4DE-4D29-4EAE-A71B-4AC0F22811A8}"/>
    <cellStyle name="Normal 5 4 3 5 3 3" xfId="23845" xr:uid="{DE211285-E1ED-47CF-98F0-7E9346E0FB5B}"/>
    <cellStyle name="Normal 5 4 3 5 3 4" xfId="32292" xr:uid="{27D3E5E6-B268-417F-85AE-DA932D5B7C82}"/>
    <cellStyle name="Normal 5 4 3 5 4" xfId="11181" xr:uid="{90D9502C-2B68-4297-A794-3DE3D14FAD8A}"/>
    <cellStyle name="Normal 5 4 3 5 5" xfId="19628" xr:uid="{A2BC2ABA-A484-42DD-8627-929512A71181}"/>
    <cellStyle name="Normal 5 4 3 5 6" xfId="28075" xr:uid="{55C58C18-09F6-481D-9473-BE6B7FD4AD8F}"/>
    <cellStyle name="Normal 5 4 3 6" xfId="2179" xr:uid="{00000000-0005-0000-0000-00001F1B0000}"/>
    <cellStyle name="Normal 5 4 3 6 2" xfId="4408" xr:uid="{00000000-0005-0000-0000-0000201B0000}"/>
    <cellStyle name="Normal 5 4 3 6 2 2" xfId="8630" xr:uid="{00000000-0005-0000-0000-0000211B0000}"/>
    <cellStyle name="Normal 5 4 3 6 2 2 2" xfId="17956" xr:uid="{A3056088-AAA7-4251-9286-4CB57DA4A108}"/>
    <cellStyle name="Normal 5 4 3 6 2 2 3" xfId="26403" xr:uid="{AFF224A1-E099-42B0-8666-AE133C2648BC}"/>
    <cellStyle name="Normal 5 4 3 6 2 2 4" xfId="34850" xr:uid="{C1F7B73B-EF18-4206-AD53-B3123FBA0897}"/>
    <cellStyle name="Normal 5 4 3 6 2 3" xfId="13739" xr:uid="{96246D4E-A3CE-4284-A2E1-11A6FE02F37D}"/>
    <cellStyle name="Normal 5 4 3 6 2 4" xfId="22186" xr:uid="{2EAE6628-171C-40C0-852E-C606F240F792}"/>
    <cellStyle name="Normal 5 4 3 6 2 5" xfId="30633" xr:uid="{0BD64578-D61A-492D-A01C-550F8E8E1C85}"/>
    <cellStyle name="Normal 5 4 3 6 3" xfId="6485" xr:uid="{00000000-0005-0000-0000-0000221B0000}"/>
    <cellStyle name="Normal 5 4 3 6 3 2" xfId="15811" xr:uid="{59E77D30-D024-458D-8F61-5E7B4CCE09F2}"/>
    <cellStyle name="Normal 5 4 3 6 3 3" xfId="24258" xr:uid="{234F4421-3C22-4450-A67E-A01C8F2263F7}"/>
    <cellStyle name="Normal 5 4 3 6 3 4" xfId="32705" xr:uid="{0BE81F13-865E-4A68-BCDE-BB407E040A59}"/>
    <cellStyle name="Normal 5 4 3 6 4" xfId="11594" xr:uid="{8253D3C5-624B-4062-9F1B-F4EE2A56BB64}"/>
    <cellStyle name="Normal 5 4 3 6 5" xfId="20041" xr:uid="{BB588E79-D6EE-435B-A0CC-F4C7C9DC7424}"/>
    <cellStyle name="Normal 5 4 3 6 6" xfId="28488" xr:uid="{90EC7372-DC1F-42D9-9042-D7960113D528}"/>
    <cellStyle name="Normal 5 4 3 7" xfId="2615" xr:uid="{00000000-0005-0000-0000-0000231B0000}"/>
    <cellStyle name="Normal 5 4 3 7 2" xfId="6898" xr:uid="{00000000-0005-0000-0000-0000241B0000}"/>
    <cellStyle name="Normal 5 4 3 7 2 2" xfId="16224" xr:uid="{052E0A0B-561B-4E98-B0C1-6631C4A06050}"/>
    <cellStyle name="Normal 5 4 3 7 2 3" xfId="24671" xr:uid="{0DE3F87F-6776-4D61-8C15-B3CCADCD80D0}"/>
    <cellStyle name="Normal 5 4 3 7 2 4" xfId="33118" xr:uid="{B7DCC369-6301-4EAF-92BE-1F9503832C47}"/>
    <cellStyle name="Normal 5 4 3 7 3" xfId="12007" xr:uid="{6CAFE8FF-FEB0-453C-AFDF-A5D01D7E1711}"/>
    <cellStyle name="Normal 5 4 3 7 4" xfId="20454" xr:uid="{89A9B38F-9027-4C5A-AD2A-F91A115AFE3C}"/>
    <cellStyle name="Normal 5 4 3 7 5" xfId="28901" xr:uid="{196A8E92-E3D0-4D6D-BB9D-B9F3E7F34489}"/>
    <cellStyle name="Normal 5 4 3 8" xfId="4833" xr:uid="{00000000-0005-0000-0000-0000251B0000}"/>
    <cellStyle name="Normal 5 4 3 8 2" xfId="14159" xr:uid="{E54D610C-2D88-44C7-865A-A94906BDA80A}"/>
    <cellStyle name="Normal 5 4 3 8 3" xfId="22606" xr:uid="{643A3139-4BCD-42E0-9E74-A09C2C6E5BD1}"/>
    <cellStyle name="Normal 5 4 3 8 4" xfId="31053" xr:uid="{E92E2A9B-A92E-4A7D-9E8E-D6D5292262D2}"/>
    <cellStyle name="Normal 5 4 3 9" xfId="8876" xr:uid="{D636A598-175F-46A4-8005-1A20EC6CCEC9}"/>
    <cellStyle name="Normal 5 4 4" xfId="463" xr:uid="{00000000-0005-0000-0000-0000261B0000}"/>
    <cellStyle name="Normal 5 4 4 10" xfId="18391" xr:uid="{FE891B59-5B68-4BE6-A900-8A061A6B4EBD}"/>
    <cellStyle name="Normal 5 4 4 11" xfId="26838" xr:uid="{7AC729AA-6247-43FA-A4BF-F99C4278BDD3}"/>
    <cellStyle name="Normal 5 4 4 2" xfId="937" xr:uid="{00000000-0005-0000-0000-0000271B0000}"/>
    <cellStyle name="Normal 5 4 4 2 2" xfId="3171" xr:uid="{00000000-0005-0000-0000-0000281B0000}"/>
    <cellStyle name="Normal 5 4 4 2 2 2" xfId="7393" xr:uid="{00000000-0005-0000-0000-0000291B0000}"/>
    <cellStyle name="Normal 5 4 4 2 2 2 2" xfId="16719" xr:uid="{F0CFE45D-5EFC-4354-8C41-4B652EBCD6B2}"/>
    <cellStyle name="Normal 5 4 4 2 2 2 3" xfId="25166" xr:uid="{C3A81AC8-32BE-4077-B9E2-544A3AA16913}"/>
    <cellStyle name="Normal 5 4 4 2 2 2 4" xfId="33613" xr:uid="{D89B4C9C-948B-421B-B7B7-F990F7765AD0}"/>
    <cellStyle name="Normal 5 4 4 2 2 3" xfId="12502" xr:uid="{C4C641F3-2BA0-4954-B365-C566092EB520}"/>
    <cellStyle name="Normal 5 4 4 2 2 4" xfId="20949" xr:uid="{6EECF173-890C-418A-BB64-129BF930BB39}"/>
    <cellStyle name="Normal 5 4 4 2 2 5" xfId="29396" xr:uid="{363BE0DC-33EA-4A5E-917A-030D048C175B}"/>
    <cellStyle name="Normal 5 4 4 2 3" xfId="5248" xr:uid="{00000000-0005-0000-0000-00002A1B0000}"/>
    <cellStyle name="Normal 5 4 4 2 3 2" xfId="14574" xr:uid="{67901657-A971-406A-A6E2-F88CEAF24C81}"/>
    <cellStyle name="Normal 5 4 4 2 3 3" xfId="23021" xr:uid="{8059D4EA-1CFD-40A3-8496-FB028942A083}"/>
    <cellStyle name="Normal 5 4 4 2 3 4" xfId="31468" xr:uid="{217404EB-A710-493C-80EB-8C6AE47A7596}"/>
    <cellStyle name="Normal 5 4 4 2 4" xfId="9405" xr:uid="{F05DE0DC-A0AA-4CEB-9ABC-0D70F781B819}"/>
    <cellStyle name="Normal 5 4 4 2 5" xfId="10357" xr:uid="{E9CB66C6-EF55-4AF4-AA38-B70F26EF9F2F}"/>
    <cellStyle name="Normal 5 4 4 2 6" xfId="18804" xr:uid="{314BD225-7388-42BA-9D19-20BFEDC44440}"/>
    <cellStyle name="Normal 5 4 4 2 7" xfId="27251" xr:uid="{141618CA-D303-480F-801F-AFF3AA2E0539}"/>
    <cellStyle name="Normal 5 4 4 3" xfId="1354" xr:uid="{00000000-0005-0000-0000-00002B1B0000}"/>
    <cellStyle name="Normal 5 4 4 3 2" xfId="3584" xr:uid="{00000000-0005-0000-0000-00002C1B0000}"/>
    <cellStyle name="Normal 5 4 4 3 2 2" xfId="7806" xr:uid="{00000000-0005-0000-0000-00002D1B0000}"/>
    <cellStyle name="Normal 5 4 4 3 2 2 2" xfId="17132" xr:uid="{66F58B95-3A09-4136-882B-19025DCB9815}"/>
    <cellStyle name="Normal 5 4 4 3 2 2 3" xfId="25579" xr:uid="{3E5844F3-F169-42F8-A2C2-E750063FF300}"/>
    <cellStyle name="Normal 5 4 4 3 2 2 4" xfId="34026" xr:uid="{E1041BF9-3467-4923-A5AE-0D32C3E4DB30}"/>
    <cellStyle name="Normal 5 4 4 3 2 3" xfId="12915" xr:uid="{68F3B455-73D2-4C99-8453-6C1B3C2213CC}"/>
    <cellStyle name="Normal 5 4 4 3 2 4" xfId="21362" xr:uid="{2F0A6D1F-F488-474F-AD7A-0C3427AD6B3F}"/>
    <cellStyle name="Normal 5 4 4 3 2 5" xfId="29809" xr:uid="{D0EFCC91-DA5F-43FD-B1FD-6F8E240B68E0}"/>
    <cellStyle name="Normal 5 4 4 3 3" xfId="5661" xr:uid="{00000000-0005-0000-0000-00002E1B0000}"/>
    <cellStyle name="Normal 5 4 4 3 3 2" xfId="14987" xr:uid="{4ABA9762-059C-4773-BCFE-8A4A00BD2835}"/>
    <cellStyle name="Normal 5 4 4 3 3 3" xfId="23434" xr:uid="{B47DD6F7-CEDF-4919-B465-C3CF69E8CFD3}"/>
    <cellStyle name="Normal 5 4 4 3 3 4" xfId="31881" xr:uid="{201E40CB-F6C3-4E68-995D-E39D9572CDA1}"/>
    <cellStyle name="Normal 5 4 4 3 4" xfId="10770" xr:uid="{072BC5D8-0A5C-4B65-9B62-8584E8029468}"/>
    <cellStyle name="Normal 5 4 4 3 5" xfId="19217" xr:uid="{ADA0F1CC-43F8-456C-8587-B75F5FAE62E3}"/>
    <cellStyle name="Normal 5 4 4 3 6" xfId="27664" xr:uid="{8425C36D-AB36-4170-8871-0B03FE3F6924}"/>
    <cellStyle name="Normal 5 4 4 4" xfId="1767" xr:uid="{00000000-0005-0000-0000-00002F1B0000}"/>
    <cellStyle name="Normal 5 4 4 4 2" xfId="3997" xr:uid="{00000000-0005-0000-0000-0000301B0000}"/>
    <cellStyle name="Normal 5 4 4 4 2 2" xfId="8219" xr:uid="{00000000-0005-0000-0000-0000311B0000}"/>
    <cellStyle name="Normal 5 4 4 4 2 2 2" xfId="17545" xr:uid="{88D5BA08-B023-40B1-831B-89CC0CBE6204}"/>
    <cellStyle name="Normal 5 4 4 4 2 2 3" xfId="25992" xr:uid="{ACF9B931-C33B-4A93-BE1D-2E757236D022}"/>
    <cellStyle name="Normal 5 4 4 4 2 2 4" xfId="34439" xr:uid="{FACB374B-A8FD-403F-BD2C-C09658EE9079}"/>
    <cellStyle name="Normal 5 4 4 4 2 3" xfId="13328" xr:uid="{2A017F1A-8FF3-4129-869D-C97F4AAF050D}"/>
    <cellStyle name="Normal 5 4 4 4 2 4" xfId="21775" xr:uid="{28407C9E-4824-4A3C-9317-B92C13A1600E}"/>
    <cellStyle name="Normal 5 4 4 4 2 5" xfId="30222" xr:uid="{BE64A030-A90F-4B67-826D-DF84C1E3A909}"/>
    <cellStyle name="Normal 5 4 4 4 3" xfId="6074" xr:uid="{00000000-0005-0000-0000-0000321B0000}"/>
    <cellStyle name="Normal 5 4 4 4 3 2" xfId="15400" xr:uid="{BC2B3A5C-5709-4E65-A9C9-1C5D8F29570E}"/>
    <cellStyle name="Normal 5 4 4 4 3 3" xfId="23847" xr:uid="{46FBE4CC-E062-40ED-B4F7-12007B219367}"/>
    <cellStyle name="Normal 5 4 4 4 3 4" xfId="32294" xr:uid="{8621B549-8B84-4C8F-A476-75A36FD9CDE3}"/>
    <cellStyle name="Normal 5 4 4 4 4" xfId="11183" xr:uid="{D66913DF-960E-4198-A967-78C7404899B8}"/>
    <cellStyle name="Normal 5 4 4 4 5" xfId="19630" xr:uid="{BBD949AE-69F8-40B3-99A7-4CC9C7F07E67}"/>
    <cellStyle name="Normal 5 4 4 4 6" xfId="28077" xr:uid="{5E6C887C-6621-4367-A0EE-AD233FF69549}"/>
    <cellStyle name="Normal 5 4 4 5" xfId="2181" xr:uid="{00000000-0005-0000-0000-0000331B0000}"/>
    <cellStyle name="Normal 5 4 4 5 2" xfId="4410" xr:uid="{00000000-0005-0000-0000-0000341B0000}"/>
    <cellStyle name="Normal 5 4 4 5 2 2" xfId="8632" xr:uid="{00000000-0005-0000-0000-0000351B0000}"/>
    <cellStyle name="Normal 5 4 4 5 2 2 2" xfId="17958" xr:uid="{2E4DB009-B852-4BE1-944D-A2EB08D3155F}"/>
    <cellStyle name="Normal 5 4 4 5 2 2 3" xfId="26405" xr:uid="{F5B8AC68-28EC-4A7F-BE73-9438C232E996}"/>
    <cellStyle name="Normal 5 4 4 5 2 2 4" xfId="34852" xr:uid="{422A1388-A67D-4643-AF40-03BAE6911075}"/>
    <cellStyle name="Normal 5 4 4 5 2 3" xfId="13741" xr:uid="{0E9E3D89-DCBA-49EA-86A0-D93D9C87E1AD}"/>
    <cellStyle name="Normal 5 4 4 5 2 4" xfId="22188" xr:uid="{36A6B476-CA8D-44D7-BC8D-D6A4A25CFA15}"/>
    <cellStyle name="Normal 5 4 4 5 2 5" xfId="30635" xr:uid="{48584BD8-98B0-4DD2-AF0D-979295F9B2FB}"/>
    <cellStyle name="Normal 5 4 4 5 3" xfId="6487" xr:uid="{00000000-0005-0000-0000-0000361B0000}"/>
    <cellStyle name="Normal 5 4 4 5 3 2" xfId="15813" xr:uid="{3129B6C4-630E-4B5B-BC3F-C61F2A782654}"/>
    <cellStyle name="Normal 5 4 4 5 3 3" xfId="24260" xr:uid="{3141F5A2-CEB3-4FFF-A16D-31B4F18A3D9D}"/>
    <cellStyle name="Normal 5 4 4 5 3 4" xfId="32707" xr:uid="{3B771431-661B-4C0C-B683-40DE052CC018}"/>
    <cellStyle name="Normal 5 4 4 5 4" xfId="11596" xr:uid="{CCEF3DC9-BCDB-496D-8B0D-8B0F3930A532}"/>
    <cellStyle name="Normal 5 4 4 5 5" xfId="20043" xr:uid="{3BEE059D-9EC0-4BBB-839C-D9297EB2BAA1}"/>
    <cellStyle name="Normal 5 4 4 5 6" xfId="28490" xr:uid="{F1295CBB-48D3-4292-8D5B-608BFF514532}"/>
    <cellStyle name="Normal 5 4 4 6" xfId="2617" xr:uid="{00000000-0005-0000-0000-0000371B0000}"/>
    <cellStyle name="Normal 5 4 4 6 2" xfId="6900" xr:uid="{00000000-0005-0000-0000-0000381B0000}"/>
    <cellStyle name="Normal 5 4 4 6 2 2" xfId="16226" xr:uid="{FFE49A4C-D4A0-4C80-BB46-A37366CF7C02}"/>
    <cellStyle name="Normal 5 4 4 6 2 3" xfId="24673" xr:uid="{6ECF250B-FCEC-4834-9E90-188897ECA56C}"/>
    <cellStyle name="Normal 5 4 4 6 2 4" xfId="33120" xr:uid="{028D376B-252C-4613-B2AE-53FA4CCC3E3D}"/>
    <cellStyle name="Normal 5 4 4 6 3" xfId="12009" xr:uid="{98DE8D87-253E-405C-A5B6-82E9A29C9C31}"/>
    <cellStyle name="Normal 5 4 4 6 4" xfId="20456" xr:uid="{C93132EF-74DF-47D4-A616-47891834D912}"/>
    <cellStyle name="Normal 5 4 4 6 5" xfId="28903" xr:uid="{219A7D32-5872-48C3-B587-5B5C7E40B321}"/>
    <cellStyle name="Normal 5 4 4 7" xfId="4835" xr:uid="{00000000-0005-0000-0000-0000391B0000}"/>
    <cellStyle name="Normal 5 4 4 7 2" xfId="14161" xr:uid="{5BCA3E3E-FCCE-494B-BC29-CB551D8B5A8D}"/>
    <cellStyle name="Normal 5 4 4 7 3" xfId="22608" xr:uid="{982C5B7F-34FD-4178-B163-D761796C8537}"/>
    <cellStyle name="Normal 5 4 4 7 4" xfId="31055" xr:uid="{22D5E8BA-CDAB-4E30-B6BD-0440CD36B76A}"/>
    <cellStyle name="Normal 5 4 4 8" xfId="8980" xr:uid="{B1DB48A4-94CB-4CC2-8D4B-8FD478363D48}"/>
    <cellStyle name="Normal 5 4 4 9" xfId="9944" xr:uid="{1CADBF42-D984-46FF-ACA7-F857CA5EADDD}"/>
    <cellStyle name="Normal 5 4 5" xfId="930" xr:uid="{00000000-0005-0000-0000-00003A1B0000}"/>
    <cellStyle name="Normal 5 4 5 2" xfId="3164" xr:uid="{00000000-0005-0000-0000-00003B1B0000}"/>
    <cellStyle name="Normal 5 4 5 2 2" xfId="7386" xr:uid="{00000000-0005-0000-0000-00003C1B0000}"/>
    <cellStyle name="Normal 5 4 5 2 2 2" xfId="16712" xr:uid="{E25A2C67-9B66-46F5-B9EF-2BC428EF43BC}"/>
    <cellStyle name="Normal 5 4 5 2 2 3" xfId="25159" xr:uid="{18FF8DB6-AE5A-4748-A9D0-8B59E9257312}"/>
    <cellStyle name="Normal 5 4 5 2 2 4" xfId="33606" xr:uid="{50037A55-5039-4697-A1A2-F9844536DE9B}"/>
    <cellStyle name="Normal 5 4 5 2 3" xfId="12495" xr:uid="{9FF6CC1E-F1A8-499C-AA84-0981B1ACCDEB}"/>
    <cellStyle name="Normal 5 4 5 2 4" xfId="20942" xr:uid="{32EFEEA7-B606-4413-A5A5-6F1D3B7C2F94}"/>
    <cellStyle name="Normal 5 4 5 2 5" xfId="29389" xr:uid="{EF5E0ED0-D706-4D17-9C0D-A2AE92AE9C7A}"/>
    <cellStyle name="Normal 5 4 5 3" xfId="5241" xr:uid="{00000000-0005-0000-0000-00003D1B0000}"/>
    <cellStyle name="Normal 5 4 5 3 2" xfId="14567" xr:uid="{99399E02-DC0D-4A80-93BB-653973749A14}"/>
    <cellStyle name="Normal 5 4 5 3 3" xfId="23014" xr:uid="{BCA1E42D-3211-4A3E-A5CF-BF52668942A8}"/>
    <cellStyle name="Normal 5 4 5 3 4" xfId="31461" xr:uid="{03440280-FCFD-4313-A736-B6DEA4C24DF5}"/>
    <cellStyle name="Normal 5 4 5 4" xfId="9197" xr:uid="{44FF0EFB-444B-4C40-B695-8C256ADB5563}"/>
    <cellStyle name="Normal 5 4 5 5" xfId="10350" xr:uid="{92BD6349-BB65-4FB2-B60E-2477277964D8}"/>
    <cellStyle name="Normal 5 4 5 6" xfId="18797" xr:uid="{EE445458-8A58-4A97-8D6D-44771BCEF654}"/>
    <cellStyle name="Normal 5 4 5 7" xfId="27244" xr:uid="{07F902F4-7FCE-413C-8434-8E4123CBC18B}"/>
    <cellStyle name="Normal 5 4 6" xfId="1347" xr:uid="{00000000-0005-0000-0000-00003E1B0000}"/>
    <cellStyle name="Normal 5 4 6 2" xfId="3577" xr:uid="{00000000-0005-0000-0000-00003F1B0000}"/>
    <cellStyle name="Normal 5 4 6 2 2" xfId="7799" xr:uid="{00000000-0005-0000-0000-0000401B0000}"/>
    <cellStyle name="Normal 5 4 6 2 2 2" xfId="17125" xr:uid="{D2BB7F9D-A428-4B26-A69F-9039860AC15A}"/>
    <cellStyle name="Normal 5 4 6 2 2 3" xfId="25572" xr:uid="{FA6B7267-1ED4-40AD-A7B8-74620C00B461}"/>
    <cellStyle name="Normal 5 4 6 2 2 4" xfId="34019" xr:uid="{3BA5AAA7-5F23-401B-B260-5EC347C39789}"/>
    <cellStyle name="Normal 5 4 6 2 3" xfId="12908" xr:uid="{DC7FBDD8-2FC6-43B9-9631-113DB7F32457}"/>
    <cellStyle name="Normal 5 4 6 2 4" xfId="21355" xr:uid="{3B3132A5-5A0F-4F40-BAFF-335DDA5EF06B}"/>
    <cellStyle name="Normal 5 4 6 2 5" xfId="29802" xr:uid="{C44D976F-D867-490F-A1FE-1F91312D6C1A}"/>
    <cellStyle name="Normal 5 4 6 3" xfId="5654" xr:uid="{00000000-0005-0000-0000-0000411B0000}"/>
    <cellStyle name="Normal 5 4 6 3 2" xfId="14980" xr:uid="{1C511230-A8C9-493C-88E4-DCF60734D282}"/>
    <cellStyle name="Normal 5 4 6 3 3" xfId="23427" xr:uid="{5803B6DF-784B-4DDA-8735-C1EAE00749CE}"/>
    <cellStyle name="Normal 5 4 6 3 4" xfId="31874" xr:uid="{EACA7420-74E7-4EBC-825E-850E7FBB2D9C}"/>
    <cellStyle name="Normal 5 4 6 4" xfId="10763" xr:uid="{AD7B50D8-4A54-4F01-9364-27B5D97B727C}"/>
    <cellStyle name="Normal 5 4 6 5" xfId="19210" xr:uid="{0F6C1D53-E032-4420-83E3-8ECE6F3D6DC4}"/>
    <cellStyle name="Normal 5 4 6 6" xfId="27657" xr:uid="{F283087B-B38A-4A90-A093-A16DFAA926FC}"/>
    <cellStyle name="Normal 5 4 7" xfId="1760" xr:uid="{00000000-0005-0000-0000-0000421B0000}"/>
    <cellStyle name="Normal 5 4 7 2" xfId="3990" xr:uid="{00000000-0005-0000-0000-0000431B0000}"/>
    <cellStyle name="Normal 5 4 7 2 2" xfId="8212" xr:uid="{00000000-0005-0000-0000-0000441B0000}"/>
    <cellStyle name="Normal 5 4 7 2 2 2" xfId="17538" xr:uid="{AFE39117-4132-47E8-B3E6-7011AA676E3B}"/>
    <cellStyle name="Normal 5 4 7 2 2 3" xfId="25985" xr:uid="{CBF441F7-1BE6-4D14-AF60-28D850244CD5}"/>
    <cellStyle name="Normal 5 4 7 2 2 4" xfId="34432" xr:uid="{00216899-D714-425C-8F4B-D7294CB880BF}"/>
    <cellStyle name="Normal 5 4 7 2 3" xfId="13321" xr:uid="{68749A0A-DA8A-4B33-9621-38E6B7B52BD3}"/>
    <cellStyle name="Normal 5 4 7 2 4" xfId="21768" xr:uid="{DC9B1AF2-4AFC-4E04-8993-16779968BD12}"/>
    <cellStyle name="Normal 5 4 7 2 5" xfId="30215" xr:uid="{A7FAF6CE-1403-4B70-AEB6-CDF961FA22F5}"/>
    <cellStyle name="Normal 5 4 7 3" xfId="6067" xr:uid="{00000000-0005-0000-0000-0000451B0000}"/>
    <cellStyle name="Normal 5 4 7 3 2" xfId="15393" xr:uid="{EB325E43-BB3B-40E4-8D5F-97AF79C8AF96}"/>
    <cellStyle name="Normal 5 4 7 3 3" xfId="23840" xr:uid="{A1C0D95D-C666-443E-A278-88599143E466}"/>
    <cellStyle name="Normal 5 4 7 3 4" xfId="32287" xr:uid="{C79E5334-4262-42B6-A96C-C8EEB0D0A9E7}"/>
    <cellStyle name="Normal 5 4 7 4" xfId="11176" xr:uid="{8F06C382-2C9B-482E-81DF-22C546B56021}"/>
    <cellStyle name="Normal 5 4 7 5" xfId="19623" xr:uid="{B4372478-0C59-44EE-9039-84B2A9B797BC}"/>
    <cellStyle name="Normal 5 4 7 6" xfId="28070" xr:uid="{85AED061-368A-4C10-BC51-6E9676805457}"/>
    <cellStyle name="Normal 5 4 8" xfId="2174" xr:uid="{00000000-0005-0000-0000-0000461B0000}"/>
    <cellStyle name="Normal 5 4 8 2" xfId="4403" xr:uid="{00000000-0005-0000-0000-0000471B0000}"/>
    <cellStyle name="Normal 5 4 8 2 2" xfId="8625" xr:uid="{00000000-0005-0000-0000-0000481B0000}"/>
    <cellStyle name="Normal 5 4 8 2 2 2" xfId="17951" xr:uid="{941A6149-4C8D-4B44-B7CD-A60C55212F0A}"/>
    <cellStyle name="Normal 5 4 8 2 2 3" xfId="26398" xr:uid="{8B990B82-C3D4-4B2D-8D62-2ED1924256B6}"/>
    <cellStyle name="Normal 5 4 8 2 2 4" xfId="34845" xr:uid="{B43F603D-D3BF-4B01-9720-EFBF109BF4E9}"/>
    <cellStyle name="Normal 5 4 8 2 3" xfId="13734" xr:uid="{991222C9-7D8D-4166-BDA7-9B5FA7E9F31D}"/>
    <cellStyle name="Normal 5 4 8 2 4" xfId="22181" xr:uid="{FDB51682-113C-4E52-ACF5-3F8EE68B028A}"/>
    <cellStyle name="Normal 5 4 8 2 5" xfId="30628" xr:uid="{912FD9E7-A7D0-4DAD-9E27-44C8BE333B82}"/>
    <cellStyle name="Normal 5 4 8 3" xfId="6480" xr:uid="{00000000-0005-0000-0000-0000491B0000}"/>
    <cellStyle name="Normal 5 4 8 3 2" xfId="15806" xr:uid="{4FD8CDD7-FBA9-436A-9619-177AC16C30D0}"/>
    <cellStyle name="Normal 5 4 8 3 3" xfId="24253" xr:uid="{F0D89585-6855-472A-AD95-D7A011936720}"/>
    <cellStyle name="Normal 5 4 8 3 4" xfId="32700" xr:uid="{434819E6-4B7F-4F9B-8AEA-A8FA86692BC1}"/>
    <cellStyle name="Normal 5 4 8 4" xfId="11589" xr:uid="{9489249D-1825-4745-89E2-32F3CF99DDA4}"/>
    <cellStyle name="Normal 5 4 8 5" xfId="20036" xr:uid="{BC0ED2EA-40F2-45D0-91C1-A24DE129A363}"/>
    <cellStyle name="Normal 5 4 8 6" xfId="28483" xr:uid="{D6150447-13F7-44A8-ACE4-605B98275799}"/>
    <cellStyle name="Normal 5 4 9" xfId="2610" xr:uid="{00000000-0005-0000-0000-00004A1B0000}"/>
    <cellStyle name="Normal 5 4 9 2" xfId="6893" xr:uid="{00000000-0005-0000-0000-00004B1B0000}"/>
    <cellStyle name="Normal 5 4 9 2 2" xfId="16219" xr:uid="{B3BDA44F-E081-41B2-94B5-7F161DC3A236}"/>
    <cellStyle name="Normal 5 4 9 2 3" xfId="24666" xr:uid="{F65F3601-ED77-4664-9B07-C594E649DAD1}"/>
    <cellStyle name="Normal 5 4 9 2 4" xfId="33113" xr:uid="{43479E6D-1906-45DF-BB74-C645B78084A6}"/>
    <cellStyle name="Normal 5 4 9 3" xfId="12002" xr:uid="{D2979E14-574E-45E5-8C51-1E22E7DE99E1}"/>
    <cellStyle name="Normal 5 4 9 4" xfId="20449" xr:uid="{4BB49552-5B97-49F4-9302-8C740E5D050D}"/>
    <cellStyle name="Normal 5 4 9 5" xfId="28896" xr:uid="{949BB3B0-EA28-441E-84C1-C4DC76F7D6F6}"/>
    <cellStyle name="Normal 5 5" xfId="464" xr:uid="{00000000-0005-0000-0000-00004C1B0000}"/>
    <cellStyle name="Normal 5 5 10" xfId="8826" xr:uid="{5746674A-546A-44BF-97FB-6D298BF3AD61}"/>
    <cellStyle name="Normal 5 5 11" xfId="9945" xr:uid="{C760A848-FAA6-48AE-945A-BB2B038C2819}"/>
    <cellStyle name="Normal 5 5 12" xfId="18392" xr:uid="{25C1AEC9-601F-437C-BB51-927E76F14168}"/>
    <cellStyle name="Normal 5 5 13" xfId="26839" xr:uid="{EAC29A9D-A9EC-4A60-9497-48BE19AF8E1B}"/>
    <cellStyle name="Normal 5 5 2" xfId="465" xr:uid="{00000000-0005-0000-0000-00004D1B0000}"/>
    <cellStyle name="Normal 5 5 2 10" xfId="9946" xr:uid="{2CB22119-CF99-416E-BD98-50B34D970544}"/>
    <cellStyle name="Normal 5 5 2 11" xfId="18393" xr:uid="{500848C4-A820-4C9C-9BFE-B7A8A4C2D305}"/>
    <cellStyle name="Normal 5 5 2 12" xfId="26840" xr:uid="{DF756BC5-C69A-451A-880D-B6D6417BE005}"/>
    <cellStyle name="Normal 5 5 2 2" xfId="466" xr:uid="{00000000-0005-0000-0000-00004E1B0000}"/>
    <cellStyle name="Normal 5 5 2 2 10" xfId="18394" xr:uid="{8427C5A0-B5F9-4334-9323-620F03089F5D}"/>
    <cellStyle name="Normal 5 5 2 2 11" xfId="26841" xr:uid="{FDA03A74-1AEC-46A8-9137-E2FCB9E1A849}"/>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16722" xr:uid="{C8644DB0-2EDA-4EB1-8B20-F905355912A9}"/>
    <cellStyle name="Normal 5 5 2 2 2 2 2 3" xfId="25169" xr:uid="{0688F151-AD4A-4F30-8128-BBB99B4A2BC0}"/>
    <cellStyle name="Normal 5 5 2 2 2 2 2 4" xfId="33616" xr:uid="{48A8ACDF-EB02-41C4-9F07-7E75DC3CD9E2}"/>
    <cellStyle name="Normal 5 5 2 2 2 2 3" xfId="12505" xr:uid="{95356EB5-C584-400A-A838-E2A0668A0468}"/>
    <cellStyle name="Normal 5 5 2 2 2 2 4" xfId="20952" xr:uid="{DC89AD79-D23D-49CE-9F31-DF43981D0EED}"/>
    <cellStyle name="Normal 5 5 2 2 2 2 5" xfId="29399" xr:uid="{44E78A4C-C674-4BAE-B508-E766EF54AEC2}"/>
    <cellStyle name="Normal 5 5 2 2 2 3" xfId="5251" xr:uid="{00000000-0005-0000-0000-0000521B0000}"/>
    <cellStyle name="Normal 5 5 2 2 2 3 2" xfId="14577" xr:uid="{5E8DF971-18AC-45E9-BE0D-FB89CC6D3744}"/>
    <cellStyle name="Normal 5 5 2 2 2 3 3" xfId="23024" xr:uid="{258A6384-169C-4332-8B73-D6D3DBA24A6A}"/>
    <cellStyle name="Normal 5 5 2 2 2 3 4" xfId="31471" xr:uid="{2AA6D615-7F1D-4D6B-9704-25FB7FD8D1C5}"/>
    <cellStyle name="Normal 5 5 2 2 2 4" xfId="9561" xr:uid="{FF1EB4DD-E23E-4228-816B-D59B021F724D}"/>
    <cellStyle name="Normal 5 5 2 2 2 5" xfId="10360" xr:uid="{78F73C0A-3904-44B6-877F-D6C912F2DDC2}"/>
    <cellStyle name="Normal 5 5 2 2 2 6" xfId="18807" xr:uid="{37586346-C8B7-4183-BDDE-8A061BAEF730}"/>
    <cellStyle name="Normal 5 5 2 2 2 7" xfId="27254" xr:uid="{957BB4A9-7A0B-404A-9E6E-8D3E211A0F11}"/>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17135" xr:uid="{46D3C87E-4219-4B30-A6D7-9EDEA6C652A7}"/>
    <cellStyle name="Normal 5 5 2 2 3 2 2 3" xfId="25582" xr:uid="{BDFBCA5A-2270-4603-8C07-F5336EFF5597}"/>
    <cellStyle name="Normal 5 5 2 2 3 2 2 4" xfId="34029" xr:uid="{EB6120E6-F5F4-4928-8041-368EE80D0EED}"/>
    <cellStyle name="Normal 5 5 2 2 3 2 3" xfId="12918" xr:uid="{1F9E3F44-233A-48A2-9423-791277EB82C5}"/>
    <cellStyle name="Normal 5 5 2 2 3 2 4" xfId="21365" xr:uid="{F6DC0AFE-8A13-4339-B551-81E8309ECDF5}"/>
    <cellStyle name="Normal 5 5 2 2 3 2 5" xfId="29812" xr:uid="{9B5661E9-859E-41E0-9CDA-C63C93CD39BB}"/>
    <cellStyle name="Normal 5 5 2 2 3 3" xfId="5664" xr:uid="{00000000-0005-0000-0000-0000561B0000}"/>
    <cellStyle name="Normal 5 5 2 2 3 3 2" xfId="14990" xr:uid="{B36D4089-9EDA-4D06-A9E7-FBED6DED1825}"/>
    <cellStyle name="Normal 5 5 2 2 3 3 3" xfId="23437" xr:uid="{287A7D51-1C18-4C48-8521-493307D2AA9C}"/>
    <cellStyle name="Normal 5 5 2 2 3 3 4" xfId="31884" xr:uid="{C6899825-28A5-44D5-AD21-E72838DDF23B}"/>
    <cellStyle name="Normal 5 5 2 2 3 4" xfId="10773" xr:uid="{20B45BC8-5431-42F9-BFFA-E47AEF8ECB4B}"/>
    <cellStyle name="Normal 5 5 2 2 3 5" xfId="19220" xr:uid="{74F802CE-7EF9-4437-A156-23036181879B}"/>
    <cellStyle name="Normal 5 5 2 2 3 6" xfId="27667" xr:uid="{46CA33C0-574A-43BC-8238-199FEC13DB18}"/>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17548" xr:uid="{E077A8EE-531F-4F07-951A-25C90A06BA42}"/>
    <cellStyle name="Normal 5 5 2 2 4 2 2 3" xfId="25995" xr:uid="{DD8988EC-0DBB-4796-9335-62C8C0B1A0DA}"/>
    <cellStyle name="Normal 5 5 2 2 4 2 2 4" xfId="34442" xr:uid="{7E53A9E1-1984-4DC5-9AD9-75A66F5F0905}"/>
    <cellStyle name="Normal 5 5 2 2 4 2 3" xfId="13331" xr:uid="{C83E363A-CD1F-4CE5-9015-911264593B49}"/>
    <cellStyle name="Normal 5 5 2 2 4 2 4" xfId="21778" xr:uid="{773CA7D5-35C6-4776-9497-C425A5A1812D}"/>
    <cellStyle name="Normal 5 5 2 2 4 2 5" xfId="30225" xr:uid="{BEDF9FFE-E182-4610-A0D7-54D0F78C98DE}"/>
    <cellStyle name="Normal 5 5 2 2 4 3" xfId="6077" xr:uid="{00000000-0005-0000-0000-00005A1B0000}"/>
    <cellStyle name="Normal 5 5 2 2 4 3 2" xfId="15403" xr:uid="{D9146466-50E7-44D5-8C32-0974E6B79D5D}"/>
    <cellStyle name="Normal 5 5 2 2 4 3 3" xfId="23850" xr:uid="{E691FA02-B193-48EA-9BC0-F37684DF71D2}"/>
    <cellStyle name="Normal 5 5 2 2 4 3 4" xfId="32297" xr:uid="{3DB66A67-12D1-47E8-932E-0B347F2DA00F}"/>
    <cellStyle name="Normal 5 5 2 2 4 4" xfId="11186" xr:uid="{90E22154-7648-406D-BA2F-480ABEA9188A}"/>
    <cellStyle name="Normal 5 5 2 2 4 5" xfId="19633" xr:uid="{C83BC9FA-E5C3-414C-90B0-A74F2CB34FE3}"/>
    <cellStyle name="Normal 5 5 2 2 4 6" xfId="28080" xr:uid="{E8A1BE67-CE6B-4E7A-9704-764085ADC700}"/>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17961" xr:uid="{E4355ACA-D7C9-4313-AB2A-F4F3AC2A4BB1}"/>
    <cellStyle name="Normal 5 5 2 2 5 2 2 3" xfId="26408" xr:uid="{FB22EB9E-B1AB-4A02-BB73-3F430076DE5A}"/>
    <cellStyle name="Normal 5 5 2 2 5 2 2 4" xfId="34855" xr:uid="{0642B4DC-74AD-4840-BA27-63C56764264D}"/>
    <cellStyle name="Normal 5 5 2 2 5 2 3" xfId="13744" xr:uid="{F4ACACE9-820A-47E3-BDB2-36F25A1D42D8}"/>
    <cellStyle name="Normal 5 5 2 2 5 2 4" xfId="22191" xr:uid="{01E7A100-1489-4801-87E8-301660999C85}"/>
    <cellStyle name="Normal 5 5 2 2 5 2 5" xfId="30638" xr:uid="{5C182D76-7999-47F0-99DA-ECDC45BB1EAF}"/>
    <cellStyle name="Normal 5 5 2 2 5 3" xfId="6490" xr:uid="{00000000-0005-0000-0000-00005E1B0000}"/>
    <cellStyle name="Normal 5 5 2 2 5 3 2" xfId="15816" xr:uid="{BBE8F821-4C60-4FE9-8AD8-D5ED6FC78098}"/>
    <cellStyle name="Normal 5 5 2 2 5 3 3" xfId="24263" xr:uid="{BAD85EF0-38D8-42D3-B747-CB837FB46E05}"/>
    <cellStyle name="Normal 5 5 2 2 5 3 4" xfId="32710" xr:uid="{7BC3429D-9D02-4EDB-AAE1-7F6431857320}"/>
    <cellStyle name="Normal 5 5 2 2 5 4" xfId="11599" xr:uid="{37DB4D79-DF8F-46C7-8E0D-760F706AD250}"/>
    <cellStyle name="Normal 5 5 2 2 5 5" xfId="20046" xr:uid="{2AF18EE3-D1D0-4FD1-B1AD-F4419FB2442C}"/>
    <cellStyle name="Normal 5 5 2 2 5 6" xfId="28493" xr:uid="{A00C2382-FB00-40D3-9D67-03DC0BA23AE5}"/>
    <cellStyle name="Normal 5 5 2 2 6" xfId="2620" xr:uid="{00000000-0005-0000-0000-00005F1B0000}"/>
    <cellStyle name="Normal 5 5 2 2 6 2" xfId="6903" xr:uid="{00000000-0005-0000-0000-0000601B0000}"/>
    <cellStyle name="Normal 5 5 2 2 6 2 2" xfId="16229" xr:uid="{FFC28949-0B0C-4967-AAF7-63B9EFC16BCC}"/>
    <cellStyle name="Normal 5 5 2 2 6 2 3" xfId="24676" xr:uid="{C1ABEA96-C77A-4401-AA2F-7D4BEA7F82F6}"/>
    <cellStyle name="Normal 5 5 2 2 6 2 4" xfId="33123" xr:uid="{632008A8-DF6B-45FD-9648-DBEA802239EE}"/>
    <cellStyle name="Normal 5 5 2 2 6 3" xfId="12012" xr:uid="{173F62C4-BC0B-43C7-9507-A15D0EE78DC5}"/>
    <cellStyle name="Normal 5 5 2 2 6 4" xfId="20459" xr:uid="{961CD1AF-F46C-447A-9072-8EE8E980B1D3}"/>
    <cellStyle name="Normal 5 5 2 2 6 5" xfId="28906" xr:uid="{A02AF827-8B7F-48EB-A70A-E2BD17B233C7}"/>
    <cellStyle name="Normal 5 5 2 2 7" xfId="4838" xr:uid="{00000000-0005-0000-0000-0000611B0000}"/>
    <cellStyle name="Normal 5 5 2 2 7 2" xfId="14164" xr:uid="{630D9E6E-EFE5-4D69-944D-9EE4AD3B5541}"/>
    <cellStyle name="Normal 5 5 2 2 7 3" xfId="22611" xr:uid="{4B21BEEF-5F15-4907-8C83-47AA51FA81CF}"/>
    <cellStyle name="Normal 5 5 2 2 7 4" xfId="31058" xr:uid="{8C60D943-5C82-4A76-87FD-54B990E3F197}"/>
    <cellStyle name="Normal 5 5 2 2 8" xfId="9136" xr:uid="{D41453B5-3BE6-4F01-B336-45A274529844}"/>
    <cellStyle name="Normal 5 5 2 2 9" xfId="9947" xr:uid="{182F79A9-DB22-4113-AF00-6E9414002EF6}"/>
    <cellStyle name="Normal 5 5 2 3" xfId="939" xr:uid="{00000000-0005-0000-0000-0000621B0000}"/>
    <cellStyle name="Normal 5 5 2 3 2" xfId="3173" xr:uid="{00000000-0005-0000-0000-0000631B0000}"/>
    <cellStyle name="Normal 5 5 2 3 2 2" xfId="7395" xr:uid="{00000000-0005-0000-0000-0000641B0000}"/>
    <cellStyle name="Normal 5 5 2 3 2 2 2" xfId="16721" xr:uid="{8C457961-73AD-4B8A-A698-E869BB03AA56}"/>
    <cellStyle name="Normal 5 5 2 3 2 2 3" xfId="25168" xr:uid="{2B27F9C4-BFC2-4798-8F2D-3F583DA6D7E7}"/>
    <cellStyle name="Normal 5 5 2 3 2 2 4" xfId="33615" xr:uid="{608DC57E-1E31-4F8A-A615-58BBDC4E89A1}"/>
    <cellStyle name="Normal 5 5 2 3 2 3" xfId="12504" xr:uid="{57553C04-12D1-4D68-9636-4FB1AAB098D1}"/>
    <cellStyle name="Normal 5 5 2 3 2 4" xfId="20951" xr:uid="{D07A829C-D7F8-4F08-B32B-32829896E2C0}"/>
    <cellStyle name="Normal 5 5 2 3 2 5" xfId="29398" xr:uid="{AD0690CD-C79C-4F3C-9044-30862AA3D5CC}"/>
    <cellStyle name="Normal 5 5 2 3 3" xfId="5250" xr:uid="{00000000-0005-0000-0000-0000651B0000}"/>
    <cellStyle name="Normal 5 5 2 3 3 2" xfId="14576" xr:uid="{AA401153-8C46-408C-B104-BB9D8270D9EA}"/>
    <cellStyle name="Normal 5 5 2 3 3 3" xfId="23023" xr:uid="{8E0FA087-4D11-49E0-868F-774D6296F070}"/>
    <cellStyle name="Normal 5 5 2 3 3 4" xfId="31470" xr:uid="{850BF0F2-6837-445D-A5B1-3E4788F89E2A}"/>
    <cellStyle name="Normal 5 5 2 3 4" xfId="9354" xr:uid="{3251F49D-E700-469D-9840-28045D408641}"/>
    <cellStyle name="Normal 5 5 2 3 5" xfId="10359" xr:uid="{C59C128F-0C4D-4325-B56A-9428E2074D8B}"/>
    <cellStyle name="Normal 5 5 2 3 6" xfId="18806" xr:uid="{DE79CABE-88E9-4F5E-A8A7-B23CBEACEE5F}"/>
    <cellStyle name="Normal 5 5 2 3 7" xfId="27253" xr:uid="{9BDD341E-F421-459E-BC9D-9B267EF78329}"/>
    <cellStyle name="Normal 5 5 2 4" xfId="1356" xr:uid="{00000000-0005-0000-0000-0000661B0000}"/>
    <cellStyle name="Normal 5 5 2 4 2" xfId="3586" xr:uid="{00000000-0005-0000-0000-0000671B0000}"/>
    <cellStyle name="Normal 5 5 2 4 2 2" xfId="7808" xr:uid="{00000000-0005-0000-0000-0000681B0000}"/>
    <cellStyle name="Normal 5 5 2 4 2 2 2" xfId="17134" xr:uid="{0B0CA8FB-206D-46CA-973F-F3BB4A622E42}"/>
    <cellStyle name="Normal 5 5 2 4 2 2 3" xfId="25581" xr:uid="{3FA7BA65-46E6-4FF2-9C37-FF5F12C4CDF5}"/>
    <cellStyle name="Normal 5 5 2 4 2 2 4" xfId="34028" xr:uid="{B24BF51C-F4E6-415B-8C6E-D8370E940BEA}"/>
    <cellStyle name="Normal 5 5 2 4 2 3" xfId="12917" xr:uid="{5F236D2C-6046-48A2-8893-C0A7CB3B422B}"/>
    <cellStyle name="Normal 5 5 2 4 2 4" xfId="21364" xr:uid="{24DBA8AD-B87C-47BA-AC56-1C5EFC6B2DBF}"/>
    <cellStyle name="Normal 5 5 2 4 2 5" xfId="29811" xr:uid="{65EF903C-C350-401D-AC01-574B87033B63}"/>
    <cellStyle name="Normal 5 5 2 4 3" xfId="5663" xr:uid="{00000000-0005-0000-0000-0000691B0000}"/>
    <cellStyle name="Normal 5 5 2 4 3 2" xfId="14989" xr:uid="{27A4E9A1-47A7-4FEE-98A4-CA3CE653FCD2}"/>
    <cellStyle name="Normal 5 5 2 4 3 3" xfId="23436" xr:uid="{F3F7E023-C956-4A7F-948A-D67ABFE11692}"/>
    <cellStyle name="Normal 5 5 2 4 3 4" xfId="31883" xr:uid="{B02971F6-E4D9-4C32-BC68-12CE7CC08D0C}"/>
    <cellStyle name="Normal 5 5 2 4 4" xfId="10772" xr:uid="{3089D530-CCD0-4D6B-8275-1462FB59547A}"/>
    <cellStyle name="Normal 5 5 2 4 5" xfId="19219" xr:uid="{E5FA3AC6-3D7B-445D-AE75-5E684CA33F57}"/>
    <cellStyle name="Normal 5 5 2 4 6" xfId="27666" xr:uid="{8BA66054-29EA-4526-895A-0B5E49A4EE63}"/>
    <cellStyle name="Normal 5 5 2 5" xfId="1769" xr:uid="{00000000-0005-0000-0000-00006A1B0000}"/>
    <cellStyle name="Normal 5 5 2 5 2" xfId="3999" xr:uid="{00000000-0005-0000-0000-00006B1B0000}"/>
    <cellStyle name="Normal 5 5 2 5 2 2" xfId="8221" xr:uid="{00000000-0005-0000-0000-00006C1B0000}"/>
    <cellStyle name="Normal 5 5 2 5 2 2 2" xfId="17547" xr:uid="{35514076-CD07-4EE7-B615-E774FFDBA150}"/>
    <cellStyle name="Normal 5 5 2 5 2 2 3" xfId="25994" xr:uid="{05863297-2123-455E-8675-8BA7F05F9D0E}"/>
    <cellStyle name="Normal 5 5 2 5 2 2 4" xfId="34441" xr:uid="{FFFB9938-C01C-40C5-8D87-033945A65A2E}"/>
    <cellStyle name="Normal 5 5 2 5 2 3" xfId="13330" xr:uid="{FF2368E0-3840-4BE2-87E4-59C7724E6E0C}"/>
    <cellStyle name="Normal 5 5 2 5 2 4" xfId="21777" xr:uid="{380FACBF-8D38-4FCB-BC4D-DA844AFDDDC5}"/>
    <cellStyle name="Normal 5 5 2 5 2 5" xfId="30224" xr:uid="{E5BEEBEC-1696-4994-93D7-70178F6B019D}"/>
    <cellStyle name="Normal 5 5 2 5 3" xfId="6076" xr:uid="{00000000-0005-0000-0000-00006D1B0000}"/>
    <cellStyle name="Normal 5 5 2 5 3 2" xfId="15402" xr:uid="{BEB744C2-EF37-4B2E-89D4-3907DB157B08}"/>
    <cellStyle name="Normal 5 5 2 5 3 3" xfId="23849" xr:uid="{A077307B-FCBD-4750-B60A-013B54D63622}"/>
    <cellStyle name="Normal 5 5 2 5 3 4" xfId="32296" xr:uid="{F9A5009F-C0E0-4A9D-836E-6337DA8FE664}"/>
    <cellStyle name="Normal 5 5 2 5 4" xfId="11185" xr:uid="{982C7732-789A-45D6-B11A-9555CF6B1CE1}"/>
    <cellStyle name="Normal 5 5 2 5 5" xfId="19632" xr:uid="{3108A40C-0197-4BD4-979A-6869AC72FD67}"/>
    <cellStyle name="Normal 5 5 2 5 6" xfId="28079" xr:uid="{5FD17831-5BD9-4CCA-B9B3-EA5CBA846F43}"/>
    <cellStyle name="Normal 5 5 2 6" xfId="2183" xr:uid="{00000000-0005-0000-0000-00006E1B0000}"/>
    <cellStyle name="Normal 5 5 2 6 2" xfId="4412" xr:uid="{00000000-0005-0000-0000-00006F1B0000}"/>
    <cellStyle name="Normal 5 5 2 6 2 2" xfId="8634" xr:uid="{00000000-0005-0000-0000-0000701B0000}"/>
    <cellStyle name="Normal 5 5 2 6 2 2 2" xfId="17960" xr:uid="{9D3E15BF-9AAE-4B77-8BDC-2C245117EDBA}"/>
    <cellStyle name="Normal 5 5 2 6 2 2 3" xfId="26407" xr:uid="{C43492F2-BA88-4BCA-B6BF-34CA3F1EED18}"/>
    <cellStyle name="Normal 5 5 2 6 2 2 4" xfId="34854" xr:uid="{1A90D1CA-2E5B-4D58-B8C9-D41E8B7D8E0A}"/>
    <cellStyle name="Normal 5 5 2 6 2 3" xfId="13743" xr:uid="{ED0FF650-BA59-4066-BA48-3A1C16221C7C}"/>
    <cellStyle name="Normal 5 5 2 6 2 4" xfId="22190" xr:uid="{04C76B34-C531-41C8-A186-80861A615CA9}"/>
    <cellStyle name="Normal 5 5 2 6 2 5" xfId="30637" xr:uid="{ADF2C132-3357-4946-96AC-7503DA307FD7}"/>
    <cellStyle name="Normal 5 5 2 6 3" xfId="6489" xr:uid="{00000000-0005-0000-0000-0000711B0000}"/>
    <cellStyle name="Normal 5 5 2 6 3 2" xfId="15815" xr:uid="{C44FAD4C-A642-4226-8D2A-691A81FA564B}"/>
    <cellStyle name="Normal 5 5 2 6 3 3" xfId="24262" xr:uid="{A1709711-C272-480A-8D5B-6E81F950E0D9}"/>
    <cellStyle name="Normal 5 5 2 6 3 4" xfId="32709" xr:uid="{33F8D4FA-5D5E-4EEE-AA76-C3887F44999D}"/>
    <cellStyle name="Normal 5 5 2 6 4" xfId="11598" xr:uid="{F6FD4205-2E72-4710-8AA1-E2CE109072F3}"/>
    <cellStyle name="Normal 5 5 2 6 5" xfId="20045" xr:uid="{DD182260-CECD-4318-A45F-B0EEF505A0DE}"/>
    <cellStyle name="Normal 5 5 2 6 6" xfId="28492" xr:uid="{CA889E59-4873-4B97-B8EA-526D2489201F}"/>
    <cellStyle name="Normal 5 5 2 7" xfId="2619" xr:uid="{00000000-0005-0000-0000-0000721B0000}"/>
    <cellStyle name="Normal 5 5 2 7 2" xfId="6902" xr:uid="{00000000-0005-0000-0000-0000731B0000}"/>
    <cellStyle name="Normal 5 5 2 7 2 2" xfId="16228" xr:uid="{D0E9CCE5-9FB8-4516-84A3-9DF8F2396C76}"/>
    <cellStyle name="Normal 5 5 2 7 2 3" xfId="24675" xr:uid="{741FC1C2-694A-4BD4-91D2-C720B209D803}"/>
    <cellStyle name="Normal 5 5 2 7 2 4" xfId="33122" xr:uid="{319F3FCB-6FCA-4491-9573-0FF674DEC216}"/>
    <cellStyle name="Normal 5 5 2 7 3" xfId="12011" xr:uid="{F1FC1B1A-19BE-4165-92AD-69062D752662}"/>
    <cellStyle name="Normal 5 5 2 7 4" xfId="20458" xr:uid="{B7F9D237-B6A9-4CE8-B0E1-ED726E18D05B}"/>
    <cellStyle name="Normal 5 5 2 7 5" xfId="28905" xr:uid="{55768919-9D94-4414-8C4F-4C34E06875E8}"/>
    <cellStyle name="Normal 5 5 2 8" xfId="4837" xr:uid="{00000000-0005-0000-0000-0000741B0000}"/>
    <cellStyle name="Normal 5 5 2 8 2" xfId="14163" xr:uid="{FAB07A02-8B0B-409C-A010-80CC9EC0BBF6}"/>
    <cellStyle name="Normal 5 5 2 8 3" xfId="22610" xr:uid="{E2B60A87-F408-4DF6-B6E8-798FF2933366}"/>
    <cellStyle name="Normal 5 5 2 8 4" xfId="31057" xr:uid="{FB85EF29-9103-4B97-BB0C-FFC680C856CE}"/>
    <cellStyle name="Normal 5 5 2 9" xfId="8929" xr:uid="{918246BA-1946-46D4-8BAF-6DC0C4DC8AC3}"/>
    <cellStyle name="Normal 5 5 3" xfId="467" xr:uid="{00000000-0005-0000-0000-0000751B0000}"/>
    <cellStyle name="Normal 5 5 3 10" xfId="18395" xr:uid="{8B172814-8A54-42DA-AA65-27AD84C03DBA}"/>
    <cellStyle name="Normal 5 5 3 11" xfId="26842" xr:uid="{718C7666-A6C7-41C7-83F0-513F284AC57F}"/>
    <cellStyle name="Normal 5 5 3 2" xfId="941" xr:uid="{00000000-0005-0000-0000-0000761B0000}"/>
    <cellStyle name="Normal 5 5 3 2 2" xfId="3175" xr:uid="{00000000-0005-0000-0000-0000771B0000}"/>
    <cellStyle name="Normal 5 5 3 2 2 2" xfId="7397" xr:uid="{00000000-0005-0000-0000-0000781B0000}"/>
    <cellStyle name="Normal 5 5 3 2 2 2 2" xfId="16723" xr:uid="{DAABC5CE-0150-4E4D-BDC0-DD8930B294D3}"/>
    <cellStyle name="Normal 5 5 3 2 2 2 3" xfId="25170" xr:uid="{0B59B4D7-3888-49F0-9A37-F3D7C74FC2E8}"/>
    <cellStyle name="Normal 5 5 3 2 2 2 4" xfId="33617" xr:uid="{E82CBAC5-BB9A-4F06-8E29-7FDD8E88B8DA}"/>
    <cellStyle name="Normal 5 5 3 2 2 3" xfId="12506" xr:uid="{2B130537-4703-4C24-86DD-BE286506F328}"/>
    <cellStyle name="Normal 5 5 3 2 2 4" xfId="20953" xr:uid="{94A7B94C-735E-402B-8197-48AB9AF0BB92}"/>
    <cellStyle name="Normal 5 5 3 2 2 5" xfId="29400" xr:uid="{8B5B60E1-D4B5-483D-ACF6-80CAD0E21285}"/>
    <cellStyle name="Normal 5 5 3 2 3" xfId="5252" xr:uid="{00000000-0005-0000-0000-0000791B0000}"/>
    <cellStyle name="Normal 5 5 3 2 3 2" xfId="14578" xr:uid="{365A1CF2-BD2B-4A4A-B56F-DF896F2D80C9}"/>
    <cellStyle name="Normal 5 5 3 2 3 3" xfId="23025" xr:uid="{05564860-2527-4424-9B7D-FCAA887E3299}"/>
    <cellStyle name="Normal 5 5 3 2 3 4" xfId="31472" xr:uid="{E66D1263-CAC6-40A0-B979-CEDF829A1DE7}"/>
    <cellStyle name="Normal 5 5 3 2 4" xfId="9458" xr:uid="{8AD16727-CFBF-4DB5-B58F-04D48E2B564D}"/>
    <cellStyle name="Normal 5 5 3 2 5" xfId="10361" xr:uid="{54F73E33-A765-4AC5-864A-FD7DE2E6C0A8}"/>
    <cellStyle name="Normal 5 5 3 2 6" xfId="18808" xr:uid="{6D03189B-AE93-40B1-829E-F727D1718E5A}"/>
    <cellStyle name="Normal 5 5 3 2 7" xfId="27255" xr:uid="{1C1E1DD5-9771-4F52-8D2E-69241E6BBB81}"/>
    <cellStyle name="Normal 5 5 3 3" xfId="1358" xr:uid="{00000000-0005-0000-0000-00007A1B0000}"/>
    <cellStyle name="Normal 5 5 3 3 2" xfId="3588" xr:uid="{00000000-0005-0000-0000-00007B1B0000}"/>
    <cellStyle name="Normal 5 5 3 3 2 2" xfId="7810" xr:uid="{00000000-0005-0000-0000-00007C1B0000}"/>
    <cellStyle name="Normal 5 5 3 3 2 2 2" xfId="17136" xr:uid="{CDFA5D62-E9BA-481F-8C96-3FB0A6BCF613}"/>
    <cellStyle name="Normal 5 5 3 3 2 2 3" xfId="25583" xr:uid="{EF360216-9F7B-41CE-8D87-D0DE93E6716D}"/>
    <cellStyle name="Normal 5 5 3 3 2 2 4" xfId="34030" xr:uid="{D5A71294-398D-48F8-9698-BCD548611D85}"/>
    <cellStyle name="Normal 5 5 3 3 2 3" xfId="12919" xr:uid="{CC4C2588-E870-4424-9CD0-B8FD3ED309F0}"/>
    <cellStyle name="Normal 5 5 3 3 2 4" xfId="21366" xr:uid="{05EF66AA-F597-4203-B883-4BFDD348122D}"/>
    <cellStyle name="Normal 5 5 3 3 2 5" xfId="29813" xr:uid="{8BCAF11D-8EEA-46D0-854C-0B310ACA70C9}"/>
    <cellStyle name="Normal 5 5 3 3 3" xfId="5665" xr:uid="{00000000-0005-0000-0000-00007D1B0000}"/>
    <cellStyle name="Normal 5 5 3 3 3 2" xfId="14991" xr:uid="{B5B14CFC-B330-44E9-8D11-0A3129095B26}"/>
    <cellStyle name="Normal 5 5 3 3 3 3" xfId="23438" xr:uid="{266DB78A-B7D1-46B4-A719-647BC66CFA0F}"/>
    <cellStyle name="Normal 5 5 3 3 3 4" xfId="31885" xr:uid="{3C215A4D-8EDE-4922-8EB1-DD7BA3C8CBDF}"/>
    <cellStyle name="Normal 5 5 3 3 4" xfId="10774" xr:uid="{AB64513E-1D9D-428E-BE83-9E18EE9FE758}"/>
    <cellStyle name="Normal 5 5 3 3 5" xfId="19221" xr:uid="{0604E802-62D5-4166-AEAE-922C86FB1EA1}"/>
    <cellStyle name="Normal 5 5 3 3 6" xfId="27668" xr:uid="{071434A7-E139-4D60-B540-9C88FDD0307C}"/>
    <cellStyle name="Normal 5 5 3 4" xfId="1771" xr:uid="{00000000-0005-0000-0000-00007E1B0000}"/>
    <cellStyle name="Normal 5 5 3 4 2" xfId="4001" xr:uid="{00000000-0005-0000-0000-00007F1B0000}"/>
    <cellStyle name="Normal 5 5 3 4 2 2" xfId="8223" xr:uid="{00000000-0005-0000-0000-0000801B0000}"/>
    <cellStyle name="Normal 5 5 3 4 2 2 2" xfId="17549" xr:uid="{3A7D0C69-EADA-4728-8D25-366EA05BF395}"/>
    <cellStyle name="Normal 5 5 3 4 2 2 3" xfId="25996" xr:uid="{30C82A3F-005A-4CF3-893B-F37379929B55}"/>
    <cellStyle name="Normal 5 5 3 4 2 2 4" xfId="34443" xr:uid="{213A46D0-0228-4F10-8412-7970F80E7FE5}"/>
    <cellStyle name="Normal 5 5 3 4 2 3" xfId="13332" xr:uid="{9C3968DF-678A-45CE-8A4F-1658A13255FB}"/>
    <cellStyle name="Normal 5 5 3 4 2 4" xfId="21779" xr:uid="{52AA2093-18EC-4680-9F1A-542A4E06B768}"/>
    <cellStyle name="Normal 5 5 3 4 2 5" xfId="30226" xr:uid="{FB3330FB-081A-4E2B-BCE3-D6026C2364E2}"/>
    <cellStyle name="Normal 5 5 3 4 3" xfId="6078" xr:uid="{00000000-0005-0000-0000-0000811B0000}"/>
    <cellStyle name="Normal 5 5 3 4 3 2" xfId="15404" xr:uid="{EF18DF8D-7E64-4EB4-A3BD-14F8CF381A4A}"/>
    <cellStyle name="Normal 5 5 3 4 3 3" xfId="23851" xr:uid="{72B91385-6CC9-4CB2-8E8A-56A450F1920F}"/>
    <cellStyle name="Normal 5 5 3 4 3 4" xfId="32298" xr:uid="{135D3AA5-13C8-4B99-AC9E-53A02A25EB16}"/>
    <cellStyle name="Normal 5 5 3 4 4" xfId="11187" xr:uid="{0CDA4447-4A1E-4555-B575-C90EC1213AFD}"/>
    <cellStyle name="Normal 5 5 3 4 5" xfId="19634" xr:uid="{1010AA35-AD79-4EDE-A800-C0440F5E387D}"/>
    <cellStyle name="Normal 5 5 3 4 6" xfId="28081" xr:uid="{ACB44603-2A37-40BE-9B6E-1407D7026D28}"/>
    <cellStyle name="Normal 5 5 3 5" xfId="2185" xr:uid="{00000000-0005-0000-0000-0000821B0000}"/>
    <cellStyle name="Normal 5 5 3 5 2" xfId="4414" xr:uid="{00000000-0005-0000-0000-0000831B0000}"/>
    <cellStyle name="Normal 5 5 3 5 2 2" xfId="8636" xr:uid="{00000000-0005-0000-0000-0000841B0000}"/>
    <cellStyle name="Normal 5 5 3 5 2 2 2" xfId="17962" xr:uid="{86D51A45-E8CE-4A5C-9577-AB00E2375FF2}"/>
    <cellStyle name="Normal 5 5 3 5 2 2 3" xfId="26409" xr:uid="{E3323182-7A9A-4FDB-A67C-88A46E434A5E}"/>
    <cellStyle name="Normal 5 5 3 5 2 2 4" xfId="34856" xr:uid="{931D33B5-4E50-4FA3-8435-3CAE5938E66E}"/>
    <cellStyle name="Normal 5 5 3 5 2 3" xfId="13745" xr:uid="{B171D419-BD2E-494C-BB5F-92BE410D9977}"/>
    <cellStyle name="Normal 5 5 3 5 2 4" xfId="22192" xr:uid="{7B2258DD-A3B6-4540-9FC7-9861F8B6D124}"/>
    <cellStyle name="Normal 5 5 3 5 2 5" xfId="30639" xr:uid="{B8DE6078-1CB4-4D84-9F9C-D5341939AB48}"/>
    <cellStyle name="Normal 5 5 3 5 3" xfId="6491" xr:uid="{00000000-0005-0000-0000-0000851B0000}"/>
    <cellStyle name="Normal 5 5 3 5 3 2" xfId="15817" xr:uid="{937CAA69-F6D5-4A9D-8192-A017060370EE}"/>
    <cellStyle name="Normal 5 5 3 5 3 3" xfId="24264" xr:uid="{6F322709-A2D8-4B5E-9CB1-4885C35CF237}"/>
    <cellStyle name="Normal 5 5 3 5 3 4" xfId="32711" xr:uid="{E0BB0973-C8F4-4559-BA06-675554441861}"/>
    <cellStyle name="Normal 5 5 3 5 4" xfId="11600" xr:uid="{94735CE6-1B0F-48D2-9BD9-0B7653776F18}"/>
    <cellStyle name="Normal 5 5 3 5 5" xfId="20047" xr:uid="{ED3E078B-8625-4AF8-BCD6-51D0A894EECB}"/>
    <cellStyle name="Normal 5 5 3 5 6" xfId="28494" xr:uid="{BE63F2E4-501B-4060-8E36-2096E6CDFE38}"/>
    <cellStyle name="Normal 5 5 3 6" xfId="2621" xr:uid="{00000000-0005-0000-0000-0000861B0000}"/>
    <cellStyle name="Normal 5 5 3 6 2" xfId="6904" xr:uid="{00000000-0005-0000-0000-0000871B0000}"/>
    <cellStyle name="Normal 5 5 3 6 2 2" xfId="16230" xr:uid="{6FADCFE3-37CD-4BBB-98DC-F1385B9E4BD8}"/>
    <cellStyle name="Normal 5 5 3 6 2 3" xfId="24677" xr:uid="{CA38668B-1AD9-4D89-8806-EC8EFA153D20}"/>
    <cellStyle name="Normal 5 5 3 6 2 4" xfId="33124" xr:uid="{ECBF6A2F-D747-4A83-A1C3-15E3B5DED69A}"/>
    <cellStyle name="Normal 5 5 3 6 3" xfId="12013" xr:uid="{AD9754D4-B50A-4A1E-AFBD-D8A4241DA77A}"/>
    <cellStyle name="Normal 5 5 3 6 4" xfId="20460" xr:uid="{6EE0010B-6E29-41F0-AE39-0C4C853C04A9}"/>
    <cellStyle name="Normal 5 5 3 6 5" xfId="28907" xr:uid="{439FD0FA-BED3-40FD-89ED-498880364F90}"/>
    <cellStyle name="Normal 5 5 3 7" xfId="4839" xr:uid="{00000000-0005-0000-0000-0000881B0000}"/>
    <cellStyle name="Normal 5 5 3 7 2" xfId="14165" xr:uid="{B24B22DD-8460-46E7-98F4-3BF37E21AE97}"/>
    <cellStyle name="Normal 5 5 3 7 3" xfId="22612" xr:uid="{9061E5B0-6C68-4BCD-BCB9-8179F3312EE6}"/>
    <cellStyle name="Normal 5 5 3 7 4" xfId="31059" xr:uid="{D0743633-C285-482A-9026-DC1864A42C68}"/>
    <cellStyle name="Normal 5 5 3 8" xfId="9033" xr:uid="{08F77EF7-8D03-42D9-B538-FE3582C4B971}"/>
    <cellStyle name="Normal 5 5 3 9" xfId="9948" xr:uid="{CF29C9C6-6947-4BE3-B86F-1EFB301F4FE7}"/>
    <cellStyle name="Normal 5 5 4" xfId="938" xr:uid="{00000000-0005-0000-0000-0000891B0000}"/>
    <cellStyle name="Normal 5 5 4 2" xfId="3172" xr:uid="{00000000-0005-0000-0000-00008A1B0000}"/>
    <cellStyle name="Normal 5 5 4 2 2" xfId="7394" xr:uid="{00000000-0005-0000-0000-00008B1B0000}"/>
    <cellStyle name="Normal 5 5 4 2 2 2" xfId="16720" xr:uid="{F68897C4-9999-476E-A8FA-4F74301D3F07}"/>
    <cellStyle name="Normal 5 5 4 2 2 3" xfId="25167" xr:uid="{934E0F2D-9A88-4D70-95B4-92BA47319D04}"/>
    <cellStyle name="Normal 5 5 4 2 2 4" xfId="33614" xr:uid="{D30DAA28-3D41-4BC6-9B56-F08D28727D7F}"/>
    <cellStyle name="Normal 5 5 4 2 3" xfId="12503" xr:uid="{06C63BD0-9137-443A-BC25-877F96A3766A}"/>
    <cellStyle name="Normal 5 5 4 2 4" xfId="20950" xr:uid="{7C969B6B-491E-440B-BC59-C1283FF5DF6A}"/>
    <cellStyle name="Normal 5 5 4 2 5" xfId="29397" xr:uid="{8A492F4C-83A3-49CE-A4EF-147CF6B8DEE5}"/>
    <cellStyle name="Normal 5 5 4 3" xfId="5249" xr:uid="{00000000-0005-0000-0000-00008C1B0000}"/>
    <cellStyle name="Normal 5 5 4 3 2" xfId="14575" xr:uid="{1087EDF8-029A-4C3F-9379-E172AC263A7F}"/>
    <cellStyle name="Normal 5 5 4 3 3" xfId="23022" xr:uid="{906936D0-0034-4361-8DB7-347C6A6A07DE}"/>
    <cellStyle name="Normal 5 5 4 3 4" xfId="31469" xr:uid="{1CACE966-91FE-4F95-8DFE-7CA0C05BAF82}"/>
    <cellStyle name="Normal 5 5 4 4" xfId="9251" xr:uid="{4EAD9E35-D3C9-46BE-AE4D-29A1C6D5A6F7}"/>
    <cellStyle name="Normal 5 5 4 5" xfId="10358" xr:uid="{7A88FDC7-00D2-431E-A6F2-BBBDBB30AD5D}"/>
    <cellStyle name="Normal 5 5 4 6" xfId="18805" xr:uid="{CC1E70E3-993C-4AC3-928F-3B8E56F6028C}"/>
    <cellStyle name="Normal 5 5 4 7" xfId="27252" xr:uid="{913063CA-80C6-44AA-9ED3-55D81985A4C9}"/>
    <cellStyle name="Normal 5 5 5" xfId="1355" xr:uid="{00000000-0005-0000-0000-00008D1B0000}"/>
    <cellStyle name="Normal 5 5 5 2" xfId="3585" xr:uid="{00000000-0005-0000-0000-00008E1B0000}"/>
    <cellStyle name="Normal 5 5 5 2 2" xfId="7807" xr:uid="{00000000-0005-0000-0000-00008F1B0000}"/>
    <cellStyle name="Normal 5 5 5 2 2 2" xfId="17133" xr:uid="{E9475682-9899-4CBC-8207-677D5F526A6B}"/>
    <cellStyle name="Normal 5 5 5 2 2 3" xfId="25580" xr:uid="{52D00A08-5D9D-4BE4-B805-2DD1273DA338}"/>
    <cellStyle name="Normal 5 5 5 2 2 4" xfId="34027" xr:uid="{580319A1-9B9C-4C7E-9B69-7A985E7C1FC8}"/>
    <cellStyle name="Normal 5 5 5 2 3" xfId="12916" xr:uid="{4DEBA852-99DE-4B13-9707-497A86FFC15C}"/>
    <cellStyle name="Normal 5 5 5 2 4" xfId="21363" xr:uid="{4F80F165-A727-4D15-BCA5-C37E9CBE7F5C}"/>
    <cellStyle name="Normal 5 5 5 2 5" xfId="29810" xr:uid="{3C3BA1FF-0006-4705-B12B-2B4E54BC41DB}"/>
    <cellStyle name="Normal 5 5 5 3" xfId="5662" xr:uid="{00000000-0005-0000-0000-0000901B0000}"/>
    <cellStyle name="Normal 5 5 5 3 2" xfId="14988" xr:uid="{B7CC53FC-ED52-4A09-9E55-21BA8DF319F7}"/>
    <cellStyle name="Normal 5 5 5 3 3" xfId="23435" xr:uid="{5E9B259B-EB1C-4074-A187-3544D865738F}"/>
    <cellStyle name="Normal 5 5 5 3 4" xfId="31882" xr:uid="{30B909E5-2052-49FA-B9F9-F8D251C2D983}"/>
    <cellStyle name="Normal 5 5 5 4" xfId="10771" xr:uid="{C078B9B4-EDCA-4F49-A0A2-AD6D506352FC}"/>
    <cellStyle name="Normal 5 5 5 5" xfId="19218" xr:uid="{9FB47356-811C-4127-8641-C61E19C376F7}"/>
    <cellStyle name="Normal 5 5 5 6" xfId="27665" xr:uid="{DB147313-A3C8-4C89-B16C-428349DB54C8}"/>
    <cellStyle name="Normal 5 5 6" xfId="1768" xr:uid="{00000000-0005-0000-0000-0000911B0000}"/>
    <cellStyle name="Normal 5 5 6 2" xfId="3998" xr:uid="{00000000-0005-0000-0000-0000921B0000}"/>
    <cellStyle name="Normal 5 5 6 2 2" xfId="8220" xr:uid="{00000000-0005-0000-0000-0000931B0000}"/>
    <cellStyle name="Normal 5 5 6 2 2 2" xfId="17546" xr:uid="{9D13DACC-8765-4EB1-84BD-6C7FD0DBA27B}"/>
    <cellStyle name="Normal 5 5 6 2 2 3" xfId="25993" xr:uid="{ECCB081B-6FEA-4271-B8F9-F558B27551DA}"/>
    <cellStyle name="Normal 5 5 6 2 2 4" xfId="34440" xr:uid="{FF470E82-E7BF-4EF4-87AE-F4F1B721B6AC}"/>
    <cellStyle name="Normal 5 5 6 2 3" xfId="13329" xr:uid="{A1985D20-1964-42DC-8FAD-D3A3E230CEA3}"/>
    <cellStyle name="Normal 5 5 6 2 4" xfId="21776" xr:uid="{1A5E4770-9A7C-47BB-A071-3BD10E30A002}"/>
    <cellStyle name="Normal 5 5 6 2 5" xfId="30223" xr:uid="{486632A5-FCE1-46AD-949F-4C2BB5631F9B}"/>
    <cellStyle name="Normal 5 5 6 3" xfId="6075" xr:uid="{00000000-0005-0000-0000-0000941B0000}"/>
    <cellStyle name="Normal 5 5 6 3 2" xfId="15401" xr:uid="{78701667-5167-4BB1-883B-8DCB39183BBD}"/>
    <cellStyle name="Normal 5 5 6 3 3" xfId="23848" xr:uid="{D4902AB8-0EEA-47A7-8629-7840E0FD7CD3}"/>
    <cellStyle name="Normal 5 5 6 3 4" xfId="32295" xr:uid="{95D3B171-5EFE-476E-AE82-A498095A8D30}"/>
    <cellStyle name="Normal 5 5 6 4" xfId="11184" xr:uid="{9B31F338-1448-407B-A5BA-E0A6EB8146A0}"/>
    <cellStyle name="Normal 5 5 6 5" xfId="19631" xr:uid="{00273312-2170-4CCA-B0B2-0B7F09BA602F}"/>
    <cellStyle name="Normal 5 5 6 6" xfId="28078" xr:uid="{C82F9621-2577-41B2-9873-9FF490D91A42}"/>
    <cellStyle name="Normal 5 5 7" xfId="2182" xr:uid="{00000000-0005-0000-0000-0000951B0000}"/>
    <cellStyle name="Normal 5 5 7 2" xfId="4411" xr:uid="{00000000-0005-0000-0000-0000961B0000}"/>
    <cellStyle name="Normal 5 5 7 2 2" xfId="8633" xr:uid="{00000000-0005-0000-0000-0000971B0000}"/>
    <cellStyle name="Normal 5 5 7 2 2 2" xfId="17959" xr:uid="{C012123A-49C9-4520-9274-3A5A69C2124B}"/>
    <cellStyle name="Normal 5 5 7 2 2 3" xfId="26406" xr:uid="{36E63BCC-1E6F-4644-850B-CE5F1B0CBF1B}"/>
    <cellStyle name="Normal 5 5 7 2 2 4" xfId="34853" xr:uid="{3EBB44C3-5492-4FEE-A525-94538F0351BE}"/>
    <cellStyle name="Normal 5 5 7 2 3" xfId="13742" xr:uid="{E425C24D-7990-44C7-B55C-7980BCAFEBAB}"/>
    <cellStyle name="Normal 5 5 7 2 4" xfId="22189" xr:uid="{360E6AD6-0BA7-4D8C-8E76-7D262D403C57}"/>
    <cellStyle name="Normal 5 5 7 2 5" xfId="30636" xr:uid="{54D00EA0-D3E4-407D-9119-7D3607B1EFA5}"/>
    <cellStyle name="Normal 5 5 7 3" xfId="6488" xr:uid="{00000000-0005-0000-0000-0000981B0000}"/>
    <cellStyle name="Normal 5 5 7 3 2" xfId="15814" xr:uid="{4467026D-A405-45BA-9AFB-60A807421A06}"/>
    <cellStyle name="Normal 5 5 7 3 3" xfId="24261" xr:uid="{B3804934-EE60-4C4A-BDFA-E575DDB4BDD1}"/>
    <cellStyle name="Normal 5 5 7 3 4" xfId="32708" xr:uid="{B1DF9BA9-DF40-4EE0-865C-2BBC4A6B0DEA}"/>
    <cellStyle name="Normal 5 5 7 4" xfId="11597" xr:uid="{5B2D5D60-0BF8-4768-8CD8-89DB6B27FAF5}"/>
    <cellStyle name="Normal 5 5 7 5" xfId="20044" xr:uid="{C53E4F0F-1E89-4F96-9A8A-727BCC916AE1}"/>
    <cellStyle name="Normal 5 5 7 6" xfId="28491" xr:uid="{E15A1226-26AC-47CB-B612-F6A68C105CDA}"/>
    <cellStyle name="Normal 5 5 8" xfId="2618" xr:uid="{00000000-0005-0000-0000-0000991B0000}"/>
    <cellStyle name="Normal 5 5 8 2" xfId="6901" xr:uid="{00000000-0005-0000-0000-00009A1B0000}"/>
    <cellStyle name="Normal 5 5 8 2 2" xfId="16227" xr:uid="{3873A566-01BC-4ECB-B5C0-467C73E0FB35}"/>
    <cellStyle name="Normal 5 5 8 2 3" xfId="24674" xr:uid="{33DCA9B2-4E6B-40B2-AA24-11A80246E9EF}"/>
    <cellStyle name="Normal 5 5 8 2 4" xfId="33121" xr:uid="{F8D09F7D-448F-416C-9FCD-335633A56412}"/>
    <cellStyle name="Normal 5 5 8 3" xfId="12010" xr:uid="{09135682-41FF-4318-9496-A7C6C34AB4D5}"/>
    <cellStyle name="Normal 5 5 8 4" xfId="20457" xr:uid="{59F769E3-1AD8-4FA4-8F00-DB649003FBE9}"/>
    <cellStyle name="Normal 5 5 8 5" xfId="28904" xr:uid="{6ACDE51D-DD33-4A0C-BF95-AFCCFD4694DF}"/>
    <cellStyle name="Normal 5 5 9" xfId="4836" xr:uid="{00000000-0005-0000-0000-00009B1B0000}"/>
    <cellStyle name="Normal 5 5 9 2" xfId="14162" xr:uid="{EB7C823D-9FC3-4404-80DD-EB837D969CF6}"/>
    <cellStyle name="Normal 5 5 9 3" xfId="22609" xr:uid="{61ACA698-3945-4050-B248-C7024467CD54}"/>
    <cellStyle name="Normal 5 5 9 4" xfId="31056" xr:uid="{85DF2985-EAB4-483F-B63C-B5BC5894F4C8}"/>
    <cellStyle name="Normal 5 6" xfId="468" xr:uid="{00000000-0005-0000-0000-00009C1B0000}"/>
    <cellStyle name="Normal 5 6 10" xfId="9949" xr:uid="{F9B17275-9446-498D-8A36-A65B663103F7}"/>
    <cellStyle name="Normal 5 6 11" xfId="18396" xr:uid="{DB5B93B9-1423-49E2-B54F-D21EA70992A1}"/>
    <cellStyle name="Normal 5 6 12" xfId="26843" xr:uid="{60EE3AB3-A31A-462F-923F-2F5123A0A0E9}"/>
    <cellStyle name="Normal 5 6 2" xfId="469" xr:uid="{00000000-0005-0000-0000-00009D1B0000}"/>
    <cellStyle name="Normal 5 6 2 10" xfId="18397" xr:uid="{C0EE022E-8940-4C4B-BD18-CB306C64AE38}"/>
    <cellStyle name="Normal 5 6 2 11" xfId="26844" xr:uid="{EAB2A441-269A-4A76-B6B3-9E15B03B98EA}"/>
    <cellStyle name="Normal 5 6 2 2" xfId="943" xr:uid="{00000000-0005-0000-0000-00009E1B0000}"/>
    <cellStyle name="Normal 5 6 2 2 2" xfId="3177" xr:uid="{00000000-0005-0000-0000-00009F1B0000}"/>
    <cellStyle name="Normal 5 6 2 2 2 2" xfId="7399" xr:uid="{00000000-0005-0000-0000-0000A01B0000}"/>
    <cellStyle name="Normal 5 6 2 2 2 2 2" xfId="16725" xr:uid="{E3574674-79D1-40FC-A467-01583A7F2050}"/>
    <cellStyle name="Normal 5 6 2 2 2 2 3" xfId="25172" xr:uid="{56597A5E-B77F-4D2E-8497-8507D6483155}"/>
    <cellStyle name="Normal 5 6 2 2 2 2 4" xfId="33619" xr:uid="{740B8FAC-2C2A-4133-A453-C20EA6B663DD}"/>
    <cellStyle name="Normal 5 6 2 2 2 3" xfId="12508" xr:uid="{DFF63C9E-B402-4240-8DAD-E51CA3A67F14}"/>
    <cellStyle name="Normal 5 6 2 2 2 4" xfId="20955" xr:uid="{5144E99E-2CC4-42E5-9B73-BF402BC50C4A}"/>
    <cellStyle name="Normal 5 6 2 2 2 5" xfId="29402" xr:uid="{2A08A2DD-9FD3-48C9-A3F3-9DA351219CEE}"/>
    <cellStyle name="Normal 5 6 2 2 3" xfId="5254" xr:uid="{00000000-0005-0000-0000-0000A11B0000}"/>
    <cellStyle name="Normal 5 6 2 2 3 2" xfId="14580" xr:uid="{352E06D6-7BA7-4239-8A8A-67F2748C5C65}"/>
    <cellStyle name="Normal 5 6 2 2 3 3" xfId="23027" xr:uid="{B4E4F5C7-4D1A-4BC9-BD78-B619D648D4D1}"/>
    <cellStyle name="Normal 5 6 2 2 3 4" xfId="31474" xr:uid="{2AD843F5-D4B9-4841-B295-432D0747248D}"/>
    <cellStyle name="Normal 5 6 2 2 4" xfId="9476" xr:uid="{3B3E6CA1-4D97-4B11-99D5-4F82314AA0E0}"/>
    <cellStyle name="Normal 5 6 2 2 5" xfId="10363" xr:uid="{2125929D-FB83-4BC6-9B92-8E3C21443E7F}"/>
    <cellStyle name="Normal 5 6 2 2 6" xfId="18810" xr:uid="{B41CEDB9-D721-418F-B28B-42E47056D89B}"/>
    <cellStyle name="Normal 5 6 2 2 7" xfId="27257" xr:uid="{ECC03D07-AD98-4B0A-BACF-BEAF3392E3C8}"/>
    <cellStyle name="Normal 5 6 2 3" xfId="1360" xr:uid="{00000000-0005-0000-0000-0000A21B0000}"/>
    <cellStyle name="Normal 5 6 2 3 2" xfId="3590" xr:uid="{00000000-0005-0000-0000-0000A31B0000}"/>
    <cellStyle name="Normal 5 6 2 3 2 2" xfId="7812" xr:uid="{00000000-0005-0000-0000-0000A41B0000}"/>
    <cellStyle name="Normal 5 6 2 3 2 2 2" xfId="17138" xr:uid="{83F0937E-E489-4F5A-B199-B5423691D9DC}"/>
    <cellStyle name="Normal 5 6 2 3 2 2 3" xfId="25585" xr:uid="{E7C78623-B26B-48C7-A090-066D038E8466}"/>
    <cellStyle name="Normal 5 6 2 3 2 2 4" xfId="34032" xr:uid="{EB671D19-7B42-40F4-A2A5-80D6E7B31CD0}"/>
    <cellStyle name="Normal 5 6 2 3 2 3" xfId="12921" xr:uid="{F98581D1-BA0A-49E9-A00C-797EAC5F2D31}"/>
    <cellStyle name="Normal 5 6 2 3 2 4" xfId="21368" xr:uid="{2C34E474-30B3-49E3-8488-F1E6B5B5284C}"/>
    <cellStyle name="Normal 5 6 2 3 2 5" xfId="29815" xr:uid="{18DDF39E-077F-4EAA-A87B-D29E24896362}"/>
    <cellStyle name="Normal 5 6 2 3 3" xfId="5667" xr:uid="{00000000-0005-0000-0000-0000A51B0000}"/>
    <cellStyle name="Normal 5 6 2 3 3 2" xfId="14993" xr:uid="{0C9996EB-D567-4137-9FD1-CE0FC8E0BDA9}"/>
    <cellStyle name="Normal 5 6 2 3 3 3" xfId="23440" xr:uid="{83B6D87D-36A6-47FD-9261-BB0C9067453D}"/>
    <cellStyle name="Normal 5 6 2 3 3 4" xfId="31887" xr:uid="{533FB760-E0F1-48F1-99A4-5A0FCAD264B2}"/>
    <cellStyle name="Normal 5 6 2 3 4" xfId="10776" xr:uid="{1919B8EE-EF8F-4DD8-A0E1-36C62A639D05}"/>
    <cellStyle name="Normal 5 6 2 3 5" xfId="19223" xr:uid="{BFB2CB03-9C42-4AF2-86D8-BF7878B8025C}"/>
    <cellStyle name="Normal 5 6 2 3 6" xfId="27670" xr:uid="{3AF97BE7-136E-4FD4-AFDD-6CD174A5B4F7}"/>
    <cellStyle name="Normal 5 6 2 4" xfId="1773" xr:uid="{00000000-0005-0000-0000-0000A61B0000}"/>
    <cellStyle name="Normal 5 6 2 4 2" xfId="4003" xr:uid="{00000000-0005-0000-0000-0000A71B0000}"/>
    <cellStyle name="Normal 5 6 2 4 2 2" xfId="8225" xr:uid="{00000000-0005-0000-0000-0000A81B0000}"/>
    <cellStyle name="Normal 5 6 2 4 2 2 2" xfId="17551" xr:uid="{D2CC9AA4-856D-40C5-B8FE-C231E0774035}"/>
    <cellStyle name="Normal 5 6 2 4 2 2 3" xfId="25998" xr:uid="{37B35EA5-A5FA-4A75-9DB4-750266D0458F}"/>
    <cellStyle name="Normal 5 6 2 4 2 2 4" xfId="34445" xr:uid="{722E74A4-472D-49B1-BF83-03DDC86478D3}"/>
    <cellStyle name="Normal 5 6 2 4 2 3" xfId="13334" xr:uid="{C7330F49-3E52-410B-87ED-8DC0ABF23048}"/>
    <cellStyle name="Normal 5 6 2 4 2 4" xfId="21781" xr:uid="{C8480CCF-CFB0-4C4B-B5D2-37DACB716F61}"/>
    <cellStyle name="Normal 5 6 2 4 2 5" xfId="30228" xr:uid="{253C9FC1-348E-40CE-A165-58F2B120056F}"/>
    <cellStyle name="Normal 5 6 2 4 3" xfId="6080" xr:uid="{00000000-0005-0000-0000-0000A91B0000}"/>
    <cellStyle name="Normal 5 6 2 4 3 2" xfId="15406" xr:uid="{2A2413FB-5762-4C24-B696-0299CD21FCE6}"/>
    <cellStyle name="Normal 5 6 2 4 3 3" xfId="23853" xr:uid="{E0A337C3-8841-40DB-88D9-63579E64597E}"/>
    <cellStyle name="Normal 5 6 2 4 3 4" xfId="32300" xr:uid="{5626605C-62E0-447E-96B2-E482D34B741B}"/>
    <cellStyle name="Normal 5 6 2 4 4" xfId="11189" xr:uid="{76C8035C-6848-4EA4-8898-EFC8F74D0F27}"/>
    <cellStyle name="Normal 5 6 2 4 5" xfId="19636" xr:uid="{DBBA95EC-AB3D-473B-BBCD-357F5046FA23}"/>
    <cellStyle name="Normal 5 6 2 4 6" xfId="28083" xr:uid="{A21B4F52-E152-428B-8992-D4DCAB87EA55}"/>
    <cellStyle name="Normal 5 6 2 5" xfId="2187" xr:uid="{00000000-0005-0000-0000-0000AA1B0000}"/>
    <cellStyle name="Normal 5 6 2 5 2" xfId="4416" xr:uid="{00000000-0005-0000-0000-0000AB1B0000}"/>
    <cellStyle name="Normal 5 6 2 5 2 2" xfId="8638" xr:uid="{00000000-0005-0000-0000-0000AC1B0000}"/>
    <cellStyle name="Normal 5 6 2 5 2 2 2" xfId="17964" xr:uid="{91B22EDE-5BEB-424F-A6B8-EB17E996E417}"/>
    <cellStyle name="Normal 5 6 2 5 2 2 3" xfId="26411" xr:uid="{CE42657E-C47D-4574-B359-7F5164A8ACA9}"/>
    <cellStyle name="Normal 5 6 2 5 2 2 4" xfId="34858" xr:uid="{8DFAE6CC-1A77-4530-A841-B0033E4F2079}"/>
    <cellStyle name="Normal 5 6 2 5 2 3" xfId="13747" xr:uid="{11527692-EDC8-41EC-B594-504BED8D01C0}"/>
    <cellStyle name="Normal 5 6 2 5 2 4" xfId="22194" xr:uid="{8B99F6DA-F9AD-4814-99D2-D0BD189784AD}"/>
    <cellStyle name="Normal 5 6 2 5 2 5" xfId="30641" xr:uid="{641D4096-8062-45C6-A56D-F39D1C952930}"/>
    <cellStyle name="Normal 5 6 2 5 3" xfId="6493" xr:uid="{00000000-0005-0000-0000-0000AD1B0000}"/>
    <cellStyle name="Normal 5 6 2 5 3 2" xfId="15819" xr:uid="{A77F3F7C-831C-4203-93FC-76E723A121EE}"/>
    <cellStyle name="Normal 5 6 2 5 3 3" xfId="24266" xr:uid="{88AD283E-DD5F-4FAB-817A-1B90FE9B492F}"/>
    <cellStyle name="Normal 5 6 2 5 3 4" xfId="32713" xr:uid="{C25D1718-763F-4DF1-85F9-D3205F1A2AE1}"/>
    <cellStyle name="Normal 5 6 2 5 4" xfId="11602" xr:uid="{7C9BB5BF-F747-4D29-AF61-FB95C597A183}"/>
    <cellStyle name="Normal 5 6 2 5 5" xfId="20049" xr:uid="{0A7B4A6C-31EA-4B4D-95FD-912D3A642E6D}"/>
    <cellStyle name="Normal 5 6 2 5 6" xfId="28496" xr:uid="{DC11DAB3-EAA6-40AF-A962-73173A47E4A7}"/>
    <cellStyle name="Normal 5 6 2 6" xfId="2623" xr:uid="{00000000-0005-0000-0000-0000AE1B0000}"/>
    <cellStyle name="Normal 5 6 2 6 2" xfId="6906" xr:uid="{00000000-0005-0000-0000-0000AF1B0000}"/>
    <cellStyle name="Normal 5 6 2 6 2 2" xfId="16232" xr:uid="{ACDCF500-6874-42E5-B5AA-36D390244CCE}"/>
    <cellStyle name="Normal 5 6 2 6 2 3" xfId="24679" xr:uid="{3A68DC4E-EFD2-4F82-9908-D2E05D835858}"/>
    <cellStyle name="Normal 5 6 2 6 2 4" xfId="33126" xr:uid="{AAFFC010-1EA9-4722-8039-A408235FBAC1}"/>
    <cellStyle name="Normal 5 6 2 6 3" xfId="12015" xr:uid="{D35AEA84-0F84-40E5-888F-3500D2655C31}"/>
    <cellStyle name="Normal 5 6 2 6 4" xfId="20462" xr:uid="{108C9EBE-B547-4974-9ABD-C61DF894FEB7}"/>
    <cellStyle name="Normal 5 6 2 6 5" xfId="28909" xr:uid="{E045C2F6-4D2F-4046-B631-CBE7DE0C6ECF}"/>
    <cellStyle name="Normal 5 6 2 7" xfId="4841" xr:uid="{00000000-0005-0000-0000-0000B01B0000}"/>
    <cellStyle name="Normal 5 6 2 7 2" xfId="14167" xr:uid="{DC9435A1-ED1E-4C57-B592-FCD48FB2475F}"/>
    <cellStyle name="Normal 5 6 2 7 3" xfId="22614" xr:uid="{D5CE8719-4366-4054-BAEC-05708B078BD1}"/>
    <cellStyle name="Normal 5 6 2 7 4" xfId="31061" xr:uid="{EE6088F2-E18C-4AFD-A433-82787AA08DA7}"/>
    <cellStyle name="Normal 5 6 2 8" xfId="9051" xr:uid="{97C72229-9AC1-4DA9-8A0B-8B4B6D970DE8}"/>
    <cellStyle name="Normal 5 6 2 9" xfId="9950" xr:uid="{868A453D-7BFF-4DE8-8A65-1C943EAE98AB}"/>
    <cellStyle name="Normal 5 6 3" xfId="942" xr:uid="{00000000-0005-0000-0000-0000B11B0000}"/>
    <cellStyle name="Normal 5 6 3 2" xfId="3176" xr:uid="{00000000-0005-0000-0000-0000B21B0000}"/>
    <cellStyle name="Normal 5 6 3 2 2" xfId="7398" xr:uid="{00000000-0005-0000-0000-0000B31B0000}"/>
    <cellStyle name="Normal 5 6 3 2 2 2" xfId="16724" xr:uid="{E39E1D0A-94A1-45A5-A2E8-AD0AFCABAD93}"/>
    <cellStyle name="Normal 5 6 3 2 2 3" xfId="25171" xr:uid="{CE0AD5F6-6845-4AFD-988F-BF8E1D387D3A}"/>
    <cellStyle name="Normal 5 6 3 2 2 4" xfId="33618" xr:uid="{A139D3E8-947D-4DBE-9B2C-C3E5B637A880}"/>
    <cellStyle name="Normal 5 6 3 2 3" xfId="12507" xr:uid="{5CEBAF60-36C2-4996-A183-A63EAF26F1C3}"/>
    <cellStyle name="Normal 5 6 3 2 4" xfId="20954" xr:uid="{C71EE4F0-40E6-4B22-AC6C-A27593B9D50C}"/>
    <cellStyle name="Normal 5 6 3 2 5" xfId="29401" xr:uid="{63457DD3-4B1F-40E1-BCFF-579EACD71B87}"/>
    <cellStyle name="Normal 5 6 3 3" xfId="5253" xr:uid="{00000000-0005-0000-0000-0000B41B0000}"/>
    <cellStyle name="Normal 5 6 3 3 2" xfId="14579" xr:uid="{AAE8A8F9-3403-4504-87D3-DC72E472E14E}"/>
    <cellStyle name="Normal 5 6 3 3 3" xfId="23026" xr:uid="{BA60F345-F81B-47B4-8B95-AA83DFF31D8B}"/>
    <cellStyle name="Normal 5 6 3 3 4" xfId="31473" xr:uid="{80660EB1-D985-4CBF-B0FB-08AF344D7F1F}"/>
    <cellStyle name="Normal 5 6 3 4" xfId="9269" xr:uid="{7D6728A0-C210-4F3F-8114-143B9AE0BFB4}"/>
    <cellStyle name="Normal 5 6 3 5" xfId="10362" xr:uid="{89B9D3DB-4D4B-4714-90D9-3E8E1313711F}"/>
    <cellStyle name="Normal 5 6 3 6" xfId="18809" xr:uid="{9C635589-65D1-4B91-8329-D625B79AFB81}"/>
    <cellStyle name="Normal 5 6 3 7" xfId="27256" xr:uid="{15C0705C-874F-4D16-880C-0D9E1E7B00A9}"/>
    <cellStyle name="Normal 5 6 4" xfId="1359" xr:uid="{00000000-0005-0000-0000-0000B51B0000}"/>
    <cellStyle name="Normal 5 6 4 2" xfId="3589" xr:uid="{00000000-0005-0000-0000-0000B61B0000}"/>
    <cellStyle name="Normal 5 6 4 2 2" xfId="7811" xr:uid="{00000000-0005-0000-0000-0000B71B0000}"/>
    <cellStyle name="Normal 5 6 4 2 2 2" xfId="17137" xr:uid="{0E4AAD17-B264-4C4D-ABEE-2B59564E0922}"/>
    <cellStyle name="Normal 5 6 4 2 2 3" xfId="25584" xr:uid="{B9D41257-5E7D-48E2-836F-CEEAD68841E8}"/>
    <cellStyle name="Normal 5 6 4 2 2 4" xfId="34031" xr:uid="{70D0EE1B-5674-4EEC-A4B9-456BC6733EE3}"/>
    <cellStyle name="Normal 5 6 4 2 3" xfId="12920" xr:uid="{E3D5095A-E02F-41A2-90B8-50D529DF41DB}"/>
    <cellStyle name="Normal 5 6 4 2 4" xfId="21367" xr:uid="{41BEE934-062D-4F19-83AE-E07441FAAD01}"/>
    <cellStyle name="Normal 5 6 4 2 5" xfId="29814" xr:uid="{06766DC0-C002-406B-9ACC-FECE4511EA4F}"/>
    <cellStyle name="Normal 5 6 4 3" xfId="5666" xr:uid="{00000000-0005-0000-0000-0000B81B0000}"/>
    <cellStyle name="Normal 5 6 4 3 2" xfId="14992" xr:uid="{62EEBA32-9769-49EA-8F6E-BD7BF9D90C43}"/>
    <cellStyle name="Normal 5 6 4 3 3" xfId="23439" xr:uid="{12B370FE-6209-4A7F-BD84-28746C2B946A}"/>
    <cellStyle name="Normal 5 6 4 3 4" xfId="31886" xr:uid="{4ED5A4F8-BB5F-4BDB-93C2-4CF223CEC966}"/>
    <cellStyle name="Normal 5 6 4 4" xfId="10775" xr:uid="{D1BA4713-B37D-48A3-A7F5-3DEAB8E9D481}"/>
    <cellStyle name="Normal 5 6 4 5" xfId="19222" xr:uid="{5E29B104-583E-44FD-A37F-0AC412294F99}"/>
    <cellStyle name="Normal 5 6 4 6" xfId="27669" xr:uid="{C9DB979D-1AD6-434F-BCB6-D141CBECC4CB}"/>
    <cellStyle name="Normal 5 6 5" xfId="1772" xr:uid="{00000000-0005-0000-0000-0000B91B0000}"/>
    <cellStyle name="Normal 5 6 5 2" xfId="4002" xr:uid="{00000000-0005-0000-0000-0000BA1B0000}"/>
    <cellStyle name="Normal 5 6 5 2 2" xfId="8224" xr:uid="{00000000-0005-0000-0000-0000BB1B0000}"/>
    <cellStyle name="Normal 5 6 5 2 2 2" xfId="17550" xr:uid="{B68F5B1B-67A6-42BE-8035-FAC8416B42FB}"/>
    <cellStyle name="Normal 5 6 5 2 2 3" xfId="25997" xr:uid="{D403D78D-4C5E-46C0-809F-3A7CFA538339}"/>
    <cellStyle name="Normal 5 6 5 2 2 4" xfId="34444" xr:uid="{107BC16D-E60C-4760-A4B8-6A924A238066}"/>
    <cellStyle name="Normal 5 6 5 2 3" xfId="13333" xr:uid="{537240F1-FD6D-4E70-8C74-257615C42973}"/>
    <cellStyle name="Normal 5 6 5 2 4" xfId="21780" xr:uid="{47D2A273-39D4-4B1E-8056-C7698A7F4015}"/>
    <cellStyle name="Normal 5 6 5 2 5" xfId="30227" xr:uid="{A7E3B468-5B28-4215-8C3D-8A4A92037E0C}"/>
    <cellStyle name="Normal 5 6 5 3" xfId="6079" xr:uid="{00000000-0005-0000-0000-0000BC1B0000}"/>
    <cellStyle name="Normal 5 6 5 3 2" xfId="15405" xr:uid="{103D143C-22C8-47FE-AAE8-E2C3B65E9350}"/>
    <cellStyle name="Normal 5 6 5 3 3" xfId="23852" xr:uid="{522C5B4C-0726-44C5-82F7-A2DC7D64CFEC}"/>
    <cellStyle name="Normal 5 6 5 3 4" xfId="32299" xr:uid="{FF1A9B07-FC60-40CA-84BA-00F7248F3121}"/>
    <cellStyle name="Normal 5 6 5 4" xfId="11188" xr:uid="{53F0439B-03D0-4161-8A0C-98F6AD64725D}"/>
    <cellStyle name="Normal 5 6 5 5" xfId="19635" xr:uid="{4A204E12-5A0C-4D1B-928B-30A052F8715D}"/>
    <cellStyle name="Normal 5 6 5 6" xfId="28082" xr:uid="{3AC3EA89-DED1-40B8-8B70-21A5C3933C5D}"/>
    <cellStyle name="Normal 5 6 6" xfId="2186" xr:uid="{00000000-0005-0000-0000-0000BD1B0000}"/>
    <cellStyle name="Normal 5 6 6 2" xfId="4415" xr:uid="{00000000-0005-0000-0000-0000BE1B0000}"/>
    <cellStyle name="Normal 5 6 6 2 2" xfId="8637" xr:uid="{00000000-0005-0000-0000-0000BF1B0000}"/>
    <cellStyle name="Normal 5 6 6 2 2 2" xfId="17963" xr:uid="{AB725DF0-77D1-4D20-9F7A-9F5A40030149}"/>
    <cellStyle name="Normal 5 6 6 2 2 3" xfId="26410" xr:uid="{EAE6B699-3072-4E56-B82E-FF3B4B73186D}"/>
    <cellStyle name="Normal 5 6 6 2 2 4" xfId="34857" xr:uid="{5EB9589A-56EB-416A-B24B-1E27575C6D38}"/>
    <cellStyle name="Normal 5 6 6 2 3" xfId="13746" xr:uid="{B51EAA93-0B4B-48C1-A818-826C3A727CCF}"/>
    <cellStyle name="Normal 5 6 6 2 4" xfId="22193" xr:uid="{C70628D2-B165-4608-9878-701925A30706}"/>
    <cellStyle name="Normal 5 6 6 2 5" xfId="30640" xr:uid="{93C66551-8391-44BC-B61A-89F8DF57A237}"/>
    <cellStyle name="Normal 5 6 6 3" xfId="6492" xr:uid="{00000000-0005-0000-0000-0000C01B0000}"/>
    <cellStyle name="Normal 5 6 6 3 2" xfId="15818" xr:uid="{90741A4D-A9F0-4343-A889-99924A277350}"/>
    <cellStyle name="Normal 5 6 6 3 3" xfId="24265" xr:uid="{96CB5CC4-94EA-46EA-8056-023FE6412B1C}"/>
    <cellStyle name="Normal 5 6 6 3 4" xfId="32712" xr:uid="{0C0D0DEA-CEF3-40B0-A3F6-9D68082CCBDC}"/>
    <cellStyle name="Normal 5 6 6 4" xfId="11601" xr:uid="{A22886E7-BD8C-4B54-BC54-11AD2755F578}"/>
    <cellStyle name="Normal 5 6 6 5" xfId="20048" xr:uid="{29D516AD-1B93-4669-AC24-23BB4DC2B1F2}"/>
    <cellStyle name="Normal 5 6 6 6" xfId="28495" xr:uid="{3B2B3E41-FE64-4F48-A30D-D0DD235185F9}"/>
    <cellStyle name="Normal 5 6 7" xfId="2622" xr:uid="{00000000-0005-0000-0000-0000C11B0000}"/>
    <cellStyle name="Normal 5 6 7 2" xfId="6905" xr:uid="{00000000-0005-0000-0000-0000C21B0000}"/>
    <cellStyle name="Normal 5 6 7 2 2" xfId="16231" xr:uid="{2155E17B-0AAD-423B-AAEF-AA3A9D63318C}"/>
    <cellStyle name="Normal 5 6 7 2 3" xfId="24678" xr:uid="{C8ED8180-3097-462D-8B58-354E8F00AA8E}"/>
    <cellStyle name="Normal 5 6 7 2 4" xfId="33125" xr:uid="{50827645-BC64-4C08-A67E-B0E789F540CD}"/>
    <cellStyle name="Normal 5 6 7 3" xfId="12014" xr:uid="{506899BE-FEC3-4809-8301-D60B61F3F1C9}"/>
    <cellStyle name="Normal 5 6 7 4" xfId="20461" xr:uid="{B38FAB19-AE54-4E5F-BF19-3EAA46DC108B}"/>
    <cellStyle name="Normal 5 6 7 5" xfId="28908" xr:uid="{089D7A23-B2A1-4EBB-A010-5069E53A5DC5}"/>
    <cellStyle name="Normal 5 6 8" xfId="4840" xr:uid="{00000000-0005-0000-0000-0000C31B0000}"/>
    <cellStyle name="Normal 5 6 8 2" xfId="14166" xr:uid="{A7FCC772-EFF0-4121-8AF0-8B5C44B8CA0F}"/>
    <cellStyle name="Normal 5 6 8 3" xfId="22613" xr:uid="{680EAD46-9B1F-4B39-8F14-E451B1B70023}"/>
    <cellStyle name="Normal 5 6 8 4" xfId="31060" xr:uid="{4E3ABDF2-9EB3-49AD-B108-0A94A529E1F1}"/>
    <cellStyle name="Normal 5 6 9" xfId="8844" xr:uid="{91B947E4-8FF0-409F-B157-688724766D9F}"/>
    <cellStyle name="Normal 5 7" xfId="470" xr:uid="{00000000-0005-0000-0000-0000C41B0000}"/>
    <cellStyle name="Normal 5 7 10" xfId="18398" xr:uid="{FF50A82D-D00D-4A29-BC63-740C0AD36FF9}"/>
    <cellStyle name="Normal 5 7 11" xfId="26845" xr:uid="{C08361FE-02A7-48A4-BD96-ADCCEF64D4C7}"/>
    <cellStyle name="Normal 5 7 2" xfId="944" xr:uid="{00000000-0005-0000-0000-0000C51B0000}"/>
    <cellStyle name="Normal 5 7 2 2" xfId="3178" xr:uid="{00000000-0005-0000-0000-0000C61B0000}"/>
    <cellStyle name="Normal 5 7 2 2 2" xfId="7400" xr:uid="{00000000-0005-0000-0000-0000C71B0000}"/>
    <cellStyle name="Normal 5 7 2 2 2 2" xfId="16726" xr:uid="{AB9C2002-4569-46B2-A246-EF80402652AB}"/>
    <cellStyle name="Normal 5 7 2 2 2 3" xfId="25173" xr:uid="{6783B54C-AA52-40A6-9B5A-02D514D0BDD2}"/>
    <cellStyle name="Normal 5 7 2 2 2 4" xfId="33620" xr:uid="{EC4BFFB3-5481-4BFE-91EC-D4F4CB0E7E53}"/>
    <cellStyle name="Normal 5 7 2 2 3" xfId="12509" xr:uid="{F7008099-CEFC-4070-A64C-88C5ED092784}"/>
    <cellStyle name="Normal 5 7 2 2 4" xfId="20956" xr:uid="{A5F5F750-EA45-44CC-99DB-09B812DC5BA9}"/>
    <cellStyle name="Normal 5 7 2 2 5" xfId="29403" xr:uid="{CBB3562A-0EAC-4B7F-B94D-3EC3BD59F320}"/>
    <cellStyle name="Normal 5 7 2 3" xfId="5255" xr:uid="{00000000-0005-0000-0000-0000C81B0000}"/>
    <cellStyle name="Normal 5 7 2 3 2" xfId="14581" xr:uid="{275117AA-985B-4C42-B7D0-3EF62DDEF822}"/>
    <cellStyle name="Normal 5 7 2 3 3" xfId="23028" xr:uid="{8680981D-60DA-42C7-9583-A545B7E626E0}"/>
    <cellStyle name="Normal 5 7 2 3 4" xfId="31475" xr:uid="{7577C4AD-598D-48A6-AFE9-92F3740EAC25}"/>
    <cellStyle name="Normal 5 7 2 4" xfId="9385" xr:uid="{2E4A3B0A-2E42-41AC-9564-09D1598995A2}"/>
    <cellStyle name="Normal 5 7 2 5" xfId="10364" xr:uid="{C8FE9D88-B911-4056-9878-761F62D64AD0}"/>
    <cellStyle name="Normal 5 7 2 6" xfId="18811" xr:uid="{BAC44339-8ECC-43A3-A814-4A8C05364C94}"/>
    <cellStyle name="Normal 5 7 2 7" xfId="27258" xr:uid="{AD4ADD5A-68AF-4096-840C-0089EDC7E017}"/>
    <cellStyle name="Normal 5 7 3" xfId="1361" xr:uid="{00000000-0005-0000-0000-0000C91B0000}"/>
    <cellStyle name="Normal 5 7 3 2" xfId="3591" xr:uid="{00000000-0005-0000-0000-0000CA1B0000}"/>
    <cellStyle name="Normal 5 7 3 2 2" xfId="7813" xr:uid="{00000000-0005-0000-0000-0000CB1B0000}"/>
    <cellStyle name="Normal 5 7 3 2 2 2" xfId="17139" xr:uid="{C3F31C69-0610-485B-8F2F-07464170CC69}"/>
    <cellStyle name="Normal 5 7 3 2 2 3" xfId="25586" xr:uid="{BF602631-F186-4225-88DD-6D2176B91FD3}"/>
    <cellStyle name="Normal 5 7 3 2 2 4" xfId="34033" xr:uid="{C2DA77EE-FD97-4418-94B2-D981526A02BB}"/>
    <cellStyle name="Normal 5 7 3 2 3" xfId="12922" xr:uid="{D2B2FFAB-BA2A-4282-BCB0-1EAC7FCF6B22}"/>
    <cellStyle name="Normal 5 7 3 2 4" xfId="21369" xr:uid="{C2E68D35-9328-4E29-AF9F-908608783426}"/>
    <cellStyle name="Normal 5 7 3 2 5" xfId="29816" xr:uid="{0C3D1D24-998F-48CE-B903-74B3AC78B57A}"/>
    <cellStyle name="Normal 5 7 3 3" xfId="5668" xr:uid="{00000000-0005-0000-0000-0000CC1B0000}"/>
    <cellStyle name="Normal 5 7 3 3 2" xfId="14994" xr:uid="{BB77D324-1E50-420B-9352-C85BBBEAF726}"/>
    <cellStyle name="Normal 5 7 3 3 3" xfId="23441" xr:uid="{232A7D4F-BAF5-4B71-90DB-388D498B7112}"/>
    <cellStyle name="Normal 5 7 3 3 4" xfId="31888" xr:uid="{3EC508BA-1F43-4010-8409-4547EDB13354}"/>
    <cellStyle name="Normal 5 7 3 4" xfId="10777" xr:uid="{0FEC9DC9-656E-41C4-B9D6-64D40FA595B6}"/>
    <cellStyle name="Normal 5 7 3 5" xfId="19224" xr:uid="{DD7FF5DD-4A4A-48A4-A280-ABFBEB2E1028}"/>
    <cellStyle name="Normal 5 7 3 6" xfId="27671" xr:uid="{599A512B-0121-486B-ADF6-0CDFE6A5CF19}"/>
    <cellStyle name="Normal 5 7 4" xfId="1774" xr:uid="{00000000-0005-0000-0000-0000CD1B0000}"/>
    <cellStyle name="Normal 5 7 4 2" xfId="4004" xr:uid="{00000000-0005-0000-0000-0000CE1B0000}"/>
    <cellStyle name="Normal 5 7 4 2 2" xfId="8226" xr:uid="{00000000-0005-0000-0000-0000CF1B0000}"/>
    <cellStyle name="Normal 5 7 4 2 2 2" xfId="17552" xr:uid="{002E7347-3BA7-48CC-B52C-4A9BF59B502E}"/>
    <cellStyle name="Normal 5 7 4 2 2 3" xfId="25999" xr:uid="{AA3178A4-E240-4B4A-AE4B-B5DE6F7FEF7A}"/>
    <cellStyle name="Normal 5 7 4 2 2 4" xfId="34446" xr:uid="{977A37EB-26E3-40CA-8D80-FD9CD51F4E42}"/>
    <cellStyle name="Normal 5 7 4 2 3" xfId="13335" xr:uid="{61DFFEFD-52AD-43FB-9CC5-E949432BACF8}"/>
    <cellStyle name="Normal 5 7 4 2 4" xfId="21782" xr:uid="{917184EB-EB04-459E-BD7C-497FFB1BFB97}"/>
    <cellStyle name="Normal 5 7 4 2 5" xfId="30229" xr:uid="{407CBE72-7038-4928-B479-F5752612FDC6}"/>
    <cellStyle name="Normal 5 7 4 3" xfId="6081" xr:uid="{00000000-0005-0000-0000-0000D01B0000}"/>
    <cellStyle name="Normal 5 7 4 3 2" xfId="15407" xr:uid="{1581AB4F-5828-473A-987C-0A90FE61EB94}"/>
    <cellStyle name="Normal 5 7 4 3 3" xfId="23854" xr:uid="{649C7735-E3C6-4AAE-A981-E6A4ECBAF1A0}"/>
    <cellStyle name="Normal 5 7 4 3 4" xfId="32301" xr:uid="{7B0CE285-042B-4294-BFC7-9DF14DF0FEA3}"/>
    <cellStyle name="Normal 5 7 4 4" xfId="11190" xr:uid="{31462B35-A3F5-4317-BD14-828510EA9A0A}"/>
    <cellStyle name="Normal 5 7 4 5" xfId="19637" xr:uid="{C85504B2-8674-4C53-B163-B7CB4A1CAF89}"/>
    <cellStyle name="Normal 5 7 4 6" xfId="28084" xr:uid="{3DCA0A08-62B8-43AE-8D6B-77350D34E25F}"/>
    <cellStyle name="Normal 5 7 5" xfId="2188" xr:uid="{00000000-0005-0000-0000-0000D11B0000}"/>
    <cellStyle name="Normal 5 7 5 2" xfId="4417" xr:uid="{00000000-0005-0000-0000-0000D21B0000}"/>
    <cellStyle name="Normal 5 7 5 2 2" xfId="8639" xr:uid="{00000000-0005-0000-0000-0000D31B0000}"/>
    <cellStyle name="Normal 5 7 5 2 2 2" xfId="17965" xr:uid="{64C0481C-D3AF-47AD-A423-479B65374454}"/>
    <cellStyle name="Normal 5 7 5 2 2 3" xfId="26412" xr:uid="{D3FA4D50-1CAD-4519-B266-4E6257610FD4}"/>
    <cellStyle name="Normal 5 7 5 2 2 4" xfId="34859" xr:uid="{883288EE-2845-4F8A-9D94-4E319DA3A5AA}"/>
    <cellStyle name="Normal 5 7 5 2 3" xfId="13748" xr:uid="{2A9FB5FB-DDC7-4786-8AD2-DB568D277333}"/>
    <cellStyle name="Normal 5 7 5 2 4" xfId="22195" xr:uid="{DD7B0240-856C-45F0-AD40-5B391B916D4A}"/>
    <cellStyle name="Normal 5 7 5 2 5" xfId="30642" xr:uid="{56378F8B-5462-425A-A4F4-79B7C19EDCE9}"/>
    <cellStyle name="Normal 5 7 5 3" xfId="6494" xr:uid="{00000000-0005-0000-0000-0000D41B0000}"/>
    <cellStyle name="Normal 5 7 5 3 2" xfId="15820" xr:uid="{4DA3AAF9-B524-4E39-BED3-E7CF8FF042EB}"/>
    <cellStyle name="Normal 5 7 5 3 3" xfId="24267" xr:uid="{1A6C524D-3AB1-4E23-B69A-6287345ECBF2}"/>
    <cellStyle name="Normal 5 7 5 3 4" xfId="32714" xr:uid="{A2848E7C-3D2E-47AF-9D22-53412FF2F259}"/>
    <cellStyle name="Normal 5 7 5 4" xfId="11603" xr:uid="{43285ED8-08FE-4F61-B2F7-002D50953DA1}"/>
    <cellStyle name="Normal 5 7 5 5" xfId="20050" xr:uid="{85C886EB-B35D-41FD-983A-195D65B02032}"/>
    <cellStyle name="Normal 5 7 5 6" xfId="28497" xr:uid="{846675A0-A900-4279-848E-B335676F4283}"/>
    <cellStyle name="Normal 5 7 6" xfId="2624" xr:uid="{00000000-0005-0000-0000-0000D51B0000}"/>
    <cellStyle name="Normal 5 7 6 2" xfId="6907" xr:uid="{00000000-0005-0000-0000-0000D61B0000}"/>
    <cellStyle name="Normal 5 7 6 2 2" xfId="16233" xr:uid="{2E0CA73B-23BD-4906-B018-0B340FC1C7CD}"/>
    <cellStyle name="Normal 5 7 6 2 3" xfId="24680" xr:uid="{0F73D5B8-850F-4349-B654-0DA04D1DD22D}"/>
    <cellStyle name="Normal 5 7 6 2 4" xfId="33127" xr:uid="{789416BA-81D5-45E0-9F50-EB99A55F4D5B}"/>
    <cellStyle name="Normal 5 7 6 3" xfId="12016" xr:uid="{47525625-7286-4ABC-BB96-3EFC93E7B9C2}"/>
    <cellStyle name="Normal 5 7 6 4" xfId="20463" xr:uid="{C51AC433-D8D9-4701-B1A4-33091A0B81CF}"/>
    <cellStyle name="Normal 5 7 6 5" xfId="28910" xr:uid="{20ECF34D-321F-4589-84C4-BF24C8A6E117}"/>
    <cellStyle name="Normal 5 7 7" xfId="4842" xr:uid="{00000000-0005-0000-0000-0000D71B0000}"/>
    <cellStyle name="Normal 5 7 7 2" xfId="14168" xr:uid="{9E258F8F-C4BC-47B9-A729-D28C6CF6DEF2}"/>
    <cellStyle name="Normal 5 7 7 3" xfId="22615" xr:uid="{55F85234-DA83-43B4-97AF-66E1B75F881F}"/>
    <cellStyle name="Normal 5 7 7 4" xfId="31062" xr:uid="{661D4C32-7A30-4CD5-BDF4-E6B45BCDC53B}"/>
    <cellStyle name="Normal 5 7 8" xfId="8960" xr:uid="{F4BEC964-53C9-4393-B7F1-69B47FC1FF25}"/>
    <cellStyle name="Normal 5 7 9" xfId="9951" xr:uid="{2EE78FF7-204D-44B9-BE75-D9289B70254F}"/>
    <cellStyle name="Normal 5 8" xfId="880" xr:uid="{00000000-0005-0000-0000-0000D81B0000}"/>
    <cellStyle name="Normal 5 8 2" xfId="3115" xr:uid="{00000000-0005-0000-0000-0000D91B0000}"/>
    <cellStyle name="Normal 5 8 2 2" xfId="7337" xr:uid="{00000000-0005-0000-0000-0000DA1B0000}"/>
    <cellStyle name="Normal 5 8 2 2 2" xfId="16663" xr:uid="{ECD0FAB0-CEB6-4936-BEF5-4EA14C11781D}"/>
    <cellStyle name="Normal 5 8 2 2 3" xfId="25110" xr:uid="{91A39124-1ED7-41CD-B972-184EC48C598A}"/>
    <cellStyle name="Normal 5 8 2 2 4" xfId="33557" xr:uid="{FF7AE698-1119-4681-9314-28A1093621A7}"/>
    <cellStyle name="Normal 5 8 2 3" xfId="12446" xr:uid="{FB0F20EC-DCE3-47A4-BD59-189658E2A8AD}"/>
    <cellStyle name="Normal 5 8 2 4" xfId="20893" xr:uid="{1690B933-12D8-4A6C-9A8C-1F926DF0864F}"/>
    <cellStyle name="Normal 5 8 2 5" xfId="29340" xr:uid="{4A574829-8C49-47A9-A852-9CEA74BBED0A}"/>
    <cellStyle name="Normal 5 8 3" xfId="5192" xr:uid="{00000000-0005-0000-0000-0000DB1B0000}"/>
    <cellStyle name="Normal 5 8 3 2" xfId="14518" xr:uid="{5A87FE7A-227E-4CA8-949A-A3D1F2CB2C29}"/>
    <cellStyle name="Normal 5 8 3 3" xfId="22965" xr:uid="{B3B5C7D5-B32D-4223-9D20-97EA17CEF4DB}"/>
    <cellStyle name="Normal 5 8 3 4" xfId="31412" xr:uid="{D6211653-A5F0-4644-90B9-8F1C7ED063AE}"/>
    <cellStyle name="Normal 5 8 4" xfId="9163" xr:uid="{44C7CAD4-DD7C-48E0-9142-8ED22123C662}"/>
    <cellStyle name="Normal 5 8 5" xfId="10301" xr:uid="{1EF8087B-4B73-4205-BB28-2967237B0C0E}"/>
    <cellStyle name="Normal 5 8 6" xfId="18748" xr:uid="{671960D5-8100-4764-969E-BA84324164AC}"/>
    <cellStyle name="Normal 5 8 7" xfId="27195" xr:uid="{EDB191DB-DB31-477F-B54A-D3E5A5327698}"/>
    <cellStyle name="Normal 5 9" xfId="1298" xr:uid="{00000000-0005-0000-0000-0000DC1B0000}"/>
    <cellStyle name="Normal 5 9 2" xfId="3528" xr:uid="{00000000-0005-0000-0000-0000DD1B0000}"/>
    <cellStyle name="Normal 5 9 2 2" xfId="7750" xr:uid="{00000000-0005-0000-0000-0000DE1B0000}"/>
    <cellStyle name="Normal 5 9 2 2 2" xfId="17076" xr:uid="{6EDE2DAC-3D4D-457F-A8D0-282C11C70340}"/>
    <cellStyle name="Normal 5 9 2 2 3" xfId="25523" xr:uid="{D02C8EB5-8E19-4FF0-BEBE-4119D3593470}"/>
    <cellStyle name="Normal 5 9 2 2 4" xfId="33970" xr:uid="{79A2FEE4-FF5A-4467-B92F-A424CBF60434}"/>
    <cellStyle name="Normal 5 9 2 3" xfId="12859" xr:uid="{BB3D5CA4-73F2-4CDE-8279-BC3DD9D17CE6}"/>
    <cellStyle name="Normal 5 9 2 4" xfId="21306" xr:uid="{F83D13CF-CEF4-4DDF-9AF9-81F2A92F14FD}"/>
    <cellStyle name="Normal 5 9 2 5" xfId="29753" xr:uid="{727D2983-8108-4134-9088-758BE42100BE}"/>
    <cellStyle name="Normal 5 9 3" xfId="5605" xr:uid="{00000000-0005-0000-0000-0000DF1B0000}"/>
    <cellStyle name="Normal 5 9 3 2" xfId="14931" xr:uid="{90FD939B-99B2-4953-B817-2E62810F7E86}"/>
    <cellStyle name="Normal 5 9 3 3" xfId="23378" xr:uid="{2C83DAD0-8A4F-4D15-92E8-254C3AC256FF}"/>
    <cellStyle name="Normal 5 9 3 4" xfId="31825" xr:uid="{BF282697-F5D5-4AF1-B747-3301C3F21281}"/>
    <cellStyle name="Normal 5 9 4" xfId="10714" xr:uid="{91102998-68D3-4804-8794-78E63CCF0F19}"/>
    <cellStyle name="Normal 5 9 5" xfId="19161" xr:uid="{E3E23FFC-9CED-46F9-880C-226593C53E55}"/>
    <cellStyle name="Normal 5 9 6" xfId="27608" xr:uid="{CC0812F8-6CD0-4EB0-A14C-7CB6444FD34A}"/>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17966" xr:uid="{ED06E9CC-A4E5-4EC5-B721-A3616948A301}"/>
    <cellStyle name="Normal 8 10 2 2 3" xfId="26413" xr:uid="{ECCFFB10-CFD9-4D53-A25F-B814D5991701}"/>
    <cellStyle name="Normal 8 10 2 2 4" xfId="34860" xr:uid="{2118CCCC-B165-443A-9539-5CAAA93CB683}"/>
    <cellStyle name="Normal 8 10 2 3" xfId="13749" xr:uid="{286239A7-F832-43C8-9BBA-8024BEECC1B0}"/>
    <cellStyle name="Normal 8 10 2 4" xfId="22196" xr:uid="{236ADBE2-9C0F-4D4C-BB93-3C3DCF584394}"/>
    <cellStyle name="Normal 8 10 2 5" xfId="30643" xr:uid="{C6698247-11BF-4930-9F3E-866D8F14DB4F}"/>
    <cellStyle name="Normal 8 10 3" xfId="6495" xr:uid="{00000000-0005-0000-0000-0000EB1B0000}"/>
    <cellStyle name="Normal 8 10 3 2" xfId="15821" xr:uid="{3F5B9B43-E2F0-4A3E-BB35-4DBF74962C31}"/>
    <cellStyle name="Normal 8 10 3 3" xfId="24268" xr:uid="{70FBD4E1-04FC-42F1-90AA-671399441495}"/>
    <cellStyle name="Normal 8 10 3 4" xfId="32715" xr:uid="{8B74E78A-1B16-4306-AE92-69C816006218}"/>
    <cellStyle name="Normal 8 10 4" xfId="11604" xr:uid="{F2944102-A261-4D9E-AA65-B8CA58CCA848}"/>
    <cellStyle name="Normal 8 10 5" xfId="20051" xr:uid="{F6DA4621-93D8-4FEA-B77A-4C7E6E8642BE}"/>
    <cellStyle name="Normal 8 10 6" xfId="28498" xr:uid="{33603BC8-B4CF-41CF-8F8F-2DFA3F71FCA8}"/>
    <cellStyle name="Normal 8 11" xfId="2625" xr:uid="{00000000-0005-0000-0000-0000EC1B0000}"/>
    <cellStyle name="Normal 8 11 2" xfId="6908" xr:uid="{00000000-0005-0000-0000-0000ED1B0000}"/>
    <cellStyle name="Normal 8 11 2 2" xfId="16234" xr:uid="{C0E7F7BB-A48B-498A-9481-E8F1AB793894}"/>
    <cellStyle name="Normal 8 11 2 3" xfId="24681" xr:uid="{CEBA0C30-8E94-44DA-BB81-07B69D012E9B}"/>
    <cellStyle name="Normal 8 11 2 4" xfId="33128" xr:uid="{AC79C7D8-231A-4490-8101-2C744CC437CC}"/>
    <cellStyle name="Normal 8 11 3" xfId="12017" xr:uid="{F3E6F455-22C3-4ABE-8DFB-C170A40F69B9}"/>
    <cellStyle name="Normal 8 11 4" xfId="20464" xr:uid="{8C8432A5-9BA3-4567-A324-E9CEE48EB7F4}"/>
    <cellStyle name="Normal 8 11 5" xfId="28911" xr:uid="{85BAF168-755F-4623-9904-3511C79382B6}"/>
    <cellStyle name="Normal 8 12" xfId="4843" xr:uid="{00000000-0005-0000-0000-0000EE1B0000}"/>
    <cellStyle name="Normal 8 12 2" xfId="14169" xr:uid="{C6903301-3BC0-48EF-929B-4C01D9DEECF4}"/>
    <cellStyle name="Normal 8 12 3" xfId="22616" xr:uid="{0E8E146A-1663-4F0F-A589-F7EA07C4E812}"/>
    <cellStyle name="Normal 8 12 4" xfId="31063" xr:uid="{E5352F52-BD2E-4B97-AD10-0A810C4A6B8E}"/>
    <cellStyle name="Normal 8 13" xfId="8742" xr:uid="{AF36CBBC-3EEB-4AC8-923B-65C7C2418AB0}"/>
    <cellStyle name="Normal 8 14" xfId="9952" xr:uid="{E96ED47D-529E-4166-834F-27C8A2160F19}"/>
    <cellStyle name="Normal 8 15" xfId="18399" xr:uid="{BFDC35F2-4AF8-4F0C-A574-E033FE23F8F9}"/>
    <cellStyle name="Normal 8 16" xfId="26846" xr:uid="{B8A178E5-E080-4E0D-9ED0-7FCF9BEA6944}"/>
    <cellStyle name="Normal 8 2" xfId="479" xr:uid="{00000000-0005-0000-0000-0000EF1B0000}"/>
    <cellStyle name="Normal 8 2 10" xfId="2626" xr:uid="{00000000-0005-0000-0000-0000F01B0000}"/>
    <cellStyle name="Normal 8 2 10 2" xfId="6909" xr:uid="{00000000-0005-0000-0000-0000F11B0000}"/>
    <cellStyle name="Normal 8 2 10 2 2" xfId="16235" xr:uid="{5FAD1997-EB82-4FBD-9642-599372D5B775}"/>
    <cellStyle name="Normal 8 2 10 2 3" xfId="24682" xr:uid="{76D081AF-ADC1-4FB9-8EFE-01414EBE7FD9}"/>
    <cellStyle name="Normal 8 2 10 2 4" xfId="33129" xr:uid="{0B9F025D-F4D5-4830-AB4E-B11CBA6A8AAC}"/>
    <cellStyle name="Normal 8 2 10 3" xfId="12018" xr:uid="{B37A1D66-9226-45BA-BEF9-4C1266F364EB}"/>
    <cellStyle name="Normal 8 2 10 4" xfId="20465" xr:uid="{0D3C1DD7-C6EE-4122-9A95-5B1306E40204}"/>
    <cellStyle name="Normal 8 2 10 5" xfId="28912" xr:uid="{955E6C54-EDCC-4399-8172-52EAF449F803}"/>
    <cellStyle name="Normal 8 2 11" xfId="4844" xr:uid="{00000000-0005-0000-0000-0000F21B0000}"/>
    <cellStyle name="Normal 8 2 11 2" xfId="14170" xr:uid="{815A501F-6DF8-41E5-BFE1-306B46647A67}"/>
    <cellStyle name="Normal 8 2 11 3" xfId="22617" xr:uid="{7354A17D-0B96-4551-B3B0-1F26E2E80DE3}"/>
    <cellStyle name="Normal 8 2 11 4" xfId="31064" xr:uid="{9D4E3B05-9847-44B3-9DFD-A450A5F4670F}"/>
    <cellStyle name="Normal 8 2 12" xfId="8751" xr:uid="{476D0553-3387-4D9F-B05B-56EC7A36F7A1}"/>
    <cellStyle name="Normal 8 2 13" xfId="9953" xr:uid="{A1D09855-DAFB-4E79-A9CD-5030B6862AFE}"/>
    <cellStyle name="Normal 8 2 14" xfId="18400" xr:uid="{AF703AEE-05F3-446A-BBEC-7E84EA1ACF07}"/>
    <cellStyle name="Normal 8 2 15" xfId="26847" xr:uid="{15C375AF-B5E5-4155-A97C-3A2EE7069A27}"/>
    <cellStyle name="Normal 8 2 2" xfId="480" xr:uid="{00000000-0005-0000-0000-0000F31B0000}"/>
    <cellStyle name="Normal 8 2 2 10" xfId="4845" xr:uid="{00000000-0005-0000-0000-0000F41B0000}"/>
    <cellStyle name="Normal 8 2 2 10 2" xfId="14171" xr:uid="{DF1ED178-8EE1-4820-9E59-72E7C0BDCEB3}"/>
    <cellStyle name="Normal 8 2 2 10 3" xfId="22618" xr:uid="{CAF62FD0-A061-4517-AA0E-51B13E21C941}"/>
    <cellStyle name="Normal 8 2 2 10 4" xfId="31065" xr:uid="{ACC23A0D-7B5C-4931-9611-6A98BB862084}"/>
    <cellStyle name="Normal 8 2 2 11" xfId="8783" xr:uid="{3C426022-C415-47DA-A8EF-1D6CE72527BD}"/>
    <cellStyle name="Normal 8 2 2 12" xfId="9954" xr:uid="{5F841AB1-D77A-45E5-8E39-51080FE84F6E}"/>
    <cellStyle name="Normal 8 2 2 13" xfId="18401" xr:uid="{82C119A0-626B-4B1B-80B5-E4C92BA88280}"/>
    <cellStyle name="Normal 8 2 2 14" xfId="26848" xr:uid="{053150D9-3DC6-4B39-8782-577959D72E7F}"/>
    <cellStyle name="Normal 8 2 2 2" xfId="481" xr:uid="{00000000-0005-0000-0000-0000F51B0000}"/>
    <cellStyle name="Normal 8 2 2 2 10" xfId="8836" xr:uid="{870E50AF-610D-4E0C-BDE0-389D6B32A0FA}"/>
    <cellStyle name="Normal 8 2 2 2 11" xfId="9955" xr:uid="{3325CE78-F030-4038-B842-D276BF9817FE}"/>
    <cellStyle name="Normal 8 2 2 2 12" xfId="18402" xr:uid="{588C27D6-7BBE-4152-BFA6-AF8E8098A585}"/>
    <cellStyle name="Normal 8 2 2 2 13" xfId="26849" xr:uid="{F9300D1A-B1EE-4D42-BBA6-686C49D3CE03}"/>
    <cellStyle name="Normal 8 2 2 2 2" xfId="482" xr:uid="{00000000-0005-0000-0000-0000F61B0000}"/>
    <cellStyle name="Normal 8 2 2 2 2 10" xfId="9956" xr:uid="{9F327158-B4C2-4018-B72D-F5A70425A337}"/>
    <cellStyle name="Normal 8 2 2 2 2 11" xfId="18403" xr:uid="{6CBB4E44-F60A-4B2C-995C-CA9908FEA836}"/>
    <cellStyle name="Normal 8 2 2 2 2 12" xfId="26850" xr:uid="{E85EE86D-CC7A-4A0B-9E1E-4B74A2C95FAD}"/>
    <cellStyle name="Normal 8 2 2 2 2 2" xfId="483" xr:uid="{00000000-0005-0000-0000-0000F71B0000}"/>
    <cellStyle name="Normal 8 2 2 2 2 2 10" xfId="18404" xr:uid="{0A3C2CAD-C677-4381-8ECD-BD508CA51F93}"/>
    <cellStyle name="Normal 8 2 2 2 2 2 11" xfId="26851" xr:uid="{82C6FC91-07CC-45AA-900D-B52F1C2773FE}"/>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16732" xr:uid="{1D68B1FB-1D99-4BDF-8066-94711E8E3C57}"/>
    <cellStyle name="Normal 8 2 2 2 2 2 2 2 2 3" xfId="25179" xr:uid="{39404364-67A2-477D-81A6-D2D582790FF2}"/>
    <cellStyle name="Normal 8 2 2 2 2 2 2 2 2 4" xfId="33626" xr:uid="{F66D32A9-C8E2-4D9F-9EEF-A4529EA0D736}"/>
    <cellStyle name="Normal 8 2 2 2 2 2 2 2 3" xfId="12515" xr:uid="{05D4D79C-6AD8-4CDC-8D0B-9D704F81DC5E}"/>
    <cellStyle name="Normal 8 2 2 2 2 2 2 2 4" xfId="20962" xr:uid="{BE9199C5-8F95-4CF9-B2C9-1AF4AC169DAA}"/>
    <cellStyle name="Normal 8 2 2 2 2 2 2 2 5" xfId="29409" xr:uid="{46648586-1538-44DD-A0E7-AF2672A8CF61}"/>
    <cellStyle name="Normal 8 2 2 2 2 2 2 3" xfId="5261" xr:uid="{00000000-0005-0000-0000-0000FB1B0000}"/>
    <cellStyle name="Normal 8 2 2 2 2 2 2 3 2" xfId="14587" xr:uid="{DDDC5762-2E85-4DE5-B8C9-77BA93BAAEED}"/>
    <cellStyle name="Normal 8 2 2 2 2 2 2 3 3" xfId="23034" xr:uid="{2FD144D6-2155-48F8-B787-096716305A40}"/>
    <cellStyle name="Normal 8 2 2 2 2 2 2 3 4" xfId="31481" xr:uid="{A5810A1D-37EE-418D-9DDD-393CDB39FF8C}"/>
    <cellStyle name="Normal 8 2 2 2 2 2 2 4" xfId="9571" xr:uid="{B467C179-FE08-45F9-B1E6-E66379D80EBC}"/>
    <cellStyle name="Normal 8 2 2 2 2 2 2 5" xfId="10370" xr:uid="{1E31FD14-DE87-4324-A22D-6CDA1218EB91}"/>
    <cellStyle name="Normal 8 2 2 2 2 2 2 6" xfId="18817" xr:uid="{DACC332C-2F8A-42E7-9189-C0C6CECC7C9F}"/>
    <cellStyle name="Normal 8 2 2 2 2 2 2 7" xfId="27264" xr:uid="{C25FC78B-B076-4EE6-B65B-607E38E51744}"/>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17145" xr:uid="{B89EF505-84AE-4FCF-A0B9-775B80312608}"/>
    <cellStyle name="Normal 8 2 2 2 2 2 3 2 2 3" xfId="25592" xr:uid="{61A9B658-775D-4B1C-BEA8-357CF5858D23}"/>
    <cellStyle name="Normal 8 2 2 2 2 2 3 2 2 4" xfId="34039" xr:uid="{E64A4185-FA98-4F01-9300-AAF500E3FE17}"/>
    <cellStyle name="Normal 8 2 2 2 2 2 3 2 3" xfId="12928" xr:uid="{65D411CB-59BF-47CC-8A96-D0A82242D41C}"/>
    <cellStyle name="Normal 8 2 2 2 2 2 3 2 4" xfId="21375" xr:uid="{BE730F69-541E-4A2C-8105-32F467EA965A}"/>
    <cellStyle name="Normal 8 2 2 2 2 2 3 2 5" xfId="29822" xr:uid="{69A3DC7D-8E32-4AEE-8CDD-39559083F214}"/>
    <cellStyle name="Normal 8 2 2 2 2 2 3 3" xfId="5674" xr:uid="{00000000-0005-0000-0000-0000FF1B0000}"/>
    <cellStyle name="Normal 8 2 2 2 2 2 3 3 2" xfId="15000" xr:uid="{7F718EB3-9653-4DA0-8FE3-02C4569EE6AF}"/>
    <cellStyle name="Normal 8 2 2 2 2 2 3 3 3" xfId="23447" xr:uid="{75615BC4-9A42-4790-9F42-812F908AD250}"/>
    <cellStyle name="Normal 8 2 2 2 2 2 3 3 4" xfId="31894" xr:uid="{2B675C8F-2908-455B-9C35-2760C7C14DE5}"/>
    <cellStyle name="Normal 8 2 2 2 2 2 3 4" xfId="10783" xr:uid="{9FE8E4D6-39EA-4CC4-ABBC-EB3F671502BA}"/>
    <cellStyle name="Normal 8 2 2 2 2 2 3 5" xfId="19230" xr:uid="{2460F53C-73D3-461A-9E21-84C28AD0B041}"/>
    <cellStyle name="Normal 8 2 2 2 2 2 3 6" xfId="27677" xr:uid="{E9FBA5E9-A294-4568-B65C-AC806F87523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17558" xr:uid="{4A6AC658-9E02-4B4F-A5ED-F417B1A8226C}"/>
    <cellStyle name="Normal 8 2 2 2 2 2 4 2 2 3" xfId="26005" xr:uid="{7AC5754A-F2FC-482E-89EF-819024C0F7F9}"/>
    <cellStyle name="Normal 8 2 2 2 2 2 4 2 2 4" xfId="34452" xr:uid="{429C18FF-4238-435B-9D30-0D845B85E7C3}"/>
    <cellStyle name="Normal 8 2 2 2 2 2 4 2 3" xfId="13341" xr:uid="{E74527EE-147D-4125-B664-2E510F3DA3A4}"/>
    <cellStyle name="Normal 8 2 2 2 2 2 4 2 4" xfId="21788" xr:uid="{FE09C1BA-09A2-49EC-9CC9-38DE4592383F}"/>
    <cellStyle name="Normal 8 2 2 2 2 2 4 2 5" xfId="30235" xr:uid="{ADA18459-A158-4474-B186-B497678D7334}"/>
    <cellStyle name="Normal 8 2 2 2 2 2 4 3" xfId="6087" xr:uid="{00000000-0005-0000-0000-0000031C0000}"/>
    <cellStyle name="Normal 8 2 2 2 2 2 4 3 2" xfId="15413" xr:uid="{35B3C1E4-BF7B-437E-BFA9-BFA08EB66D1A}"/>
    <cellStyle name="Normal 8 2 2 2 2 2 4 3 3" xfId="23860" xr:uid="{447809D2-7CE5-4D73-B725-42AF3A0E9014}"/>
    <cellStyle name="Normal 8 2 2 2 2 2 4 3 4" xfId="32307" xr:uid="{869007BB-5D97-4659-9CE3-AFB2A8F500F8}"/>
    <cellStyle name="Normal 8 2 2 2 2 2 4 4" xfId="11196" xr:uid="{C0371EAA-9169-4C76-9255-17FE727DC941}"/>
    <cellStyle name="Normal 8 2 2 2 2 2 4 5" xfId="19643" xr:uid="{D4D766EF-86DC-4361-B361-5B2A13546538}"/>
    <cellStyle name="Normal 8 2 2 2 2 2 4 6" xfId="28090" xr:uid="{A4F7BB55-ECDE-4143-B0FA-0EAAA05FAE06}"/>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17971" xr:uid="{718B8998-3E58-4388-8B2B-8A832D431E48}"/>
    <cellStyle name="Normal 8 2 2 2 2 2 5 2 2 3" xfId="26418" xr:uid="{79C80B30-10AC-472E-BFF9-340FDBB85253}"/>
    <cellStyle name="Normal 8 2 2 2 2 2 5 2 2 4" xfId="34865" xr:uid="{B721EC7D-A1C3-4B52-97E1-3B1D31E38B9C}"/>
    <cellStyle name="Normal 8 2 2 2 2 2 5 2 3" xfId="13754" xr:uid="{8D330F00-2B23-4A95-AE67-6F9D1709B453}"/>
    <cellStyle name="Normal 8 2 2 2 2 2 5 2 4" xfId="22201" xr:uid="{A87E3BE3-66B1-42E3-842A-E4148C78FFCD}"/>
    <cellStyle name="Normal 8 2 2 2 2 2 5 2 5" xfId="30648" xr:uid="{64B2D4D3-B5EE-444C-810D-D0F2FD0819FE}"/>
    <cellStyle name="Normal 8 2 2 2 2 2 5 3" xfId="6500" xr:uid="{00000000-0005-0000-0000-0000071C0000}"/>
    <cellStyle name="Normal 8 2 2 2 2 2 5 3 2" xfId="15826" xr:uid="{8A0ED360-71AA-484B-B689-BF7298BE1C9D}"/>
    <cellStyle name="Normal 8 2 2 2 2 2 5 3 3" xfId="24273" xr:uid="{3820D9B4-CB15-4E44-A8E4-2CAED548CD34}"/>
    <cellStyle name="Normal 8 2 2 2 2 2 5 3 4" xfId="32720" xr:uid="{970B9539-E1B4-4296-A618-A60BDE29F4AA}"/>
    <cellStyle name="Normal 8 2 2 2 2 2 5 4" xfId="11609" xr:uid="{186D7172-6C66-4D5E-9D37-66ECC692DFDD}"/>
    <cellStyle name="Normal 8 2 2 2 2 2 5 5" xfId="20056" xr:uid="{D4C01BDD-1DA2-4546-86BA-5AE8A5FCD777}"/>
    <cellStyle name="Normal 8 2 2 2 2 2 5 6" xfId="28503" xr:uid="{166D83AD-766D-4833-85DA-53221B127482}"/>
    <cellStyle name="Normal 8 2 2 2 2 2 6" xfId="2630" xr:uid="{00000000-0005-0000-0000-0000081C0000}"/>
    <cellStyle name="Normal 8 2 2 2 2 2 6 2" xfId="6913" xr:uid="{00000000-0005-0000-0000-0000091C0000}"/>
    <cellStyle name="Normal 8 2 2 2 2 2 6 2 2" xfId="16239" xr:uid="{53F4C15A-1D6C-4B71-B3E0-3768D06D8857}"/>
    <cellStyle name="Normal 8 2 2 2 2 2 6 2 3" xfId="24686" xr:uid="{07103D44-9C34-4582-97EF-FDB211A16896}"/>
    <cellStyle name="Normal 8 2 2 2 2 2 6 2 4" xfId="33133" xr:uid="{B0C0D55C-4E72-4CC7-B422-FD4880063BEC}"/>
    <cellStyle name="Normal 8 2 2 2 2 2 6 3" xfId="12022" xr:uid="{3A6DFCF3-AA42-4F88-A09B-1D7F5CC5244A}"/>
    <cellStyle name="Normal 8 2 2 2 2 2 6 4" xfId="20469" xr:uid="{B9ACE68D-08FC-4162-AFD1-1C3499F15C81}"/>
    <cellStyle name="Normal 8 2 2 2 2 2 6 5" xfId="28916" xr:uid="{50FF95BE-0BAD-43BD-B578-6A636B80B145}"/>
    <cellStyle name="Normal 8 2 2 2 2 2 7" xfId="4848" xr:uid="{00000000-0005-0000-0000-00000A1C0000}"/>
    <cellStyle name="Normal 8 2 2 2 2 2 7 2" xfId="14174" xr:uid="{118B8119-D8D4-4796-85F4-1CD790231628}"/>
    <cellStyle name="Normal 8 2 2 2 2 2 7 3" xfId="22621" xr:uid="{427DB34C-AE05-4BD5-BEBD-DA8A38FC9DB8}"/>
    <cellStyle name="Normal 8 2 2 2 2 2 7 4" xfId="31068" xr:uid="{B9314749-DA98-4AED-8C24-F0F062602F62}"/>
    <cellStyle name="Normal 8 2 2 2 2 2 8" xfId="9146" xr:uid="{0E570703-055D-406D-8BD9-575AF6037A75}"/>
    <cellStyle name="Normal 8 2 2 2 2 2 9" xfId="9957" xr:uid="{B7233C55-05C4-4125-98DA-2FB69F829E52}"/>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16731" xr:uid="{74219A76-4302-454C-A68D-9522C0EB1DAB}"/>
    <cellStyle name="Normal 8 2 2 2 2 3 2 2 3" xfId="25178" xr:uid="{ADEA250A-87BB-430F-B0BA-6784B3921383}"/>
    <cellStyle name="Normal 8 2 2 2 2 3 2 2 4" xfId="33625" xr:uid="{4147DACF-D776-42FA-BEF5-E216E8358C39}"/>
    <cellStyle name="Normal 8 2 2 2 2 3 2 3" xfId="12514" xr:uid="{35BEFCBE-7491-41DD-A8A6-B19DB46119AA}"/>
    <cellStyle name="Normal 8 2 2 2 2 3 2 4" xfId="20961" xr:uid="{7FC7A204-FAD2-42C5-BB1C-5865DDE57F14}"/>
    <cellStyle name="Normal 8 2 2 2 2 3 2 5" xfId="29408" xr:uid="{B782DB6A-CFE1-4561-9EEE-F026DE85A252}"/>
    <cellStyle name="Normal 8 2 2 2 2 3 3" xfId="5260" xr:uid="{00000000-0005-0000-0000-00000E1C0000}"/>
    <cellStyle name="Normal 8 2 2 2 2 3 3 2" xfId="14586" xr:uid="{32A16A67-12AF-4B0E-A8B5-FD40619AA685}"/>
    <cellStyle name="Normal 8 2 2 2 2 3 3 3" xfId="23033" xr:uid="{D3265062-4CC0-4945-900E-5E16A983EEEF}"/>
    <cellStyle name="Normal 8 2 2 2 2 3 3 4" xfId="31480" xr:uid="{90883B57-964B-41F6-AD6F-E4209FADEE35}"/>
    <cellStyle name="Normal 8 2 2 2 2 3 4" xfId="9364" xr:uid="{21426B7C-FC96-483C-B560-AC4767107497}"/>
    <cellStyle name="Normal 8 2 2 2 2 3 5" xfId="10369" xr:uid="{71645D38-ACA3-4D73-911D-032D9C46A0C1}"/>
    <cellStyle name="Normal 8 2 2 2 2 3 6" xfId="18816" xr:uid="{B6295BED-AF7F-4731-BBA6-B7FFB476A929}"/>
    <cellStyle name="Normal 8 2 2 2 2 3 7" xfId="27263" xr:uid="{71F85E50-E73E-43EC-941F-6325DB5604AF}"/>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17144" xr:uid="{2B003A0B-A3AC-4D29-A351-9E2B5214026A}"/>
    <cellStyle name="Normal 8 2 2 2 2 4 2 2 3" xfId="25591" xr:uid="{0A272E68-50D2-4FB7-8EE8-4C20315CAAD5}"/>
    <cellStyle name="Normal 8 2 2 2 2 4 2 2 4" xfId="34038" xr:uid="{62DF3085-5551-4555-A4E2-AE943E3A0F0C}"/>
    <cellStyle name="Normal 8 2 2 2 2 4 2 3" xfId="12927" xr:uid="{3511FB42-DD87-49B4-B0C5-E84B6920CF56}"/>
    <cellStyle name="Normal 8 2 2 2 2 4 2 4" xfId="21374" xr:uid="{7F0F45F4-BF69-46FF-95AD-E19601207D44}"/>
    <cellStyle name="Normal 8 2 2 2 2 4 2 5" xfId="29821" xr:uid="{AE258777-BAFE-43C3-A2D0-B94449223547}"/>
    <cellStyle name="Normal 8 2 2 2 2 4 3" xfId="5673" xr:uid="{00000000-0005-0000-0000-0000121C0000}"/>
    <cellStyle name="Normal 8 2 2 2 2 4 3 2" xfId="14999" xr:uid="{E17594F2-A4CD-462F-AEDD-32C64791D925}"/>
    <cellStyle name="Normal 8 2 2 2 2 4 3 3" xfId="23446" xr:uid="{ACAE5899-52A2-40F1-A949-20B38E89FA9B}"/>
    <cellStyle name="Normal 8 2 2 2 2 4 3 4" xfId="31893" xr:uid="{5BBA3062-9657-4BF1-ACAB-3EEC7D47176F}"/>
    <cellStyle name="Normal 8 2 2 2 2 4 4" xfId="10782" xr:uid="{9DBB4889-8CDC-4284-85B0-8929F9A6906F}"/>
    <cellStyle name="Normal 8 2 2 2 2 4 5" xfId="19229" xr:uid="{4ECEE411-04C0-4E2C-82F3-2A0B4A078A00}"/>
    <cellStyle name="Normal 8 2 2 2 2 4 6" xfId="27676" xr:uid="{6A0F7FAC-68B5-48C7-A3FF-E51FD58D4D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17557" xr:uid="{E3508E96-7BE4-4A25-97B0-9B73528A9A03}"/>
    <cellStyle name="Normal 8 2 2 2 2 5 2 2 3" xfId="26004" xr:uid="{11D4F6DE-B75C-4273-BF07-B5409A323423}"/>
    <cellStyle name="Normal 8 2 2 2 2 5 2 2 4" xfId="34451" xr:uid="{6DCB5DEF-A6B1-467F-AC2E-389C4F6D5839}"/>
    <cellStyle name="Normal 8 2 2 2 2 5 2 3" xfId="13340" xr:uid="{106A5A0D-305C-463B-B8DF-0F8A4CF9E9FE}"/>
    <cellStyle name="Normal 8 2 2 2 2 5 2 4" xfId="21787" xr:uid="{B76F5970-7BEA-4195-AC5F-E0DF0E4F8119}"/>
    <cellStyle name="Normal 8 2 2 2 2 5 2 5" xfId="30234" xr:uid="{FA7B5B9B-DEBB-4973-92A6-E9A83A8F10BF}"/>
    <cellStyle name="Normal 8 2 2 2 2 5 3" xfId="6086" xr:uid="{00000000-0005-0000-0000-0000161C0000}"/>
    <cellStyle name="Normal 8 2 2 2 2 5 3 2" xfId="15412" xr:uid="{CA0D3E10-8DC8-4BD7-9C61-4C6CB0C581FA}"/>
    <cellStyle name="Normal 8 2 2 2 2 5 3 3" xfId="23859" xr:uid="{49EBD3AC-208C-4A7C-A1C2-4FDD35ADD52D}"/>
    <cellStyle name="Normal 8 2 2 2 2 5 3 4" xfId="32306" xr:uid="{75C5AF24-67EE-42C7-920C-44F7BCBB7690}"/>
    <cellStyle name="Normal 8 2 2 2 2 5 4" xfId="11195" xr:uid="{1C476469-ABC3-4973-82F3-6C587AEB1CBC}"/>
    <cellStyle name="Normal 8 2 2 2 2 5 5" xfId="19642" xr:uid="{05674371-1F03-463A-8956-CF40494458D0}"/>
    <cellStyle name="Normal 8 2 2 2 2 5 6" xfId="28089" xr:uid="{94E282B6-3DD3-4BEF-95DC-155382488E97}"/>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17970" xr:uid="{8CDD5277-7E0E-4AFA-A43B-2BCDB8BE32F5}"/>
    <cellStyle name="Normal 8 2 2 2 2 6 2 2 3" xfId="26417" xr:uid="{89246141-6E71-4158-B4F0-219AFFFFF256}"/>
    <cellStyle name="Normal 8 2 2 2 2 6 2 2 4" xfId="34864" xr:uid="{9B40DCB4-89A1-4AEF-9541-5F3A80BE6424}"/>
    <cellStyle name="Normal 8 2 2 2 2 6 2 3" xfId="13753" xr:uid="{26E52524-0566-46CA-B0EA-826F8E6830D0}"/>
    <cellStyle name="Normal 8 2 2 2 2 6 2 4" xfId="22200" xr:uid="{EC916B9F-72E0-43D5-A0D1-9FFEBC8258AA}"/>
    <cellStyle name="Normal 8 2 2 2 2 6 2 5" xfId="30647" xr:uid="{FAD93B1B-6BD7-490C-890A-4459F3C40DE9}"/>
    <cellStyle name="Normal 8 2 2 2 2 6 3" xfId="6499" xr:uid="{00000000-0005-0000-0000-00001A1C0000}"/>
    <cellStyle name="Normal 8 2 2 2 2 6 3 2" xfId="15825" xr:uid="{65D0672D-8721-41F2-B558-D56D9C262FDC}"/>
    <cellStyle name="Normal 8 2 2 2 2 6 3 3" xfId="24272" xr:uid="{9B136F70-C034-451F-8197-F39C8056FF9A}"/>
    <cellStyle name="Normal 8 2 2 2 2 6 3 4" xfId="32719" xr:uid="{6E549D08-B8E7-4F35-9AF9-21713A6314D1}"/>
    <cellStyle name="Normal 8 2 2 2 2 6 4" xfId="11608" xr:uid="{B515C2D9-CDAF-43D9-A260-C03552F18A49}"/>
    <cellStyle name="Normal 8 2 2 2 2 6 5" xfId="20055" xr:uid="{137F1CAB-B110-414D-A4D3-45FCCB30B531}"/>
    <cellStyle name="Normal 8 2 2 2 2 6 6" xfId="28502" xr:uid="{CD6DF936-49FB-4933-8B45-163DB4046933}"/>
    <cellStyle name="Normal 8 2 2 2 2 7" xfId="2629" xr:uid="{00000000-0005-0000-0000-00001B1C0000}"/>
    <cellStyle name="Normal 8 2 2 2 2 7 2" xfId="6912" xr:uid="{00000000-0005-0000-0000-00001C1C0000}"/>
    <cellStyle name="Normal 8 2 2 2 2 7 2 2" xfId="16238" xr:uid="{A461EE1F-198F-4392-B1F3-7261D79013C7}"/>
    <cellStyle name="Normal 8 2 2 2 2 7 2 3" xfId="24685" xr:uid="{EAF63565-B68F-4D72-992B-AE6EE113F6F2}"/>
    <cellStyle name="Normal 8 2 2 2 2 7 2 4" xfId="33132" xr:uid="{ED622F7F-900E-43C6-A16D-07785E85C3E3}"/>
    <cellStyle name="Normal 8 2 2 2 2 7 3" xfId="12021" xr:uid="{61F0203B-1452-48E8-A50D-5B4CEB88792C}"/>
    <cellStyle name="Normal 8 2 2 2 2 7 4" xfId="20468" xr:uid="{74145D88-8AEE-4293-865D-D5AE58EBCA54}"/>
    <cellStyle name="Normal 8 2 2 2 2 7 5" xfId="28915" xr:uid="{DA9EBFCF-2DF1-4240-9555-6A1910BCF1E7}"/>
    <cellStyle name="Normal 8 2 2 2 2 8" xfId="4847" xr:uid="{00000000-0005-0000-0000-00001D1C0000}"/>
    <cellStyle name="Normal 8 2 2 2 2 8 2" xfId="14173" xr:uid="{6AA6CDEB-0AEE-4B6A-BEC3-1A0655B8595A}"/>
    <cellStyle name="Normal 8 2 2 2 2 8 3" xfId="22620" xr:uid="{1B2426A6-C11D-4766-82DB-97274DC22104}"/>
    <cellStyle name="Normal 8 2 2 2 2 8 4" xfId="31067" xr:uid="{3BFA22A5-D8B5-4905-9139-497576B19DC5}"/>
    <cellStyle name="Normal 8 2 2 2 2 9" xfId="8939" xr:uid="{385BAC75-25D1-414A-8E33-9B6DCCA130DE}"/>
    <cellStyle name="Normal 8 2 2 2 3" xfId="484" xr:uid="{00000000-0005-0000-0000-00001E1C0000}"/>
    <cellStyle name="Normal 8 2 2 2 3 10" xfId="18405" xr:uid="{648ACC34-19FB-4FF8-805F-19BA722BB40A}"/>
    <cellStyle name="Normal 8 2 2 2 3 11" xfId="26852" xr:uid="{0825DD89-EAE2-4531-8973-0CE0B0564543}"/>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16733" xr:uid="{7B76DAB7-37AB-405D-9C31-9FCAAA292B11}"/>
    <cellStyle name="Normal 8 2 2 2 3 2 2 2 3" xfId="25180" xr:uid="{573F1C74-3676-4D08-A830-026E9C103C09}"/>
    <cellStyle name="Normal 8 2 2 2 3 2 2 2 4" xfId="33627" xr:uid="{BF24A2DE-20A0-43E4-AC72-BFC0E87F6652}"/>
    <cellStyle name="Normal 8 2 2 2 3 2 2 3" xfId="12516" xr:uid="{387E5862-EA33-4AA9-A66E-B9F5DAA4D3BC}"/>
    <cellStyle name="Normal 8 2 2 2 3 2 2 4" xfId="20963" xr:uid="{4D590949-34DA-487F-BC26-69139471AA42}"/>
    <cellStyle name="Normal 8 2 2 2 3 2 2 5" xfId="29410" xr:uid="{8E7E15E9-0E55-4E5D-B94E-74DCD6889231}"/>
    <cellStyle name="Normal 8 2 2 2 3 2 3" xfId="5262" xr:uid="{00000000-0005-0000-0000-0000221C0000}"/>
    <cellStyle name="Normal 8 2 2 2 3 2 3 2" xfId="14588" xr:uid="{3C0900BA-E952-4C11-93C4-0CB215F95458}"/>
    <cellStyle name="Normal 8 2 2 2 3 2 3 3" xfId="23035" xr:uid="{E55DBC47-1D25-4C2D-A067-45B2788B84D5}"/>
    <cellStyle name="Normal 8 2 2 2 3 2 3 4" xfId="31482" xr:uid="{CD3874B1-398F-487A-8F3B-4F55B54877D4}"/>
    <cellStyle name="Normal 8 2 2 2 3 2 4" xfId="9468" xr:uid="{8CC4AD0E-72B4-4935-8967-B171D7B5EF8D}"/>
    <cellStyle name="Normal 8 2 2 2 3 2 5" xfId="10371" xr:uid="{D84E0813-4842-4447-86C0-143865DDE1A0}"/>
    <cellStyle name="Normal 8 2 2 2 3 2 6" xfId="18818" xr:uid="{5B8F9DEF-AB37-4353-BC49-775C0AB7258D}"/>
    <cellStyle name="Normal 8 2 2 2 3 2 7" xfId="27265" xr:uid="{272A630C-9EFD-42BF-8700-5F0D341DE63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17146" xr:uid="{3118EFD4-1E11-4EE1-8F61-C4564C48D3A1}"/>
    <cellStyle name="Normal 8 2 2 2 3 3 2 2 3" xfId="25593" xr:uid="{7B3F1D0D-1AC5-4FE0-9CF9-BFE387356919}"/>
    <cellStyle name="Normal 8 2 2 2 3 3 2 2 4" xfId="34040" xr:uid="{34FC1461-5992-46F8-9C58-23249F74F4B5}"/>
    <cellStyle name="Normal 8 2 2 2 3 3 2 3" xfId="12929" xr:uid="{655E2645-55AA-4E41-BB6A-7D3C918A0E05}"/>
    <cellStyle name="Normal 8 2 2 2 3 3 2 4" xfId="21376" xr:uid="{7592A717-7EBE-4CDB-B39D-A4B4AC33C53A}"/>
    <cellStyle name="Normal 8 2 2 2 3 3 2 5" xfId="29823" xr:uid="{673495A1-7D8E-4B67-861B-1CC7683DA170}"/>
    <cellStyle name="Normal 8 2 2 2 3 3 3" xfId="5675" xr:uid="{00000000-0005-0000-0000-0000261C0000}"/>
    <cellStyle name="Normal 8 2 2 2 3 3 3 2" xfId="15001" xr:uid="{40C6BB5B-5720-4F62-A789-CFBCC7B6DF24}"/>
    <cellStyle name="Normal 8 2 2 2 3 3 3 3" xfId="23448" xr:uid="{EAF62DCE-4B2E-49DE-A980-15B69443E139}"/>
    <cellStyle name="Normal 8 2 2 2 3 3 3 4" xfId="31895" xr:uid="{0D65D064-D0F9-4F05-8940-18DC3CCBCCA1}"/>
    <cellStyle name="Normal 8 2 2 2 3 3 4" xfId="10784" xr:uid="{B9556DC1-8B88-42D8-A497-AE3094880F2E}"/>
    <cellStyle name="Normal 8 2 2 2 3 3 5" xfId="19231" xr:uid="{F261EBE7-4B15-4B3F-8620-B65E39D2F7EB}"/>
    <cellStyle name="Normal 8 2 2 2 3 3 6" xfId="27678" xr:uid="{5C35F76D-17FC-4FAF-A991-2960FBAC6394}"/>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17559" xr:uid="{54BDC691-9916-442B-8EED-3C587464F26E}"/>
    <cellStyle name="Normal 8 2 2 2 3 4 2 2 3" xfId="26006" xr:uid="{E5001A32-AD08-4F66-95B2-0752F777BFD4}"/>
    <cellStyle name="Normal 8 2 2 2 3 4 2 2 4" xfId="34453" xr:uid="{3AD1A7FB-8864-4117-B9F0-351D47518003}"/>
    <cellStyle name="Normal 8 2 2 2 3 4 2 3" xfId="13342" xr:uid="{9FDA8747-B9BD-4BEA-AA6D-E0AC7A5DA25D}"/>
    <cellStyle name="Normal 8 2 2 2 3 4 2 4" xfId="21789" xr:uid="{C3D17E1F-ECDC-4692-A506-2A8A0C15A775}"/>
    <cellStyle name="Normal 8 2 2 2 3 4 2 5" xfId="30236" xr:uid="{85965C18-726D-49F5-B9D5-1AADE2A14357}"/>
    <cellStyle name="Normal 8 2 2 2 3 4 3" xfId="6088" xr:uid="{00000000-0005-0000-0000-00002A1C0000}"/>
    <cellStyle name="Normal 8 2 2 2 3 4 3 2" xfId="15414" xr:uid="{3C7AF5B9-2D29-4838-A52A-C390690FE3B4}"/>
    <cellStyle name="Normal 8 2 2 2 3 4 3 3" xfId="23861" xr:uid="{408C937A-A91D-48FA-83DE-E188B018DC19}"/>
    <cellStyle name="Normal 8 2 2 2 3 4 3 4" xfId="32308" xr:uid="{504356FE-CB22-430A-BD65-E98C631BA8C1}"/>
    <cellStyle name="Normal 8 2 2 2 3 4 4" xfId="11197" xr:uid="{09E6A418-BA4B-4BDD-BE20-2601B9557281}"/>
    <cellStyle name="Normal 8 2 2 2 3 4 5" xfId="19644" xr:uid="{568168DF-5857-4F4F-9FCE-8148A90E500A}"/>
    <cellStyle name="Normal 8 2 2 2 3 4 6" xfId="28091" xr:uid="{7A5E379C-30D1-4682-AF0B-0E4DDF94C9A9}"/>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17972" xr:uid="{22BF2C52-09C8-4305-9553-6BA348D5E458}"/>
    <cellStyle name="Normal 8 2 2 2 3 5 2 2 3" xfId="26419" xr:uid="{5EE6705E-DDBC-4805-A7A0-8F849573B93A}"/>
    <cellStyle name="Normal 8 2 2 2 3 5 2 2 4" xfId="34866" xr:uid="{23CCD9D1-1A81-493E-9A55-7AB2CD619E13}"/>
    <cellStyle name="Normal 8 2 2 2 3 5 2 3" xfId="13755" xr:uid="{73D8F76D-A842-443C-9A92-72EF3836E712}"/>
    <cellStyle name="Normal 8 2 2 2 3 5 2 4" xfId="22202" xr:uid="{B60ABDB6-1D89-43CD-9BDD-3B5A977400E2}"/>
    <cellStyle name="Normal 8 2 2 2 3 5 2 5" xfId="30649" xr:uid="{21F1F3E7-452A-43A4-9176-E90AF2B9D461}"/>
    <cellStyle name="Normal 8 2 2 2 3 5 3" xfId="6501" xr:uid="{00000000-0005-0000-0000-00002E1C0000}"/>
    <cellStyle name="Normal 8 2 2 2 3 5 3 2" xfId="15827" xr:uid="{ADEC83BD-0AC9-4C03-8A9A-784AC83C508E}"/>
    <cellStyle name="Normal 8 2 2 2 3 5 3 3" xfId="24274" xr:uid="{C8A78DEF-4F59-4668-B086-01EC2C39B96D}"/>
    <cellStyle name="Normal 8 2 2 2 3 5 3 4" xfId="32721" xr:uid="{61125734-66F1-4D2B-BF86-8A096C4A58D9}"/>
    <cellStyle name="Normal 8 2 2 2 3 5 4" xfId="11610" xr:uid="{6B63E9EB-11B3-4742-8501-3C22284F7240}"/>
    <cellStyle name="Normal 8 2 2 2 3 5 5" xfId="20057" xr:uid="{98AD10DF-3933-4EE3-8B0C-B08DCAAC7231}"/>
    <cellStyle name="Normal 8 2 2 2 3 5 6" xfId="28504" xr:uid="{75866DDA-6E8E-4F5E-8ACB-9D6F4B9D9B07}"/>
    <cellStyle name="Normal 8 2 2 2 3 6" xfId="2631" xr:uid="{00000000-0005-0000-0000-00002F1C0000}"/>
    <cellStyle name="Normal 8 2 2 2 3 6 2" xfId="6914" xr:uid="{00000000-0005-0000-0000-0000301C0000}"/>
    <cellStyle name="Normal 8 2 2 2 3 6 2 2" xfId="16240" xr:uid="{6903443C-1D1E-4740-AE70-33B20EA0E199}"/>
    <cellStyle name="Normal 8 2 2 2 3 6 2 3" xfId="24687" xr:uid="{CF96DD05-0C6F-4637-9965-CF29BFC929EB}"/>
    <cellStyle name="Normal 8 2 2 2 3 6 2 4" xfId="33134" xr:uid="{01931E45-9BDD-4BAD-ACA6-D2F560FE79FD}"/>
    <cellStyle name="Normal 8 2 2 2 3 6 3" xfId="12023" xr:uid="{E4D51541-17E6-4B1C-AA44-28E05136EAB1}"/>
    <cellStyle name="Normal 8 2 2 2 3 6 4" xfId="20470" xr:uid="{C8628077-E7AC-4D25-9B34-4F1AC3B4E11F}"/>
    <cellStyle name="Normal 8 2 2 2 3 6 5" xfId="28917" xr:uid="{0652DF80-84D4-41AA-8CB3-C15B139BDDD9}"/>
    <cellStyle name="Normal 8 2 2 2 3 7" xfId="4849" xr:uid="{00000000-0005-0000-0000-0000311C0000}"/>
    <cellStyle name="Normal 8 2 2 2 3 7 2" xfId="14175" xr:uid="{8A10E16C-BA1C-4E9A-A6B5-6894A7835A29}"/>
    <cellStyle name="Normal 8 2 2 2 3 7 3" xfId="22622" xr:uid="{E5F522B4-DF13-4D9D-BCFF-212F5EE0B680}"/>
    <cellStyle name="Normal 8 2 2 2 3 7 4" xfId="31069" xr:uid="{E9967B11-EE4B-44C8-9A1C-347F85E739BC}"/>
    <cellStyle name="Normal 8 2 2 2 3 8" xfId="9043" xr:uid="{BAC463DF-40A7-4F07-ADD3-7274E57F505C}"/>
    <cellStyle name="Normal 8 2 2 2 3 9" xfId="9958" xr:uid="{37FECD33-080B-42BF-9109-EDD2C4B5A24A}"/>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16730" xr:uid="{E9AEC5EC-1946-4F3D-800D-D7DA8DCF01B5}"/>
    <cellStyle name="Normal 8 2 2 2 4 2 2 3" xfId="25177" xr:uid="{F84709F2-5FB7-4C82-BF64-F2718E8F813E}"/>
    <cellStyle name="Normal 8 2 2 2 4 2 2 4" xfId="33624" xr:uid="{5030302E-2FCE-443D-A02F-2500B7641349}"/>
    <cellStyle name="Normal 8 2 2 2 4 2 3" xfId="12513" xr:uid="{1EE408A7-F8EB-4699-B7C4-3A8B7BA9EB5C}"/>
    <cellStyle name="Normal 8 2 2 2 4 2 4" xfId="20960" xr:uid="{0F3A656E-FADD-4522-9511-7DA600CD3B97}"/>
    <cellStyle name="Normal 8 2 2 2 4 2 5" xfId="29407" xr:uid="{F89DDC6A-3CA8-469A-B9F9-5BF77B05DCB7}"/>
    <cellStyle name="Normal 8 2 2 2 4 3" xfId="5259" xr:uid="{00000000-0005-0000-0000-0000351C0000}"/>
    <cellStyle name="Normal 8 2 2 2 4 3 2" xfId="14585" xr:uid="{96AF7C16-6AB1-42FB-B05F-B765D6A8F074}"/>
    <cellStyle name="Normal 8 2 2 2 4 3 3" xfId="23032" xr:uid="{2E5F63E6-8F73-42C5-B081-B6CEF3EFC882}"/>
    <cellStyle name="Normal 8 2 2 2 4 3 4" xfId="31479" xr:uid="{F9F11959-03EC-49DF-BD1C-B3A5E92C6C49}"/>
    <cellStyle name="Normal 8 2 2 2 4 4" xfId="9261" xr:uid="{70C29865-A6DE-4682-9EB1-83E4E07FD0A7}"/>
    <cellStyle name="Normal 8 2 2 2 4 5" xfId="10368" xr:uid="{39FF2EAE-16A4-4A43-AA55-8057161651B6}"/>
    <cellStyle name="Normal 8 2 2 2 4 6" xfId="18815" xr:uid="{7D618D6C-DF18-41A1-B41A-1BE3876CCD9E}"/>
    <cellStyle name="Normal 8 2 2 2 4 7" xfId="27262" xr:uid="{2F5C95DE-A12F-480B-835B-D20E916E5474}"/>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17143" xr:uid="{E00C0046-CAC8-418F-95D8-CFC3B0536D9F}"/>
    <cellStyle name="Normal 8 2 2 2 5 2 2 3" xfId="25590" xr:uid="{136836BE-F3F2-4D12-B247-5460C065D24A}"/>
    <cellStyle name="Normal 8 2 2 2 5 2 2 4" xfId="34037" xr:uid="{6AE2A1FF-0684-4C5A-9EED-3F8F0E88FAEB}"/>
    <cellStyle name="Normal 8 2 2 2 5 2 3" xfId="12926" xr:uid="{20D01A71-26B4-47EE-B681-B16F6A45F5E4}"/>
    <cellStyle name="Normal 8 2 2 2 5 2 4" xfId="21373" xr:uid="{1FCFA46C-B1F4-40ED-AABE-92BA6A70AF11}"/>
    <cellStyle name="Normal 8 2 2 2 5 2 5" xfId="29820" xr:uid="{E9D28809-898B-401E-86B3-5791A43BC552}"/>
    <cellStyle name="Normal 8 2 2 2 5 3" xfId="5672" xr:uid="{00000000-0005-0000-0000-0000391C0000}"/>
    <cellStyle name="Normal 8 2 2 2 5 3 2" xfId="14998" xr:uid="{06DD51F2-7771-4C85-8EED-1DCA21E1905B}"/>
    <cellStyle name="Normal 8 2 2 2 5 3 3" xfId="23445" xr:uid="{6B1116CB-FF83-45E9-8BD1-20A7729D54E3}"/>
    <cellStyle name="Normal 8 2 2 2 5 3 4" xfId="31892" xr:uid="{5D4A3A21-A582-4F0A-AC50-1C6CC6676228}"/>
    <cellStyle name="Normal 8 2 2 2 5 4" xfId="10781" xr:uid="{F5A8DD86-0203-4204-885E-5085E58455D3}"/>
    <cellStyle name="Normal 8 2 2 2 5 5" xfId="19228" xr:uid="{DFA28D5A-4ADA-453B-BCFE-FFB9CD997512}"/>
    <cellStyle name="Normal 8 2 2 2 5 6" xfId="27675" xr:uid="{A85D3D24-389D-416F-9EE8-C12FEDCF61AD}"/>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17556" xr:uid="{EAE3B6E6-9E18-47E2-ABE5-3F60E31E35A8}"/>
    <cellStyle name="Normal 8 2 2 2 6 2 2 3" xfId="26003" xr:uid="{4D43F262-18FA-4D7C-BC2A-706ACB174ABC}"/>
    <cellStyle name="Normal 8 2 2 2 6 2 2 4" xfId="34450" xr:uid="{AC915F26-08D4-47BC-B342-B544898882FE}"/>
    <cellStyle name="Normal 8 2 2 2 6 2 3" xfId="13339" xr:uid="{6005884C-C632-4F0F-839C-7D0CD2540435}"/>
    <cellStyle name="Normal 8 2 2 2 6 2 4" xfId="21786" xr:uid="{1D5F4AFB-CE2E-4CFE-A95B-D8A0E314D446}"/>
    <cellStyle name="Normal 8 2 2 2 6 2 5" xfId="30233" xr:uid="{CB812876-E602-496B-8BB8-CF0DC2AFFA94}"/>
    <cellStyle name="Normal 8 2 2 2 6 3" xfId="6085" xr:uid="{00000000-0005-0000-0000-00003D1C0000}"/>
    <cellStyle name="Normal 8 2 2 2 6 3 2" xfId="15411" xr:uid="{675BEB6C-31E2-4BB6-A96F-8FAB1D699890}"/>
    <cellStyle name="Normal 8 2 2 2 6 3 3" xfId="23858" xr:uid="{DC729F68-AABF-4D4F-868A-19A32130B889}"/>
    <cellStyle name="Normal 8 2 2 2 6 3 4" xfId="32305" xr:uid="{EEB2FF66-6385-4340-BCAC-63E0DF9E75FC}"/>
    <cellStyle name="Normal 8 2 2 2 6 4" xfId="11194" xr:uid="{9DC6914C-559A-4901-BC04-D718D06227E5}"/>
    <cellStyle name="Normal 8 2 2 2 6 5" xfId="19641" xr:uid="{03C73FCE-6017-43F5-B433-C8F30526364B}"/>
    <cellStyle name="Normal 8 2 2 2 6 6" xfId="28088" xr:uid="{2C1E7A80-DB5B-4CEA-92DC-2BDD072AAA38}"/>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17969" xr:uid="{569956BB-DAF4-415D-8BB7-79F66018D3F1}"/>
    <cellStyle name="Normal 8 2 2 2 7 2 2 3" xfId="26416" xr:uid="{89612D63-CEE9-4D75-A824-4A78987D34BF}"/>
    <cellStyle name="Normal 8 2 2 2 7 2 2 4" xfId="34863" xr:uid="{B2732ED7-1B07-4E5C-A9CB-E75DA8C88955}"/>
    <cellStyle name="Normal 8 2 2 2 7 2 3" xfId="13752" xr:uid="{FF3BBD28-858A-4A9E-BF75-BC5A205DF381}"/>
    <cellStyle name="Normal 8 2 2 2 7 2 4" xfId="22199" xr:uid="{5BAAD4D7-EABB-4FEC-9D66-5EF40AB37C37}"/>
    <cellStyle name="Normal 8 2 2 2 7 2 5" xfId="30646" xr:uid="{A61A3352-105D-4D52-851D-7131E36DCA8D}"/>
    <cellStyle name="Normal 8 2 2 2 7 3" xfId="6498" xr:uid="{00000000-0005-0000-0000-0000411C0000}"/>
    <cellStyle name="Normal 8 2 2 2 7 3 2" xfId="15824" xr:uid="{6B2436E0-D4E0-4B08-84F0-8F98369E0E74}"/>
    <cellStyle name="Normal 8 2 2 2 7 3 3" xfId="24271" xr:uid="{EB5B0CFB-3547-4DEB-9C7E-F53D17F1B1FF}"/>
    <cellStyle name="Normal 8 2 2 2 7 3 4" xfId="32718" xr:uid="{2A8FC91C-4CDD-44B9-9939-8A0E4E7C2DE6}"/>
    <cellStyle name="Normal 8 2 2 2 7 4" xfId="11607" xr:uid="{A4399A95-C90D-48B4-A124-D43221EAC532}"/>
    <cellStyle name="Normal 8 2 2 2 7 5" xfId="20054" xr:uid="{4B6A2CA8-44EC-478C-AEA4-C03A0D93D307}"/>
    <cellStyle name="Normal 8 2 2 2 7 6" xfId="28501" xr:uid="{FF6184C5-F62A-429A-B9C6-0214EBD3608C}"/>
    <cellStyle name="Normal 8 2 2 2 8" xfId="2628" xr:uid="{00000000-0005-0000-0000-0000421C0000}"/>
    <cellStyle name="Normal 8 2 2 2 8 2" xfId="6911" xr:uid="{00000000-0005-0000-0000-0000431C0000}"/>
    <cellStyle name="Normal 8 2 2 2 8 2 2" xfId="16237" xr:uid="{DB997D89-D555-4B05-A2AE-CB36A392C678}"/>
    <cellStyle name="Normal 8 2 2 2 8 2 3" xfId="24684" xr:uid="{8C8604F1-DACC-41F3-8067-6FC388645301}"/>
    <cellStyle name="Normal 8 2 2 2 8 2 4" xfId="33131" xr:uid="{C8375E46-8675-4523-9B4A-13E6AEF844B1}"/>
    <cellStyle name="Normal 8 2 2 2 8 3" xfId="12020" xr:uid="{6F785B0C-DA4E-4E84-9D83-57BA3CC02311}"/>
    <cellStyle name="Normal 8 2 2 2 8 4" xfId="20467" xr:uid="{46E4BAE9-F763-4DC3-B4D7-2F716FE2D41D}"/>
    <cellStyle name="Normal 8 2 2 2 8 5" xfId="28914" xr:uid="{65DC84A6-E726-4F75-82FF-18505EAA82E5}"/>
    <cellStyle name="Normal 8 2 2 2 9" xfId="4846" xr:uid="{00000000-0005-0000-0000-0000441C0000}"/>
    <cellStyle name="Normal 8 2 2 2 9 2" xfId="14172" xr:uid="{711427DB-2B83-49A5-B8E5-6A5DD1D4C93D}"/>
    <cellStyle name="Normal 8 2 2 2 9 3" xfId="22619" xr:uid="{CCD34645-B563-4D49-A83A-FF0B7E420F99}"/>
    <cellStyle name="Normal 8 2 2 2 9 4" xfId="31066" xr:uid="{73AA447E-1B31-4E8E-9E0F-716D651A8E92}"/>
    <cellStyle name="Normal 8 2 2 3" xfId="485" xr:uid="{00000000-0005-0000-0000-0000451C0000}"/>
    <cellStyle name="Normal 8 2 2 3 10" xfId="9959" xr:uid="{B4D0EF2A-502B-4F7A-96D2-43E86E4E6FF8}"/>
    <cellStyle name="Normal 8 2 2 3 11" xfId="18406" xr:uid="{0A945C30-D1A0-4FA3-B2C3-3AF599CB4042}"/>
    <cellStyle name="Normal 8 2 2 3 12" xfId="26853" xr:uid="{90701442-DDA5-4320-A2EB-A4FE52E94E14}"/>
    <cellStyle name="Normal 8 2 2 3 2" xfId="486" xr:uid="{00000000-0005-0000-0000-0000461C0000}"/>
    <cellStyle name="Normal 8 2 2 3 2 10" xfId="18407" xr:uid="{B3934C9E-CB1B-40B2-BD5B-8B2ED29AA01D}"/>
    <cellStyle name="Normal 8 2 2 3 2 11" xfId="26854" xr:uid="{1DFE2516-3720-461A-BBCF-02B36CEFD582}"/>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16735" xr:uid="{4C0A0813-666F-4DC6-A976-1BDAB8A88066}"/>
    <cellStyle name="Normal 8 2 2 3 2 2 2 2 3" xfId="25182" xr:uid="{6949B68A-5057-452B-9C39-C6D0CC8F4385}"/>
    <cellStyle name="Normal 8 2 2 3 2 2 2 2 4" xfId="33629" xr:uid="{AA5684B7-7CCC-4413-8EF6-6D0A6F7DD19B}"/>
    <cellStyle name="Normal 8 2 2 3 2 2 2 3" xfId="12518" xr:uid="{387567E1-B64A-47CE-A050-049C6A723DC5}"/>
    <cellStyle name="Normal 8 2 2 3 2 2 2 4" xfId="20965" xr:uid="{87900549-C17A-4FFC-BA57-59D028CF218D}"/>
    <cellStyle name="Normal 8 2 2 3 2 2 2 5" xfId="29412" xr:uid="{9E0F4DB9-1E54-488C-8651-2519E481A5BE}"/>
    <cellStyle name="Normal 8 2 2 3 2 2 3" xfId="5264" xr:uid="{00000000-0005-0000-0000-00004A1C0000}"/>
    <cellStyle name="Normal 8 2 2 3 2 2 3 2" xfId="14590" xr:uid="{AA1634D4-A093-4594-A63C-A700B61E862B}"/>
    <cellStyle name="Normal 8 2 2 3 2 2 3 3" xfId="23037" xr:uid="{7DF87CFE-B4B4-473C-8768-F356421E5A9C}"/>
    <cellStyle name="Normal 8 2 2 3 2 2 3 4" xfId="31484" xr:uid="{F471800D-C87A-4DA9-ADEB-9B029C856564}"/>
    <cellStyle name="Normal 8 2 2 3 2 2 4" xfId="9518" xr:uid="{FDE93D5E-A6D1-456B-8726-FC2AB8FD16A4}"/>
    <cellStyle name="Normal 8 2 2 3 2 2 5" xfId="10373" xr:uid="{C102725C-C581-4BB9-81B9-DAF1973F6970}"/>
    <cellStyle name="Normal 8 2 2 3 2 2 6" xfId="18820" xr:uid="{C10AB956-08EC-4394-A74A-867777EFE665}"/>
    <cellStyle name="Normal 8 2 2 3 2 2 7" xfId="27267" xr:uid="{0D0EA03A-AF75-4186-A35D-7939B5354D46}"/>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17148" xr:uid="{2CF2DD63-EC83-4E16-8D1C-D1DDC079A5F5}"/>
    <cellStyle name="Normal 8 2 2 3 2 3 2 2 3" xfId="25595" xr:uid="{7368329E-195C-47C0-A865-34CE74529AAA}"/>
    <cellStyle name="Normal 8 2 2 3 2 3 2 2 4" xfId="34042" xr:uid="{1016BC46-BE72-45DA-8DF3-9D0D865D21AD}"/>
    <cellStyle name="Normal 8 2 2 3 2 3 2 3" xfId="12931" xr:uid="{41A88A70-3D13-4E76-9954-849691489BA0}"/>
    <cellStyle name="Normal 8 2 2 3 2 3 2 4" xfId="21378" xr:uid="{B1654FCA-D958-45DA-9BF9-6CE73218950B}"/>
    <cellStyle name="Normal 8 2 2 3 2 3 2 5" xfId="29825" xr:uid="{6F8570A4-BABC-438B-B090-671FC1B566DB}"/>
    <cellStyle name="Normal 8 2 2 3 2 3 3" xfId="5677" xr:uid="{00000000-0005-0000-0000-00004E1C0000}"/>
    <cellStyle name="Normal 8 2 2 3 2 3 3 2" xfId="15003" xr:uid="{B6B3B70A-49EB-4E39-8E63-C74F1BAD4162}"/>
    <cellStyle name="Normal 8 2 2 3 2 3 3 3" xfId="23450" xr:uid="{1468EE57-36E9-47A9-B97B-3E35E080F716}"/>
    <cellStyle name="Normal 8 2 2 3 2 3 3 4" xfId="31897" xr:uid="{E0B63751-3D60-4066-AEA9-60FF16CDB3CB}"/>
    <cellStyle name="Normal 8 2 2 3 2 3 4" xfId="10786" xr:uid="{1D9E9F76-966C-4DD7-BFFD-16A2EDFC7715}"/>
    <cellStyle name="Normal 8 2 2 3 2 3 5" xfId="19233" xr:uid="{B7449142-9048-44DF-856D-54D83694FB80}"/>
    <cellStyle name="Normal 8 2 2 3 2 3 6" xfId="27680" xr:uid="{901E560F-7D23-4AD8-95F2-5AB9B85BBDB3}"/>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17561" xr:uid="{C3254E45-C442-49A0-B2ED-66F733F73425}"/>
    <cellStyle name="Normal 8 2 2 3 2 4 2 2 3" xfId="26008" xr:uid="{C71222B7-B380-4760-86F8-6A6D26590467}"/>
    <cellStyle name="Normal 8 2 2 3 2 4 2 2 4" xfId="34455" xr:uid="{7F30CC9C-8D83-4234-A18D-008C1DC5D667}"/>
    <cellStyle name="Normal 8 2 2 3 2 4 2 3" xfId="13344" xr:uid="{357DB765-DB79-48AE-AD9D-0FE593E7A658}"/>
    <cellStyle name="Normal 8 2 2 3 2 4 2 4" xfId="21791" xr:uid="{56E79966-2203-40F3-B6A9-2EF0C973D656}"/>
    <cellStyle name="Normal 8 2 2 3 2 4 2 5" xfId="30238" xr:uid="{03A14FF6-FA1D-4149-A6AB-E1E52100F95C}"/>
    <cellStyle name="Normal 8 2 2 3 2 4 3" xfId="6090" xr:uid="{00000000-0005-0000-0000-0000521C0000}"/>
    <cellStyle name="Normal 8 2 2 3 2 4 3 2" xfId="15416" xr:uid="{F8BA461E-2E45-4DCF-9630-9DBB17F43090}"/>
    <cellStyle name="Normal 8 2 2 3 2 4 3 3" xfId="23863" xr:uid="{65D0E617-1639-41B2-809D-511E09A0A2D4}"/>
    <cellStyle name="Normal 8 2 2 3 2 4 3 4" xfId="32310" xr:uid="{D6881E06-7515-4B01-B4A4-2FC4F975C579}"/>
    <cellStyle name="Normal 8 2 2 3 2 4 4" xfId="11199" xr:uid="{9A5A5B3F-0D7D-4E0F-9970-DB8F914DD69D}"/>
    <cellStyle name="Normal 8 2 2 3 2 4 5" xfId="19646" xr:uid="{64E07F22-803D-4109-B213-9FA2DBA3E1AC}"/>
    <cellStyle name="Normal 8 2 2 3 2 4 6" xfId="28093" xr:uid="{AAB6B45F-121F-4DDA-B5EB-A82597384FE4}"/>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17974" xr:uid="{04B3EEF1-558D-462C-8187-BA2CF41736A3}"/>
    <cellStyle name="Normal 8 2 2 3 2 5 2 2 3" xfId="26421" xr:uid="{330FCA1F-39D5-45A0-8F85-5A9836609247}"/>
    <cellStyle name="Normal 8 2 2 3 2 5 2 2 4" xfId="34868" xr:uid="{4F755EBF-2BA9-43EA-9E72-402EC0AD9691}"/>
    <cellStyle name="Normal 8 2 2 3 2 5 2 3" xfId="13757" xr:uid="{E23F4C21-7E54-4445-807E-6B02784475C0}"/>
    <cellStyle name="Normal 8 2 2 3 2 5 2 4" xfId="22204" xr:uid="{8309C1C8-3428-45F3-B367-A1634E82DF05}"/>
    <cellStyle name="Normal 8 2 2 3 2 5 2 5" xfId="30651" xr:uid="{1D57DA2D-3878-4032-85ED-DE48276D1B92}"/>
    <cellStyle name="Normal 8 2 2 3 2 5 3" xfId="6503" xr:uid="{00000000-0005-0000-0000-0000561C0000}"/>
    <cellStyle name="Normal 8 2 2 3 2 5 3 2" xfId="15829" xr:uid="{541F30D9-7DD0-4735-A7DC-CBCEE3AB7A9C}"/>
    <cellStyle name="Normal 8 2 2 3 2 5 3 3" xfId="24276" xr:uid="{E975F58C-0FC8-407B-ACA0-5ED5879D48FE}"/>
    <cellStyle name="Normal 8 2 2 3 2 5 3 4" xfId="32723" xr:uid="{7A0C7522-2A97-4D3B-BE4D-94A2EBE2DEF1}"/>
    <cellStyle name="Normal 8 2 2 3 2 5 4" xfId="11612" xr:uid="{813EAD6C-DB55-4669-B38E-CC5700DC4513}"/>
    <cellStyle name="Normal 8 2 2 3 2 5 5" xfId="20059" xr:uid="{C6065528-E73B-476A-9EFC-79E35367726E}"/>
    <cellStyle name="Normal 8 2 2 3 2 5 6" xfId="28506" xr:uid="{74E17797-582F-4B45-B03B-E5CA1BBF9628}"/>
    <cellStyle name="Normal 8 2 2 3 2 6" xfId="2633" xr:uid="{00000000-0005-0000-0000-0000571C0000}"/>
    <cellStyle name="Normal 8 2 2 3 2 6 2" xfId="6916" xr:uid="{00000000-0005-0000-0000-0000581C0000}"/>
    <cellStyle name="Normal 8 2 2 3 2 6 2 2" xfId="16242" xr:uid="{4BF8D11F-3876-4487-9B34-EF5DE016D258}"/>
    <cellStyle name="Normal 8 2 2 3 2 6 2 3" xfId="24689" xr:uid="{EEB48D11-4551-4DD1-AEC3-467E7A7E2459}"/>
    <cellStyle name="Normal 8 2 2 3 2 6 2 4" xfId="33136" xr:uid="{2C6EA110-631D-4404-9FF5-C639BAD1C570}"/>
    <cellStyle name="Normal 8 2 2 3 2 6 3" xfId="12025" xr:uid="{F8012852-E1C2-4160-BEE9-A6F9FC12BE71}"/>
    <cellStyle name="Normal 8 2 2 3 2 6 4" xfId="20472" xr:uid="{F81B0481-A430-48AE-9FEC-6DA9F5D56340}"/>
    <cellStyle name="Normal 8 2 2 3 2 6 5" xfId="28919" xr:uid="{F51E217A-3513-4251-866D-5F65EBAC76F1}"/>
    <cellStyle name="Normal 8 2 2 3 2 7" xfId="4851" xr:uid="{00000000-0005-0000-0000-0000591C0000}"/>
    <cellStyle name="Normal 8 2 2 3 2 7 2" xfId="14177" xr:uid="{EEE23986-2CB1-4CC1-8295-112CFA0EC190}"/>
    <cellStyle name="Normal 8 2 2 3 2 7 3" xfId="22624" xr:uid="{01142620-B2E8-47E3-862D-EB569445FA39}"/>
    <cellStyle name="Normal 8 2 2 3 2 7 4" xfId="31071" xr:uid="{C16F477B-5ADC-44EC-9EE6-AAC6D56CE864}"/>
    <cellStyle name="Normal 8 2 2 3 2 8" xfId="9093" xr:uid="{ADE34C72-BCCB-477C-B66A-BE7159CEB281}"/>
    <cellStyle name="Normal 8 2 2 3 2 9" xfId="9960" xr:uid="{15354C51-8602-4423-9866-3E5D0223A68C}"/>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16734" xr:uid="{E8D67925-B128-4132-B089-18D88F3CE7A2}"/>
    <cellStyle name="Normal 8 2 2 3 3 2 2 3" xfId="25181" xr:uid="{6FDE8CD5-0091-4A59-89B8-A7836880E39C}"/>
    <cellStyle name="Normal 8 2 2 3 3 2 2 4" xfId="33628" xr:uid="{12625410-A9E8-448B-ADDB-9FFEC6005B71}"/>
    <cellStyle name="Normal 8 2 2 3 3 2 3" xfId="12517" xr:uid="{A6BF150A-7523-4676-AD99-A31935617880}"/>
    <cellStyle name="Normal 8 2 2 3 3 2 4" xfId="20964" xr:uid="{EDB1B19E-30E2-48C3-A419-E334874F018E}"/>
    <cellStyle name="Normal 8 2 2 3 3 2 5" xfId="29411" xr:uid="{00B409DE-CD01-44A4-8759-F480854E9201}"/>
    <cellStyle name="Normal 8 2 2 3 3 3" xfId="5263" xr:uid="{00000000-0005-0000-0000-00005D1C0000}"/>
    <cellStyle name="Normal 8 2 2 3 3 3 2" xfId="14589" xr:uid="{C875CA0E-B3DB-47DF-A956-8B260FD2D56F}"/>
    <cellStyle name="Normal 8 2 2 3 3 3 3" xfId="23036" xr:uid="{317DCFF2-FC92-4C21-A9A9-BBBB588A07E9}"/>
    <cellStyle name="Normal 8 2 2 3 3 3 4" xfId="31483" xr:uid="{28432669-A5E1-4ABB-B039-0D5778738563}"/>
    <cellStyle name="Normal 8 2 2 3 3 4" xfId="9311" xr:uid="{F4618F1E-1235-4269-B5C6-B09BE5034F6C}"/>
    <cellStyle name="Normal 8 2 2 3 3 5" xfId="10372" xr:uid="{F109EC77-9464-4370-97E5-C3B0292202A0}"/>
    <cellStyle name="Normal 8 2 2 3 3 6" xfId="18819" xr:uid="{6E2881D1-99B4-4305-B3E9-5D897429E793}"/>
    <cellStyle name="Normal 8 2 2 3 3 7" xfId="27266" xr:uid="{1DDEC41D-C756-49EB-A873-B1F0A03A7805}"/>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17147" xr:uid="{7A9E36AD-042D-4C79-A8CB-0AA495AAFC55}"/>
    <cellStyle name="Normal 8 2 2 3 4 2 2 3" xfId="25594" xr:uid="{D385F9CE-C80E-42D3-A95E-DA6A72F0CB3A}"/>
    <cellStyle name="Normal 8 2 2 3 4 2 2 4" xfId="34041" xr:uid="{6315681E-9D01-4A65-959C-36F82D7E8B2C}"/>
    <cellStyle name="Normal 8 2 2 3 4 2 3" xfId="12930" xr:uid="{789EED53-DED0-4FF9-90EE-07B0182CC36E}"/>
    <cellStyle name="Normal 8 2 2 3 4 2 4" xfId="21377" xr:uid="{C59D1237-7DAF-472B-B8DB-AE9A03164C9D}"/>
    <cellStyle name="Normal 8 2 2 3 4 2 5" xfId="29824" xr:uid="{9BA732D2-28E6-46CF-A689-2C5ED1884235}"/>
    <cellStyle name="Normal 8 2 2 3 4 3" xfId="5676" xr:uid="{00000000-0005-0000-0000-0000611C0000}"/>
    <cellStyle name="Normal 8 2 2 3 4 3 2" xfId="15002" xr:uid="{B28889F0-6A35-42E8-9831-DA13A62EBF8B}"/>
    <cellStyle name="Normal 8 2 2 3 4 3 3" xfId="23449" xr:uid="{C3EEC05B-E578-4726-932B-ED2E6567AFA8}"/>
    <cellStyle name="Normal 8 2 2 3 4 3 4" xfId="31896" xr:uid="{EF05858B-16A8-48EE-96C4-EE7AE7CB335A}"/>
    <cellStyle name="Normal 8 2 2 3 4 4" xfId="10785" xr:uid="{7453D667-82C3-4C7A-A7BF-7CA2E375D9B1}"/>
    <cellStyle name="Normal 8 2 2 3 4 5" xfId="19232" xr:uid="{129F023C-4F92-48ED-A15F-5E87A720AE59}"/>
    <cellStyle name="Normal 8 2 2 3 4 6" xfId="27679" xr:uid="{81DEBAD1-BA34-4CD4-BFAD-04D2791F54DA}"/>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17560" xr:uid="{BC294A31-3EE7-41B2-92F0-3CED40976936}"/>
    <cellStyle name="Normal 8 2 2 3 5 2 2 3" xfId="26007" xr:uid="{1E4392EC-DEDE-4B97-A92F-788800CF37F0}"/>
    <cellStyle name="Normal 8 2 2 3 5 2 2 4" xfId="34454" xr:uid="{CE67827E-0395-4C03-899D-9141F5AC3383}"/>
    <cellStyle name="Normal 8 2 2 3 5 2 3" xfId="13343" xr:uid="{F13FE99A-FD23-4B33-8E3B-9C26B844F6B1}"/>
    <cellStyle name="Normal 8 2 2 3 5 2 4" xfId="21790" xr:uid="{5151F977-2CDB-45F6-A261-C749E8AA7480}"/>
    <cellStyle name="Normal 8 2 2 3 5 2 5" xfId="30237" xr:uid="{46561A13-14F0-4323-BF8F-C2E6F1BCBD23}"/>
    <cellStyle name="Normal 8 2 2 3 5 3" xfId="6089" xr:uid="{00000000-0005-0000-0000-0000651C0000}"/>
    <cellStyle name="Normal 8 2 2 3 5 3 2" xfId="15415" xr:uid="{CC93019A-5A4E-48E6-B724-9AF284BC6A8E}"/>
    <cellStyle name="Normal 8 2 2 3 5 3 3" xfId="23862" xr:uid="{44991BF8-AFC9-4FD0-9E3F-CC4D757C0E71}"/>
    <cellStyle name="Normal 8 2 2 3 5 3 4" xfId="32309" xr:uid="{5498ED7E-0992-45F8-B9A0-4BC61B3A7782}"/>
    <cellStyle name="Normal 8 2 2 3 5 4" xfId="11198" xr:uid="{5AE9E76F-AA28-4771-AA3C-8E34132CC0B8}"/>
    <cellStyle name="Normal 8 2 2 3 5 5" xfId="19645" xr:uid="{49ACCBB4-0F6D-4B18-8165-BEF8F1FB7059}"/>
    <cellStyle name="Normal 8 2 2 3 5 6" xfId="28092" xr:uid="{ED1C2755-1B39-4F94-AF76-39CBDE640DDE}"/>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17973" xr:uid="{0DD83CC9-52AA-45F1-9672-46EC763BB1C0}"/>
    <cellStyle name="Normal 8 2 2 3 6 2 2 3" xfId="26420" xr:uid="{2209B429-581B-4FF9-8C38-3D039819CD08}"/>
    <cellStyle name="Normal 8 2 2 3 6 2 2 4" xfId="34867" xr:uid="{5CB440A8-C6EA-49ED-8C57-5CBCE4164983}"/>
    <cellStyle name="Normal 8 2 2 3 6 2 3" xfId="13756" xr:uid="{D1D05284-2449-476C-95A5-F15A0C490240}"/>
    <cellStyle name="Normal 8 2 2 3 6 2 4" xfId="22203" xr:uid="{66901F33-8CF1-4CFE-AB52-BC737A5FA917}"/>
    <cellStyle name="Normal 8 2 2 3 6 2 5" xfId="30650" xr:uid="{845B733F-4492-47A8-B836-A2ACBF7B4AF5}"/>
    <cellStyle name="Normal 8 2 2 3 6 3" xfId="6502" xr:uid="{00000000-0005-0000-0000-0000691C0000}"/>
    <cellStyle name="Normal 8 2 2 3 6 3 2" xfId="15828" xr:uid="{35948114-84EF-4683-A05B-F9501A2D96D6}"/>
    <cellStyle name="Normal 8 2 2 3 6 3 3" xfId="24275" xr:uid="{D75E3BB9-EEC9-4AA9-929C-6CC76668B875}"/>
    <cellStyle name="Normal 8 2 2 3 6 3 4" xfId="32722" xr:uid="{CEFF5BBA-DBDE-41C1-89F1-C50DCBA6572E}"/>
    <cellStyle name="Normal 8 2 2 3 6 4" xfId="11611" xr:uid="{2B9BBC49-8C4D-4180-ABE8-36F4C95B22E0}"/>
    <cellStyle name="Normal 8 2 2 3 6 5" xfId="20058" xr:uid="{BFE39082-BBA4-43FB-862A-A33223F5926B}"/>
    <cellStyle name="Normal 8 2 2 3 6 6" xfId="28505" xr:uid="{F0AD0116-BD8B-49A2-B75E-1EABA35B8335}"/>
    <cellStyle name="Normal 8 2 2 3 7" xfId="2632" xr:uid="{00000000-0005-0000-0000-00006A1C0000}"/>
    <cellStyle name="Normal 8 2 2 3 7 2" xfId="6915" xr:uid="{00000000-0005-0000-0000-00006B1C0000}"/>
    <cellStyle name="Normal 8 2 2 3 7 2 2" xfId="16241" xr:uid="{80868995-5DA9-4C8F-B202-086466330094}"/>
    <cellStyle name="Normal 8 2 2 3 7 2 3" xfId="24688" xr:uid="{4B2EBA4C-2E02-4F3D-B373-F8DF09F43C0F}"/>
    <cellStyle name="Normal 8 2 2 3 7 2 4" xfId="33135" xr:uid="{0E63AEE6-9B4C-4B4A-97F1-72DA5D033AAF}"/>
    <cellStyle name="Normal 8 2 2 3 7 3" xfId="12024" xr:uid="{1F77D2E4-CDF9-4C68-A14F-2C9FBA0A8A44}"/>
    <cellStyle name="Normal 8 2 2 3 7 4" xfId="20471" xr:uid="{4B49B7F7-BA15-42D2-8D48-3AFC32CC8EC3}"/>
    <cellStyle name="Normal 8 2 2 3 7 5" xfId="28918" xr:uid="{234F487A-EE2D-4EEE-832F-9B52A72115E5}"/>
    <cellStyle name="Normal 8 2 2 3 8" xfId="4850" xr:uid="{00000000-0005-0000-0000-00006C1C0000}"/>
    <cellStyle name="Normal 8 2 2 3 8 2" xfId="14176" xr:uid="{7F7A6B4E-F35F-4A37-A093-CF303D1C5CA3}"/>
    <cellStyle name="Normal 8 2 2 3 8 3" xfId="22623" xr:uid="{5A7337A5-2470-4A6E-880B-8B61D9503C05}"/>
    <cellStyle name="Normal 8 2 2 3 8 4" xfId="31070" xr:uid="{0BE6DE11-5C70-4207-9B70-D23D8B74F7EA}"/>
    <cellStyle name="Normal 8 2 2 3 9" xfId="8886" xr:uid="{B2A45ACA-2377-4A40-A818-E7106AD46E30}"/>
    <cellStyle name="Normal 8 2 2 4" xfId="487" xr:uid="{00000000-0005-0000-0000-00006D1C0000}"/>
    <cellStyle name="Normal 8 2 2 4 10" xfId="18408" xr:uid="{C7CAB380-B9AF-4197-84BA-3B8A4C5347B1}"/>
    <cellStyle name="Normal 8 2 2 4 11" xfId="26855" xr:uid="{829710AA-0DEF-4FDE-807C-1E138E5633DC}"/>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16736" xr:uid="{15B19F6D-33CE-4011-9C15-02165A8F9516}"/>
    <cellStyle name="Normal 8 2 2 4 2 2 2 3" xfId="25183" xr:uid="{CD3F5312-5A04-4420-A718-7DB766B77A16}"/>
    <cellStyle name="Normal 8 2 2 4 2 2 2 4" xfId="33630" xr:uid="{5676B611-199B-4218-B868-5D6CD058E36E}"/>
    <cellStyle name="Normal 8 2 2 4 2 2 3" xfId="12519" xr:uid="{5EE0B7EA-B494-4DC2-AE2E-13D0E09F4C1B}"/>
    <cellStyle name="Normal 8 2 2 4 2 2 4" xfId="20966" xr:uid="{168A1E0D-3D50-4893-8106-126E17634EE3}"/>
    <cellStyle name="Normal 8 2 2 4 2 2 5" xfId="29413" xr:uid="{876BA8F0-DD03-4868-AAC9-FE8DE1D0F9D7}"/>
    <cellStyle name="Normal 8 2 2 4 2 3" xfId="5265" xr:uid="{00000000-0005-0000-0000-0000711C0000}"/>
    <cellStyle name="Normal 8 2 2 4 2 3 2" xfId="14591" xr:uid="{05E3F267-A374-45BC-9C43-33D57C9EB7E5}"/>
    <cellStyle name="Normal 8 2 2 4 2 3 3" xfId="23038" xr:uid="{7C6A3AC7-DBFA-4BA2-813C-E641181C2760}"/>
    <cellStyle name="Normal 8 2 2 4 2 3 4" xfId="31485" xr:uid="{17BD80F6-6DDD-4B4A-A0E6-4BE03C02EDE7}"/>
    <cellStyle name="Normal 8 2 2 4 2 4" xfId="9415" xr:uid="{88D7FF95-DEA9-4369-BE01-487FC7B2B7E8}"/>
    <cellStyle name="Normal 8 2 2 4 2 5" xfId="10374" xr:uid="{7E4CAA9D-9049-4068-82DB-C88555D41EBE}"/>
    <cellStyle name="Normal 8 2 2 4 2 6" xfId="18821" xr:uid="{F282FFF5-24D2-44E3-A48C-1C64678686C8}"/>
    <cellStyle name="Normal 8 2 2 4 2 7" xfId="27268" xr:uid="{1BC818EF-B273-4DFC-80F1-0E92BED257A5}"/>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17149" xr:uid="{3F8E2CED-8BD7-403A-A580-A90A8C83DA42}"/>
    <cellStyle name="Normal 8 2 2 4 3 2 2 3" xfId="25596" xr:uid="{ECDCA7B7-307E-4CCB-8040-8671308CF55C}"/>
    <cellStyle name="Normal 8 2 2 4 3 2 2 4" xfId="34043" xr:uid="{82A25D35-1628-4447-91A8-A4F077B186C4}"/>
    <cellStyle name="Normal 8 2 2 4 3 2 3" xfId="12932" xr:uid="{E4DD96A0-A6B5-48BB-A1B7-2ED294842FD7}"/>
    <cellStyle name="Normal 8 2 2 4 3 2 4" xfId="21379" xr:uid="{521B81C9-2A1D-4255-9204-23FFCF46F2F3}"/>
    <cellStyle name="Normal 8 2 2 4 3 2 5" xfId="29826" xr:uid="{7B74C1E6-0B22-4CFB-A618-866419A04273}"/>
    <cellStyle name="Normal 8 2 2 4 3 3" xfId="5678" xr:uid="{00000000-0005-0000-0000-0000751C0000}"/>
    <cellStyle name="Normal 8 2 2 4 3 3 2" xfId="15004" xr:uid="{66440FB3-D720-4C1C-B5BD-8104378A2353}"/>
    <cellStyle name="Normal 8 2 2 4 3 3 3" xfId="23451" xr:uid="{EF56BB91-F25B-4161-AE2E-26EF6770B18C}"/>
    <cellStyle name="Normal 8 2 2 4 3 3 4" xfId="31898" xr:uid="{65AF2295-78A4-4C19-A56B-136151E0B208}"/>
    <cellStyle name="Normal 8 2 2 4 3 4" xfId="10787" xr:uid="{0B4EC102-4697-4241-97E5-00D16D918B25}"/>
    <cellStyle name="Normal 8 2 2 4 3 5" xfId="19234" xr:uid="{7CCA3F8A-5734-4E5F-96E7-144FEB1E574E}"/>
    <cellStyle name="Normal 8 2 2 4 3 6" xfId="27681" xr:uid="{62C0188A-F94B-4486-A1FD-C880F7AE1C10}"/>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17562" xr:uid="{42ECDA8F-298A-4FBB-A04D-F1BB126EE088}"/>
    <cellStyle name="Normal 8 2 2 4 4 2 2 3" xfId="26009" xr:uid="{C137E449-E2C9-436F-8CAD-A4A94A2CAF80}"/>
    <cellStyle name="Normal 8 2 2 4 4 2 2 4" xfId="34456" xr:uid="{EF94EA9D-7A79-4972-8AB6-187A3419AAB9}"/>
    <cellStyle name="Normal 8 2 2 4 4 2 3" xfId="13345" xr:uid="{F1B574EF-BC8E-4ABC-AF13-6CFB23048914}"/>
    <cellStyle name="Normal 8 2 2 4 4 2 4" xfId="21792" xr:uid="{AAE384E3-FD00-408C-8AC6-05B05B02B7D4}"/>
    <cellStyle name="Normal 8 2 2 4 4 2 5" xfId="30239" xr:uid="{96ABDE9C-4CDF-4EA5-A86E-4A7D6A156644}"/>
    <cellStyle name="Normal 8 2 2 4 4 3" xfId="6091" xr:uid="{00000000-0005-0000-0000-0000791C0000}"/>
    <cellStyle name="Normal 8 2 2 4 4 3 2" xfId="15417" xr:uid="{F8D9684E-AE79-4C73-AEA1-620AED5B9C64}"/>
    <cellStyle name="Normal 8 2 2 4 4 3 3" xfId="23864" xr:uid="{7D165A3D-CCFF-42E6-B4A1-2EFAC20CDE26}"/>
    <cellStyle name="Normal 8 2 2 4 4 3 4" xfId="32311" xr:uid="{B8A0D38A-EA65-460B-BF89-1A33F86A6F43}"/>
    <cellStyle name="Normal 8 2 2 4 4 4" xfId="11200" xr:uid="{0C4C4193-99A9-4D1B-A240-7347E55135E3}"/>
    <cellStyle name="Normal 8 2 2 4 4 5" xfId="19647" xr:uid="{2F1663E1-2856-4A38-8978-52E4913D0C5A}"/>
    <cellStyle name="Normal 8 2 2 4 4 6" xfId="28094" xr:uid="{ACB60995-F8DF-4AF3-A76C-D5D412153E44}"/>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17975" xr:uid="{BDF7D491-AE84-406C-8E2D-7583F8013317}"/>
    <cellStyle name="Normal 8 2 2 4 5 2 2 3" xfId="26422" xr:uid="{22969F64-89E8-464F-A992-3F964CD4D07B}"/>
    <cellStyle name="Normal 8 2 2 4 5 2 2 4" xfId="34869" xr:uid="{37079660-6DB6-42E6-A571-7D389B2B7F19}"/>
    <cellStyle name="Normal 8 2 2 4 5 2 3" xfId="13758" xr:uid="{FF295C32-F2BB-461E-8A62-DC54C29CB239}"/>
    <cellStyle name="Normal 8 2 2 4 5 2 4" xfId="22205" xr:uid="{219C9DD5-CE6C-4228-BC08-CAAAD1689248}"/>
    <cellStyle name="Normal 8 2 2 4 5 2 5" xfId="30652" xr:uid="{9DF2859D-5426-4D81-BE6D-87880ED74A1C}"/>
    <cellStyle name="Normal 8 2 2 4 5 3" xfId="6504" xr:uid="{00000000-0005-0000-0000-00007D1C0000}"/>
    <cellStyle name="Normal 8 2 2 4 5 3 2" xfId="15830" xr:uid="{39986F94-9B3A-4B81-8BC7-16B16F850811}"/>
    <cellStyle name="Normal 8 2 2 4 5 3 3" xfId="24277" xr:uid="{CA58A6FB-7B1D-4459-BF02-BF904CE5FF44}"/>
    <cellStyle name="Normal 8 2 2 4 5 3 4" xfId="32724" xr:uid="{CAE75F77-D772-456B-9838-6259F02571A4}"/>
    <cellStyle name="Normal 8 2 2 4 5 4" xfId="11613" xr:uid="{73B43AFD-DBB2-417D-882E-8F4D786E43DE}"/>
    <cellStyle name="Normal 8 2 2 4 5 5" xfId="20060" xr:uid="{F793F609-CD73-48CD-97BF-02DB7B7C10D2}"/>
    <cellStyle name="Normal 8 2 2 4 5 6" xfId="28507" xr:uid="{D68155B1-619D-4544-86F3-5EF97A172EDC}"/>
    <cellStyle name="Normal 8 2 2 4 6" xfId="2634" xr:uid="{00000000-0005-0000-0000-00007E1C0000}"/>
    <cellStyle name="Normal 8 2 2 4 6 2" xfId="6917" xr:uid="{00000000-0005-0000-0000-00007F1C0000}"/>
    <cellStyle name="Normal 8 2 2 4 6 2 2" xfId="16243" xr:uid="{6BD3854B-72DC-4ED0-9DA9-6DD8BB4D369A}"/>
    <cellStyle name="Normal 8 2 2 4 6 2 3" xfId="24690" xr:uid="{1EC91A15-2C9E-4F88-A7A4-55F7DD171CA3}"/>
    <cellStyle name="Normal 8 2 2 4 6 2 4" xfId="33137" xr:uid="{FA89AAC4-1630-412D-8D7D-555A41776F36}"/>
    <cellStyle name="Normal 8 2 2 4 6 3" xfId="12026" xr:uid="{C877F496-7398-46C6-B740-D5ACCA318776}"/>
    <cellStyle name="Normal 8 2 2 4 6 4" xfId="20473" xr:uid="{A59F1A36-51A0-4B5F-B9F2-6584EC9C41F6}"/>
    <cellStyle name="Normal 8 2 2 4 6 5" xfId="28920" xr:uid="{EAE400C2-6FEC-43BA-855C-A75FB3E68D00}"/>
    <cellStyle name="Normal 8 2 2 4 7" xfId="4852" xr:uid="{00000000-0005-0000-0000-0000801C0000}"/>
    <cellStyle name="Normal 8 2 2 4 7 2" xfId="14178" xr:uid="{A4C893C0-C122-4540-9F4A-1501C09CF170}"/>
    <cellStyle name="Normal 8 2 2 4 7 3" xfId="22625" xr:uid="{69D40445-C317-41F3-B7D6-A4D73131F865}"/>
    <cellStyle name="Normal 8 2 2 4 7 4" xfId="31072" xr:uid="{62CD5AB3-146D-4CCC-A99A-A5AB0E66506E}"/>
    <cellStyle name="Normal 8 2 2 4 8" xfId="8990" xr:uid="{F08D85C9-EB04-4227-BEA0-1B51DDB63DFA}"/>
    <cellStyle name="Normal 8 2 2 4 9" xfId="9961" xr:uid="{4DF1B882-D56A-4E8D-9CD4-E7579C572851}"/>
    <cellStyle name="Normal 8 2 2 5" xfId="947" xr:uid="{00000000-0005-0000-0000-0000811C0000}"/>
    <cellStyle name="Normal 8 2 2 5 2" xfId="3181" xr:uid="{00000000-0005-0000-0000-0000821C0000}"/>
    <cellStyle name="Normal 8 2 2 5 2 2" xfId="7403" xr:uid="{00000000-0005-0000-0000-0000831C0000}"/>
    <cellStyle name="Normal 8 2 2 5 2 2 2" xfId="16729" xr:uid="{1452B630-9151-43BB-BB4A-4F3B7F560628}"/>
    <cellStyle name="Normal 8 2 2 5 2 2 3" xfId="25176" xr:uid="{21FF458E-D627-43FC-B81E-179C49FE807A}"/>
    <cellStyle name="Normal 8 2 2 5 2 2 4" xfId="33623" xr:uid="{01E1DC26-F651-4CBE-BC59-3BF6F25FDC04}"/>
    <cellStyle name="Normal 8 2 2 5 2 3" xfId="12512" xr:uid="{6C0E333B-20B5-478D-9D48-FC1592713712}"/>
    <cellStyle name="Normal 8 2 2 5 2 4" xfId="20959" xr:uid="{B9F463E5-918F-47FA-A6E9-521BE7ECB8A8}"/>
    <cellStyle name="Normal 8 2 2 5 2 5" xfId="29406" xr:uid="{2A8AFFB4-06BA-447D-8CC2-65E242454186}"/>
    <cellStyle name="Normal 8 2 2 5 3" xfId="5258" xr:uid="{00000000-0005-0000-0000-0000841C0000}"/>
    <cellStyle name="Normal 8 2 2 5 3 2" xfId="14584" xr:uid="{091A4111-B338-4BCE-8FF9-F78C733A8956}"/>
    <cellStyle name="Normal 8 2 2 5 3 3" xfId="23031" xr:uid="{CABCCC66-CC74-4734-9B0E-956DE49328D9}"/>
    <cellStyle name="Normal 8 2 2 5 3 4" xfId="31478" xr:uid="{AF560C41-1E56-4BFA-B00E-6EE3AE49C47F}"/>
    <cellStyle name="Normal 8 2 2 5 4" xfId="9207" xr:uid="{D4CDC4D2-5794-400F-B850-1B259D26C1FE}"/>
    <cellStyle name="Normal 8 2 2 5 5" xfId="10367" xr:uid="{0F9B422C-BB85-4C93-8BB7-D52C2A33B4A3}"/>
    <cellStyle name="Normal 8 2 2 5 6" xfId="18814" xr:uid="{E1BE78CA-3710-4E9E-8D79-5C8A1C2AB2B4}"/>
    <cellStyle name="Normal 8 2 2 5 7" xfId="27261" xr:uid="{D3DBEFB6-BB49-464A-965B-8775AA4FEBC3}"/>
    <cellStyle name="Normal 8 2 2 6" xfId="1364" xr:uid="{00000000-0005-0000-0000-0000851C0000}"/>
    <cellStyle name="Normal 8 2 2 6 2" xfId="3594" xr:uid="{00000000-0005-0000-0000-0000861C0000}"/>
    <cellStyle name="Normal 8 2 2 6 2 2" xfId="7816" xr:uid="{00000000-0005-0000-0000-0000871C0000}"/>
    <cellStyle name="Normal 8 2 2 6 2 2 2" xfId="17142" xr:uid="{A4EFB972-BC8F-4FA3-A828-C45F97C5C025}"/>
    <cellStyle name="Normal 8 2 2 6 2 2 3" xfId="25589" xr:uid="{7A3053EF-24B3-4BE0-98DF-BC8AFA8D3FE2}"/>
    <cellStyle name="Normal 8 2 2 6 2 2 4" xfId="34036" xr:uid="{C1933D85-D668-4B4E-8889-8E143787939E}"/>
    <cellStyle name="Normal 8 2 2 6 2 3" xfId="12925" xr:uid="{254261BF-4B41-4A63-9183-2ADEF7E44896}"/>
    <cellStyle name="Normal 8 2 2 6 2 4" xfId="21372" xr:uid="{C3DD4E79-E357-4E36-B72F-EEC28EA237C8}"/>
    <cellStyle name="Normal 8 2 2 6 2 5" xfId="29819" xr:uid="{DABE59E5-B224-435D-A465-2D3CEB1AEDA9}"/>
    <cellStyle name="Normal 8 2 2 6 3" xfId="5671" xr:uid="{00000000-0005-0000-0000-0000881C0000}"/>
    <cellStyle name="Normal 8 2 2 6 3 2" xfId="14997" xr:uid="{FE86EC8B-CE88-4AA0-B98A-EB859FAA0B17}"/>
    <cellStyle name="Normal 8 2 2 6 3 3" xfId="23444" xr:uid="{6F03AF9E-37EC-4163-824C-13F4DECE149C}"/>
    <cellStyle name="Normal 8 2 2 6 3 4" xfId="31891" xr:uid="{5D637F92-503F-4268-8A06-2DF518551B9A}"/>
    <cellStyle name="Normal 8 2 2 6 4" xfId="10780" xr:uid="{563522D0-E04D-4E21-8375-08D7B3B2B326}"/>
    <cellStyle name="Normal 8 2 2 6 5" xfId="19227" xr:uid="{6234D3A7-609F-40DD-96DB-87D69845886F}"/>
    <cellStyle name="Normal 8 2 2 6 6" xfId="27674" xr:uid="{EE8E0EA5-A663-479F-A22D-0AA934A564BC}"/>
    <cellStyle name="Normal 8 2 2 7" xfId="1777" xr:uid="{00000000-0005-0000-0000-0000891C0000}"/>
    <cellStyle name="Normal 8 2 2 7 2" xfId="4007" xr:uid="{00000000-0005-0000-0000-00008A1C0000}"/>
    <cellStyle name="Normal 8 2 2 7 2 2" xfId="8229" xr:uid="{00000000-0005-0000-0000-00008B1C0000}"/>
    <cellStyle name="Normal 8 2 2 7 2 2 2" xfId="17555" xr:uid="{F14EC000-0976-441B-8F25-E7DC23838E8F}"/>
    <cellStyle name="Normal 8 2 2 7 2 2 3" xfId="26002" xr:uid="{D0650965-7045-4E40-BE18-47F161D1A0B7}"/>
    <cellStyle name="Normal 8 2 2 7 2 2 4" xfId="34449" xr:uid="{DFEAA980-43D2-4809-9486-AD9E15420288}"/>
    <cellStyle name="Normal 8 2 2 7 2 3" xfId="13338" xr:uid="{99DB3137-2FD8-40B2-BFE7-DC70A7EA00D8}"/>
    <cellStyle name="Normal 8 2 2 7 2 4" xfId="21785" xr:uid="{B19441FC-867D-417E-9414-7B44BB08475A}"/>
    <cellStyle name="Normal 8 2 2 7 2 5" xfId="30232" xr:uid="{051D8ED6-A1C9-40BE-BBBF-5E1EF928F876}"/>
    <cellStyle name="Normal 8 2 2 7 3" xfId="6084" xr:uid="{00000000-0005-0000-0000-00008C1C0000}"/>
    <cellStyle name="Normal 8 2 2 7 3 2" xfId="15410" xr:uid="{FA379180-D843-4C9D-B9EF-574ED8460DD9}"/>
    <cellStyle name="Normal 8 2 2 7 3 3" xfId="23857" xr:uid="{4238BC1B-B0CA-4385-A4C9-5C3DB59D1F60}"/>
    <cellStyle name="Normal 8 2 2 7 3 4" xfId="32304" xr:uid="{223E3F9C-480F-4015-8A99-C899CEA58E61}"/>
    <cellStyle name="Normal 8 2 2 7 4" xfId="11193" xr:uid="{3618672E-3943-42BF-95E8-B9906F6144E8}"/>
    <cellStyle name="Normal 8 2 2 7 5" xfId="19640" xr:uid="{AE975365-8C7F-49C2-913E-BA743F235420}"/>
    <cellStyle name="Normal 8 2 2 7 6" xfId="28087" xr:uid="{9EDFC563-4AD8-43D7-A1C7-9F5932F39AD6}"/>
    <cellStyle name="Normal 8 2 2 8" xfId="2191" xr:uid="{00000000-0005-0000-0000-00008D1C0000}"/>
    <cellStyle name="Normal 8 2 2 8 2" xfId="4420" xr:uid="{00000000-0005-0000-0000-00008E1C0000}"/>
    <cellStyle name="Normal 8 2 2 8 2 2" xfId="8642" xr:uid="{00000000-0005-0000-0000-00008F1C0000}"/>
    <cellStyle name="Normal 8 2 2 8 2 2 2" xfId="17968" xr:uid="{BB927B95-E8DD-402B-A595-7A2D56058521}"/>
    <cellStyle name="Normal 8 2 2 8 2 2 3" xfId="26415" xr:uid="{0C738F05-7A5C-44A9-93A1-3821A28D7EBB}"/>
    <cellStyle name="Normal 8 2 2 8 2 2 4" xfId="34862" xr:uid="{80CE6E8C-2496-4BE5-B567-83B29833CD9B}"/>
    <cellStyle name="Normal 8 2 2 8 2 3" xfId="13751" xr:uid="{D0A917DF-5858-40AE-8FA6-F39DDD95B2A4}"/>
    <cellStyle name="Normal 8 2 2 8 2 4" xfId="22198" xr:uid="{45910456-718A-4AF5-BD16-C78422855BB4}"/>
    <cellStyle name="Normal 8 2 2 8 2 5" xfId="30645" xr:uid="{9A9A40DD-4BA1-45FE-9FAF-B22988D4417A}"/>
    <cellStyle name="Normal 8 2 2 8 3" xfId="6497" xr:uid="{00000000-0005-0000-0000-0000901C0000}"/>
    <cellStyle name="Normal 8 2 2 8 3 2" xfId="15823" xr:uid="{9A809FF2-7DB6-4676-B71A-5E7F015A8627}"/>
    <cellStyle name="Normal 8 2 2 8 3 3" xfId="24270" xr:uid="{EA90A0E0-A5B1-46F6-8B49-13BFE2F4D5C8}"/>
    <cellStyle name="Normal 8 2 2 8 3 4" xfId="32717" xr:uid="{12C77DE5-A43C-4419-B8D2-12AF588779B1}"/>
    <cellStyle name="Normal 8 2 2 8 4" xfId="11606" xr:uid="{8A848B0D-4B21-4BBA-BA47-E4B1E6E817A5}"/>
    <cellStyle name="Normal 8 2 2 8 5" xfId="20053" xr:uid="{F3A2C276-18DA-45EE-8D77-24702D98B865}"/>
    <cellStyle name="Normal 8 2 2 8 6" xfId="28500" xr:uid="{808D8FBF-01AA-4476-8F9C-94EF916E3166}"/>
    <cellStyle name="Normal 8 2 2 9" xfId="2627" xr:uid="{00000000-0005-0000-0000-0000911C0000}"/>
    <cellStyle name="Normal 8 2 2 9 2" xfId="6910" xr:uid="{00000000-0005-0000-0000-0000921C0000}"/>
    <cellStyle name="Normal 8 2 2 9 2 2" xfId="16236" xr:uid="{6080E233-22C9-4D57-86D5-79ECB08C3F60}"/>
    <cellStyle name="Normal 8 2 2 9 2 3" xfId="24683" xr:uid="{7DF4C376-70A4-40C4-BE54-EC54EFAD85E8}"/>
    <cellStyle name="Normal 8 2 2 9 2 4" xfId="33130" xr:uid="{F9D3488C-5734-4DAE-BE38-FF5B3767D436}"/>
    <cellStyle name="Normal 8 2 2 9 3" xfId="12019" xr:uid="{2E13F83C-609E-4A93-8E17-42337E93D443}"/>
    <cellStyle name="Normal 8 2 2 9 4" xfId="20466" xr:uid="{584381E9-8A51-4D6A-AC9B-ECBA50AA607C}"/>
    <cellStyle name="Normal 8 2 2 9 5" xfId="28913" xr:uid="{561E65BB-14E7-45FC-B015-A553D329436F}"/>
    <cellStyle name="Normal 8 2 3" xfId="488" xr:uid="{00000000-0005-0000-0000-0000931C0000}"/>
    <cellStyle name="Normal 8 2 3 10" xfId="8835" xr:uid="{2F0FB8B3-D08B-41EB-93AB-2D83A1BD6036}"/>
    <cellStyle name="Normal 8 2 3 11" xfId="9962" xr:uid="{EF48CA9F-59C5-4973-8FF6-F24320FCD927}"/>
    <cellStyle name="Normal 8 2 3 12" xfId="18409" xr:uid="{3397E960-12B1-4E2B-8A0E-B4009FA1497F}"/>
    <cellStyle name="Normal 8 2 3 13" xfId="26856" xr:uid="{07FE462E-CDC9-4354-897F-11E94D7FCDF5}"/>
    <cellStyle name="Normal 8 2 3 2" xfId="489" xr:uid="{00000000-0005-0000-0000-0000941C0000}"/>
    <cellStyle name="Normal 8 2 3 2 10" xfId="9963" xr:uid="{9F61891B-E93C-4459-A7E8-9C4280B5B9FE}"/>
    <cellStyle name="Normal 8 2 3 2 11" xfId="18410" xr:uid="{662FFDE0-B32C-4B34-9D0E-C9E04D7ECA8A}"/>
    <cellStyle name="Normal 8 2 3 2 12" xfId="26857" xr:uid="{A514B9B0-D2D1-4EC5-A7C4-67A189B145C0}"/>
    <cellStyle name="Normal 8 2 3 2 2" xfId="490" xr:uid="{00000000-0005-0000-0000-0000951C0000}"/>
    <cellStyle name="Normal 8 2 3 2 2 10" xfId="18411" xr:uid="{AC5A2F8C-0C62-45A3-BE39-F0C8FDC978E9}"/>
    <cellStyle name="Normal 8 2 3 2 2 11" xfId="26858" xr:uid="{BEF59997-34A3-446F-B8F9-AAB69D26EADF}"/>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16739" xr:uid="{42A75533-6A28-4347-9496-9366B3928D57}"/>
    <cellStyle name="Normal 8 2 3 2 2 2 2 2 3" xfId="25186" xr:uid="{84B7CE93-D09D-495A-896E-1698571BFB39}"/>
    <cellStyle name="Normal 8 2 3 2 2 2 2 2 4" xfId="33633" xr:uid="{9BA8DF54-8639-4134-84DA-00D0F40821A7}"/>
    <cellStyle name="Normal 8 2 3 2 2 2 2 3" xfId="12522" xr:uid="{350B1F57-7C3B-4CF7-B1BA-E58AFE221F1B}"/>
    <cellStyle name="Normal 8 2 3 2 2 2 2 4" xfId="20969" xr:uid="{CBDB7F16-F455-4578-B8DA-0D6A82994D53}"/>
    <cellStyle name="Normal 8 2 3 2 2 2 2 5" xfId="29416" xr:uid="{CD6BDB7E-8E9D-48C7-B278-80AF76AD2B04}"/>
    <cellStyle name="Normal 8 2 3 2 2 2 3" xfId="5268" xr:uid="{00000000-0005-0000-0000-0000991C0000}"/>
    <cellStyle name="Normal 8 2 3 2 2 2 3 2" xfId="14594" xr:uid="{2680E012-925B-4929-BF60-B1CC213C3655}"/>
    <cellStyle name="Normal 8 2 3 2 2 2 3 3" xfId="23041" xr:uid="{7871878A-9C2E-4EE8-8404-657755294BEB}"/>
    <cellStyle name="Normal 8 2 3 2 2 2 3 4" xfId="31488" xr:uid="{F3038609-3329-479C-9058-F6DA77901E07}"/>
    <cellStyle name="Normal 8 2 3 2 2 2 4" xfId="9570" xr:uid="{BA9732E0-D9E4-47DB-882D-D871A821FA55}"/>
    <cellStyle name="Normal 8 2 3 2 2 2 5" xfId="10377" xr:uid="{40249033-0DA8-4B20-883D-71FDE3FA07DD}"/>
    <cellStyle name="Normal 8 2 3 2 2 2 6" xfId="18824" xr:uid="{A8313BF2-3B12-4D33-A26E-CD7CE482D15A}"/>
    <cellStyle name="Normal 8 2 3 2 2 2 7" xfId="27271" xr:uid="{925608D9-28CE-461F-9A40-CCEBBFF3419B}"/>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17152" xr:uid="{6115D35C-BD25-4DFE-B256-85EA32896574}"/>
    <cellStyle name="Normal 8 2 3 2 2 3 2 2 3" xfId="25599" xr:uid="{A2F04805-1795-429C-B529-3F3B5646F1D6}"/>
    <cellStyle name="Normal 8 2 3 2 2 3 2 2 4" xfId="34046" xr:uid="{C2169554-BAC8-484B-833D-FBAC120CABCC}"/>
    <cellStyle name="Normal 8 2 3 2 2 3 2 3" xfId="12935" xr:uid="{31533ED2-87E7-4703-A8DA-00702B751659}"/>
    <cellStyle name="Normal 8 2 3 2 2 3 2 4" xfId="21382" xr:uid="{6521F7E0-A988-465D-88A4-251FADF343D8}"/>
    <cellStyle name="Normal 8 2 3 2 2 3 2 5" xfId="29829" xr:uid="{8DDE9ABF-64C5-435E-AF9A-E13C494A26DF}"/>
    <cellStyle name="Normal 8 2 3 2 2 3 3" xfId="5681" xr:uid="{00000000-0005-0000-0000-00009D1C0000}"/>
    <cellStyle name="Normal 8 2 3 2 2 3 3 2" xfId="15007" xr:uid="{4CE1596C-16D1-4DD0-B7CF-12F96FBEA6FD}"/>
    <cellStyle name="Normal 8 2 3 2 2 3 3 3" xfId="23454" xr:uid="{9584475A-3971-4836-B539-864031590186}"/>
    <cellStyle name="Normal 8 2 3 2 2 3 3 4" xfId="31901" xr:uid="{8B5F25AA-5785-4DCE-8B7C-A99DC8D2EDB5}"/>
    <cellStyle name="Normal 8 2 3 2 2 3 4" xfId="10790" xr:uid="{5DD3DB80-1418-4CFC-A5D9-87906CE8B706}"/>
    <cellStyle name="Normal 8 2 3 2 2 3 5" xfId="19237" xr:uid="{83A791BE-8A86-4D30-B10C-2FF68376367E}"/>
    <cellStyle name="Normal 8 2 3 2 2 3 6" xfId="27684" xr:uid="{7C80C646-DD60-4732-B859-81DD7743F206}"/>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17565" xr:uid="{AA9F5B4C-4B53-41E1-A9AE-1B9827B75423}"/>
    <cellStyle name="Normal 8 2 3 2 2 4 2 2 3" xfId="26012" xr:uid="{46793986-D816-4207-A808-915FE777A77D}"/>
    <cellStyle name="Normal 8 2 3 2 2 4 2 2 4" xfId="34459" xr:uid="{128CA660-CE3D-4377-952A-065AF6AFD576}"/>
    <cellStyle name="Normal 8 2 3 2 2 4 2 3" xfId="13348" xr:uid="{AD11C34E-9276-44A1-B74D-D8946C009800}"/>
    <cellStyle name="Normal 8 2 3 2 2 4 2 4" xfId="21795" xr:uid="{2D3D5EB7-547D-4B80-97E8-13BF0CB35174}"/>
    <cellStyle name="Normal 8 2 3 2 2 4 2 5" xfId="30242" xr:uid="{23FC13EF-6498-4363-89A0-EDAB5F1FA2A3}"/>
    <cellStyle name="Normal 8 2 3 2 2 4 3" xfId="6094" xr:uid="{00000000-0005-0000-0000-0000A11C0000}"/>
    <cellStyle name="Normal 8 2 3 2 2 4 3 2" xfId="15420" xr:uid="{7DBFA899-DD42-4117-B6A8-F701F8DFC253}"/>
    <cellStyle name="Normal 8 2 3 2 2 4 3 3" xfId="23867" xr:uid="{0BCDFDED-9D77-4F85-B9D7-595F61D69AAC}"/>
    <cellStyle name="Normal 8 2 3 2 2 4 3 4" xfId="32314" xr:uid="{0F1199B0-D809-46AA-94C8-353040E00038}"/>
    <cellStyle name="Normal 8 2 3 2 2 4 4" xfId="11203" xr:uid="{37A23584-A180-467D-AA53-AE6B33401E58}"/>
    <cellStyle name="Normal 8 2 3 2 2 4 5" xfId="19650" xr:uid="{FCCF96C6-85C9-4BA9-9D99-9E46184FBCFC}"/>
    <cellStyle name="Normal 8 2 3 2 2 4 6" xfId="28097" xr:uid="{853E17BF-B655-49D6-9BB5-B9C1ABA4DA78}"/>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17978" xr:uid="{ED6461EB-484A-41BC-9746-C9EFD011D652}"/>
    <cellStyle name="Normal 8 2 3 2 2 5 2 2 3" xfId="26425" xr:uid="{20E8A5FC-FA66-4854-AB64-35E7A7EB8AA3}"/>
    <cellStyle name="Normal 8 2 3 2 2 5 2 2 4" xfId="34872" xr:uid="{D0E28DAD-CEAA-496A-8966-09445E652263}"/>
    <cellStyle name="Normal 8 2 3 2 2 5 2 3" xfId="13761" xr:uid="{DCA6C55B-93DA-4307-A971-B61F7BDE623A}"/>
    <cellStyle name="Normal 8 2 3 2 2 5 2 4" xfId="22208" xr:uid="{A4DD105D-8A47-4119-8BC4-92AE5D07F313}"/>
    <cellStyle name="Normal 8 2 3 2 2 5 2 5" xfId="30655" xr:uid="{9E6DB55B-E020-4222-BC4E-4620F435578A}"/>
    <cellStyle name="Normal 8 2 3 2 2 5 3" xfId="6507" xr:uid="{00000000-0005-0000-0000-0000A51C0000}"/>
    <cellStyle name="Normal 8 2 3 2 2 5 3 2" xfId="15833" xr:uid="{1946BC00-E4CD-49A7-A275-081535B14C4F}"/>
    <cellStyle name="Normal 8 2 3 2 2 5 3 3" xfId="24280" xr:uid="{93EA8D53-6BE5-45DE-9E5D-4795C89239D0}"/>
    <cellStyle name="Normal 8 2 3 2 2 5 3 4" xfId="32727" xr:uid="{E2AABF6C-1D22-47B0-8739-1556F5F6C820}"/>
    <cellStyle name="Normal 8 2 3 2 2 5 4" xfId="11616" xr:uid="{EA6EB5D9-6E94-4967-B894-5CB5A6C7C8F5}"/>
    <cellStyle name="Normal 8 2 3 2 2 5 5" xfId="20063" xr:uid="{FF521DB8-CF24-45F6-9865-43AA7AE4A0DC}"/>
    <cellStyle name="Normal 8 2 3 2 2 5 6" xfId="28510" xr:uid="{58DE6AD0-70F4-451F-8D07-365E3AE9261F}"/>
    <cellStyle name="Normal 8 2 3 2 2 6" xfId="2637" xr:uid="{00000000-0005-0000-0000-0000A61C0000}"/>
    <cellStyle name="Normal 8 2 3 2 2 6 2" xfId="6920" xr:uid="{00000000-0005-0000-0000-0000A71C0000}"/>
    <cellStyle name="Normal 8 2 3 2 2 6 2 2" xfId="16246" xr:uid="{240764A4-9A4B-4A6E-85AB-82C948B33829}"/>
    <cellStyle name="Normal 8 2 3 2 2 6 2 3" xfId="24693" xr:uid="{866C7D58-57FC-4CD0-B19A-7B9B11C67DE2}"/>
    <cellStyle name="Normal 8 2 3 2 2 6 2 4" xfId="33140" xr:uid="{5C74CFA4-8FF5-453A-A1AF-CA8D3772E223}"/>
    <cellStyle name="Normal 8 2 3 2 2 6 3" xfId="12029" xr:uid="{35994C60-DDF5-43C4-AB93-53B8FD386A89}"/>
    <cellStyle name="Normal 8 2 3 2 2 6 4" xfId="20476" xr:uid="{62BAE283-FF46-4EC4-9692-3D42344BA3C6}"/>
    <cellStyle name="Normal 8 2 3 2 2 6 5" xfId="28923" xr:uid="{0328D8C0-7BB4-4D10-A823-D133F3969CAB}"/>
    <cellStyle name="Normal 8 2 3 2 2 7" xfId="4855" xr:uid="{00000000-0005-0000-0000-0000A81C0000}"/>
    <cellStyle name="Normal 8 2 3 2 2 7 2" xfId="14181" xr:uid="{16F5D510-BF8D-485F-B0AD-4B62738FD4B9}"/>
    <cellStyle name="Normal 8 2 3 2 2 7 3" xfId="22628" xr:uid="{AD0F11B8-15CF-4968-A869-E2DF2469D0BA}"/>
    <cellStyle name="Normal 8 2 3 2 2 7 4" xfId="31075" xr:uid="{916460C8-88F1-4F35-898E-8ECCA969CFA1}"/>
    <cellStyle name="Normal 8 2 3 2 2 8" xfId="9145" xr:uid="{C71E6005-187D-4837-92B4-619AF06B3A3B}"/>
    <cellStyle name="Normal 8 2 3 2 2 9" xfId="9964" xr:uid="{59548F4C-61FD-4E3A-BD62-D4125FB8ADFB}"/>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16738" xr:uid="{E57A9632-7D9D-4EEA-8FA7-EA7FD1B7F5C4}"/>
    <cellStyle name="Normal 8 2 3 2 3 2 2 3" xfId="25185" xr:uid="{705B4F81-E868-442B-8604-0ED1CEBCD04C}"/>
    <cellStyle name="Normal 8 2 3 2 3 2 2 4" xfId="33632" xr:uid="{E9863EB0-5395-4BBF-8A9F-B2C76C633794}"/>
    <cellStyle name="Normal 8 2 3 2 3 2 3" xfId="12521" xr:uid="{E38D7D42-CEA8-4083-9FB6-239082A043D6}"/>
    <cellStyle name="Normal 8 2 3 2 3 2 4" xfId="20968" xr:uid="{FBBE39E8-9512-4A20-A271-1B308239B6D4}"/>
    <cellStyle name="Normal 8 2 3 2 3 2 5" xfId="29415" xr:uid="{3BCA85E0-7D36-4943-8451-FF9F28BC6EE3}"/>
    <cellStyle name="Normal 8 2 3 2 3 3" xfId="5267" xr:uid="{00000000-0005-0000-0000-0000AC1C0000}"/>
    <cellStyle name="Normal 8 2 3 2 3 3 2" xfId="14593" xr:uid="{08F76506-6455-4AD6-9190-9B4998D1E448}"/>
    <cellStyle name="Normal 8 2 3 2 3 3 3" xfId="23040" xr:uid="{A9210E3E-9B7E-4544-ADBA-5F6F1EA647EF}"/>
    <cellStyle name="Normal 8 2 3 2 3 3 4" xfId="31487" xr:uid="{0EB498DB-E9EF-485F-952D-691D1DBDEF39}"/>
    <cellStyle name="Normal 8 2 3 2 3 4" xfId="9363" xr:uid="{C94C6C98-A8BC-4AC9-B084-0D2219E89AA8}"/>
    <cellStyle name="Normal 8 2 3 2 3 5" xfId="10376" xr:uid="{CE02485F-8361-4B49-B6BB-8990AB581D8D}"/>
    <cellStyle name="Normal 8 2 3 2 3 6" xfId="18823" xr:uid="{B52B0EED-87E8-4028-85FF-2F64A50E04AC}"/>
    <cellStyle name="Normal 8 2 3 2 3 7" xfId="27270" xr:uid="{B083C654-7FB4-4C93-AD14-F8A9A5F3F965}"/>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17151" xr:uid="{BF759320-1B6D-4582-94D4-F0A74B8AD226}"/>
    <cellStyle name="Normal 8 2 3 2 4 2 2 3" xfId="25598" xr:uid="{729B8D7D-0C70-4D4C-9916-9467E5188B74}"/>
    <cellStyle name="Normal 8 2 3 2 4 2 2 4" xfId="34045" xr:uid="{F1E3604D-632F-4DEA-ABE1-7A4DD49341F3}"/>
    <cellStyle name="Normal 8 2 3 2 4 2 3" xfId="12934" xr:uid="{BF2E4BCD-17AD-40DF-9457-25604E574DDC}"/>
    <cellStyle name="Normal 8 2 3 2 4 2 4" xfId="21381" xr:uid="{2E6F1DC5-A0C2-48D1-9D81-DDA441E1C459}"/>
    <cellStyle name="Normal 8 2 3 2 4 2 5" xfId="29828" xr:uid="{2CFBB39C-3641-4BDF-B753-7EB1F63BBF02}"/>
    <cellStyle name="Normal 8 2 3 2 4 3" xfId="5680" xr:uid="{00000000-0005-0000-0000-0000B01C0000}"/>
    <cellStyle name="Normal 8 2 3 2 4 3 2" xfId="15006" xr:uid="{5E4D9A2C-20E2-4CA9-BAE1-C5FD66D952A2}"/>
    <cellStyle name="Normal 8 2 3 2 4 3 3" xfId="23453" xr:uid="{8FECF4DD-B045-4335-A367-1F16EF2368D8}"/>
    <cellStyle name="Normal 8 2 3 2 4 3 4" xfId="31900" xr:uid="{C5FF8ED5-7875-4D02-A947-E5F282E052EC}"/>
    <cellStyle name="Normal 8 2 3 2 4 4" xfId="10789" xr:uid="{CECA8ABE-DEB9-4B13-A8CB-8474D4F244AD}"/>
    <cellStyle name="Normal 8 2 3 2 4 5" xfId="19236" xr:uid="{16F88B31-A422-4E1A-A960-7E7B5EF6735E}"/>
    <cellStyle name="Normal 8 2 3 2 4 6" xfId="27683" xr:uid="{1DDF26C7-341F-4787-B011-BC053E79CD7A}"/>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17564" xr:uid="{8557807A-07E5-460A-8A8D-9D940C70CB9F}"/>
    <cellStyle name="Normal 8 2 3 2 5 2 2 3" xfId="26011" xr:uid="{E494BF45-3746-488F-A82E-56078FB432AB}"/>
    <cellStyle name="Normal 8 2 3 2 5 2 2 4" xfId="34458" xr:uid="{9C767A76-1CA1-42FF-B00E-BC4D2DAD539C}"/>
    <cellStyle name="Normal 8 2 3 2 5 2 3" xfId="13347" xr:uid="{605C8479-23B1-4395-B29C-DCC7ECEFC4B7}"/>
    <cellStyle name="Normal 8 2 3 2 5 2 4" xfId="21794" xr:uid="{7BEF8BF5-691A-4227-8DF8-96F3C7B03863}"/>
    <cellStyle name="Normal 8 2 3 2 5 2 5" xfId="30241" xr:uid="{240520F0-A7FF-4350-BC8D-56506DCEB192}"/>
    <cellStyle name="Normal 8 2 3 2 5 3" xfId="6093" xr:uid="{00000000-0005-0000-0000-0000B41C0000}"/>
    <cellStyle name="Normal 8 2 3 2 5 3 2" xfId="15419" xr:uid="{F6713620-E6C7-4C7A-8EF3-89F6D3FD54D8}"/>
    <cellStyle name="Normal 8 2 3 2 5 3 3" xfId="23866" xr:uid="{5B43CAA4-E75E-4EF4-9618-187E7D231961}"/>
    <cellStyle name="Normal 8 2 3 2 5 3 4" xfId="32313" xr:uid="{0F3C0AC3-08A9-457E-8806-37801D04E2BD}"/>
    <cellStyle name="Normal 8 2 3 2 5 4" xfId="11202" xr:uid="{563F8D84-5594-45F9-9F41-B572EC89BB60}"/>
    <cellStyle name="Normal 8 2 3 2 5 5" xfId="19649" xr:uid="{63886DA7-CA9F-46A9-9AC2-377D78CDAED2}"/>
    <cellStyle name="Normal 8 2 3 2 5 6" xfId="28096" xr:uid="{CAFBB888-2BE6-4966-9A1D-116F55633C2F}"/>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17977" xr:uid="{9D008A20-AC7E-46E3-8EAF-AD0533C9B5F1}"/>
    <cellStyle name="Normal 8 2 3 2 6 2 2 3" xfId="26424" xr:uid="{BAFDB246-8BCF-4CD3-A35A-C61334152F17}"/>
    <cellStyle name="Normal 8 2 3 2 6 2 2 4" xfId="34871" xr:uid="{1D608961-3BB7-455C-AF5B-A34C0F13740D}"/>
    <cellStyle name="Normal 8 2 3 2 6 2 3" xfId="13760" xr:uid="{8EA132DC-F3E7-4FEA-9E30-CD59E5F35B45}"/>
    <cellStyle name="Normal 8 2 3 2 6 2 4" xfId="22207" xr:uid="{9CF57660-CE60-485D-9984-115DB714D890}"/>
    <cellStyle name="Normal 8 2 3 2 6 2 5" xfId="30654" xr:uid="{C0920EDD-3B81-4CA5-A5D4-56D2062E3785}"/>
    <cellStyle name="Normal 8 2 3 2 6 3" xfId="6506" xr:uid="{00000000-0005-0000-0000-0000B81C0000}"/>
    <cellStyle name="Normal 8 2 3 2 6 3 2" xfId="15832" xr:uid="{F83DDCA9-3B3D-4213-B35F-E1C8E528A5DD}"/>
    <cellStyle name="Normal 8 2 3 2 6 3 3" xfId="24279" xr:uid="{5057C7A1-7223-4739-A2ED-854E78209FCF}"/>
    <cellStyle name="Normal 8 2 3 2 6 3 4" xfId="32726" xr:uid="{0CC1079B-2565-463C-857D-9C8FC8C5B2AF}"/>
    <cellStyle name="Normal 8 2 3 2 6 4" xfId="11615" xr:uid="{34D5ED03-A35A-4AF0-87EC-8DC97E6C4C48}"/>
    <cellStyle name="Normal 8 2 3 2 6 5" xfId="20062" xr:uid="{10C07D1D-E88F-4740-89F4-81586F733F35}"/>
    <cellStyle name="Normal 8 2 3 2 6 6" xfId="28509" xr:uid="{895A67A4-2AB1-4202-A66C-7529DF84B560}"/>
    <cellStyle name="Normal 8 2 3 2 7" xfId="2636" xr:uid="{00000000-0005-0000-0000-0000B91C0000}"/>
    <cellStyle name="Normal 8 2 3 2 7 2" xfId="6919" xr:uid="{00000000-0005-0000-0000-0000BA1C0000}"/>
    <cellStyle name="Normal 8 2 3 2 7 2 2" xfId="16245" xr:uid="{527C8D56-BFAC-4477-A2AB-81599282CAF8}"/>
    <cellStyle name="Normal 8 2 3 2 7 2 3" xfId="24692" xr:uid="{EB8B2F71-0D20-4923-BC21-E6E5D4E081C5}"/>
    <cellStyle name="Normal 8 2 3 2 7 2 4" xfId="33139" xr:uid="{472B67CB-B330-481C-810E-6428CF9D2976}"/>
    <cellStyle name="Normal 8 2 3 2 7 3" xfId="12028" xr:uid="{56C3C1B3-A524-4279-8367-3C5A9F5C7A92}"/>
    <cellStyle name="Normal 8 2 3 2 7 4" xfId="20475" xr:uid="{5AB6F659-E76D-47EB-BC39-40114E1862B9}"/>
    <cellStyle name="Normal 8 2 3 2 7 5" xfId="28922" xr:uid="{97B0594B-C5EF-4EE1-B8AB-7F5CAEBF1F2C}"/>
    <cellStyle name="Normal 8 2 3 2 8" xfId="4854" xr:uid="{00000000-0005-0000-0000-0000BB1C0000}"/>
    <cellStyle name="Normal 8 2 3 2 8 2" xfId="14180" xr:uid="{36ED79D0-8089-4E24-903D-D4D0BE5DDB64}"/>
    <cellStyle name="Normal 8 2 3 2 8 3" xfId="22627" xr:uid="{87654866-5371-44A2-81BC-83F487CF37DC}"/>
    <cellStyle name="Normal 8 2 3 2 8 4" xfId="31074" xr:uid="{7CBDD5C4-65EB-42F5-AB2B-82FA9D594D70}"/>
    <cellStyle name="Normal 8 2 3 2 9" xfId="8938" xr:uid="{1EAF77CE-4DC3-40DC-AA9D-31320D478EE9}"/>
    <cellStyle name="Normal 8 2 3 3" xfId="491" xr:uid="{00000000-0005-0000-0000-0000BC1C0000}"/>
    <cellStyle name="Normal 8 2 3 3 10" xfId="18412" xr:uid="{88E96AFF-98C6-4B92-9E19-69CED91AE5DC}"/>
    <cellStyle name="Normal 8 2 3 3 11" xfId="26859" xr:uid="{0F5AB51F-45EA-4965-98D3-DC29C05DC8D4}"/>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16740" xr:uid="{1BCCC068-8D08-4BF8-8BC9-65D5D64CAA97}"/>
    <cellStyle name="Normal 8 2 3 3 2 2 2 3" xfId="25187" xr:uid="{D8719C03-604B-46FF-9C47-799C075A0AAE}"/>
    <cellStyle name="Normal 8 2 3 3 2 2 2 4" xfId="33634" xr:uid="{850CF8F7-2825-42FC-AD91-4B97CDA0490B}"/>
    <cellStyle name="Normal 8 2 3 3 2 2 3" xfId="12523" xr:uid="{CEE4C53E-D4A4-4F16-A80E-D1EBCEC4125C}"/>
    <cellStyle name="Normal 8 2 3 3 2 2 4" xfId="20970" xr:uid="{60B9B3F5-5C70-4768-B97F-848B91FCA2CD}"/>
    <cellStyle name="Normal 8 2 3 3 2 2 5" xfId="29417" xr:uid="{F8B4E6FE-F44F-4D99-86FE-AE62B2F79BDB}"/>
    <cellStyle name="Normal 8 2 3 3 2 3" xfId="5269" xr:uid="{00000000-0005-0000-0000-0000C01C0000}"/>
    <cellStyle name="Normal 8 2 3 3 2 3 2" xfId="14595" xr:uid="{ADC361DE-2E5A-4AE0-948E-49B119FFD4AD}"/>
    <cellStyle name="Normal 8 2 3 3 2 3 3" xfId="23042" xr:uid="{1C09A731-7D08-4D7A-BB27-CC8105AB2667}"/>
    <cellStyle name="Normal 8 2 3 3 2 3 4" xfId="31489" xr:uid="{B19382C7-F07D-4D04-8ABF-93CED4083302}"/>
    <cellStyle name="Normal 8 2 3 3 2 4" xfId="9467" xr:uid="{C16001D7-8508-4511-808F-E990F8EA0FE3}"/>
    <cellStyle name="Normal 8 2 3 3 2 5" xfId="10378" xr:uid="{C9D5D031-F001-4EA0-BB6F-CFFCC5E27BBE}"/>
    <cellStyle name="Normal 8 2 3 3 2 6" xfId="18825" xr:uid="{F53ACF37-43DB-4A30-B7EB-82BF9BD5B4DD}"/>
    <cellStyle name="Normal 8 2 3 3 2 7" xfId="27272" xr:uid="{532D0647-938C-4191-844A-405E7A005DB1}"/>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17153" xr:uid="{E09F888F-92C3-4E0E-9AA2-72C066119E10}"/>
    <cellStyle name="Normal 8 2 3 3 3 2 2 3" xfId="25600" xr:uid="{EAFA4892-E611-481F-90CD-6496049B36F9}"/>
    <cellStyle name="Normal 8 2 3 3 3 2 2 4" xfId="34047" xr:uid="{1566783D-858C-41A1-B7C7-1E66FC79AFF1}"/>
    <cellStyle name="Normal 8 2 3 3 3 2 3" xfId="12936" xr:uid="{8A2D50BE-57A5-4A13-BF89-857CD86B2E24}"/>
    <cellStyle name="Normal 8 2 3 3 3 2 4" xfId="21383" xr:uid="{9F84C20D-459D-48A8-9C2F-67C61F585196}"/>
    <cellStyle name="Normal 8 2 3 3 3 2 5" xfId="29830" xr:uid="{1F58A5A0-BCF3-48A4-8A89-D4A8DCFA1F38}"/>
    <cellStyle name="Normal 8 2 3 3 3 3" xfId="5682" xr:uid="{00000000-0005-0000-0000-0000C41C0000}"/>
    <cellStyle name="Normal 8 2 3 3 3 3 2" xfId="15008" xr:uid="{510A3FC8-749D-4EAD-A9F9-18ADD523402C}"/>
    <cellStyle name="Normal 8 2 3 3 3 3 3" xfId="23455" xr:uid="{6A451ED2-36A3-4CF6-A260-CF6EBCBD1E5A}"/>
    <cellStyle name="Normal 8 2 3 3 3 3 4" xfId="31902" xr:uid="{AE689926-DE8A-413D-92F1-F81014ABEF23}"/>
    <cellStyle name="Normal 8 2 3 3 3 4" xfId="10791" xr:uid="{6DE47005-BDEE-4B72-9281-483B09CBA1B4}"/>
    <cellStyle name="Normal 8 2 3 3 3 5" xfId="19238" xr:uid="{F0CA874E-46D0-4BE0-BBE0-D52491575374}"/>
    <cellStyle name="Normal 8 2 3 3 3 6" xfId="27685" xr:uid="{3A24733B-F1C4-401D-945D-AF108BEC8F25}"/>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17566" xr:uid="{3E9A9520-0B2F-4356-AAF7-3E127D41DC49}"/>
    <cellStyle name="Normal 8 2 3 3 4 2 2 3" xfId="26013" xr:uid="{A23C0996-41CC-44A2-ACFC-2607770F0177}"/>
    <cellStyle name="Normal 8 2 3 3 4 2 2 4" xfId="34460" xr:uid="{F5BEECF1-5DF2-4237-995A-94AC2171B289}"/>
    <cellStyle name="Normal 8 2 3 3 4 2 3" xfId="13349" xr:uid="{10745770-BDF0-4823-A2B5-31BFDCFE4468}"/>
    <cellStyle name="Normal 8 2 3 3 4 2 4" xfId="21796" xr:uid="{21769E55-715F-4957-8417-409E482D2E95}"/>
    <cellStyle name="Normal 8 2 3 3 4 2 5" xfId="30243" xr:uid="{7AB11412-7126-425C-877A-954F13E7B62C}"/>
    <cellStyle name="Normal 8 2 3 3 4 3" xfId="6095" xr:uid="{00000000-0005-0000-0000-0000C81C0000}"/>
    <cellStyle name="Normal 8 2 3 3 4 3 2" xfId="15421" xr:uid="{BC33184E-A56F-4538-83EC-E0FBE253790C}"/>
    <cellStyle name="Normal 8 2 3 3 4 3 3" xfId="23868" xr:uid="{76C779F2-9776-44B3-8347-16EC254431DF}"/>
    <cellStyle name="Normal 8 2 3 3 4 3 4" xfId="32315" xr:uid="{1B1FD7D5-C78A-49DF-973F-539A24104803}"/>
    <cellStyle name="Normal 8 2 3 3 4 4" xfId="11204" xr:uid="{371A8EB9-8A7A-48BE-A17C-48A8E738B0BA}"/>
    <cellStyle name="Normal 8 2 3 3 4 5" xfId="19651" xr:uid="{3B614636-2C68-48AC-8562-9DA5DDFE27CE}"/>
    <cellStyle name="Normal 8 2 3 3 4 6" xfId="28098" xr:uid="{7331555D-AB5E-4C95-B6BD-48077670BC4B}"/>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17979" xr:uid="{2AE79185-99E8-4EA2-9306-C76337A5F32D}"/>
    <cellStyle name="Normal 8 2 3 3 5 2 2 3" xfId="26426" xr:uid="{1FC92B1E-FAA5-4819-9649-82E56FD7EFAE}"/>
    <cellStyle name="Normal 8 2 3 3 5 2 2 4" xfId="34873" xr:uid="{A56F2221-23D8-4B44-834F-D87A3039846B}"/>
    <cellStyle name="Normal 8 2 3 3 5 2 3" xfId="13762" xr:uid="{BCA6D555-5C45-496E-B662-EEEC62DE850E}"/>
    <cellStyle name="Normal 8 2 3 3 5 2 4" xfId="22209" xr:uid="{C39E528B-1A79-44E8-BC75-A4279AB8B7B8}"/>
    <cellStyle name="Normal 8 2 3 3 5 2 5" xfId="30656" xr:uid="{52D73797-E0DF-4224-95A2-856B4BE0F5D4}"/>
    <cellStyle name="Normal 8 2 3 3 5 3" xfId="6508" xr:uid="{00000000-0005-0000-0000-0000CC1C0000}"/>
    <cellStyle name="Normal 8 2 3 3 5 3 2" xfId="15834" xr:uid="{7BD5113E-3A94-46EA-AB06-03DB627EAB54}"/>
    <cellStyle name="Normal 8 2 3 3 5 3 3" xfId="24281" xr:uid="{F20E56CA-54D8-4071-A5D9-5134B3DF9755}"/>
    <cellStyle name="Normal 8 2 3 3 5 3 4" xfId="32728" xr:uid="{0C348AB2-9E18-4D1A-B697-09700C31AB8A}"/>
    <cellStyle name="Normal 8 2 3 3 5 4" xfId="11617" xr:uid="{D1700E90-55C0-4738-9CCF-0CA96B42F22E}"/>
    <cellStyle name="Normal 8 2 3 3 5 5" xfId="20064" xr:uid="{9A91CDC1-3E25-48F0-9532-94066E4FE143}"/>
    <cellStyle name="Normal 8 2 3 3 5 6" xfId="28511" xr:uid="{DF2DE76D-83B7-407C-80C3-B16A7BFC263F}"/>
    <cellStyle name="Normal 8 2 3 3 6" xfId="2638" xr:uid="{00000000-0005-0000-0000-0000CD1C0000}"/>
    <cellStyle name="Normal 8 2 3 3 6 2" xfId="6921" xr:uid="{00000000-0005-0000-0000-0000CE1C0000}"/>
    <cellStyle name="Normal 8 2 3 3 6 2 2" xfId="16247" xr:uid="{E9015811-73C2-4650-8E81-3F1B2085FE2E}"/>
    <cellStyle name="Normal 8 2 3 3 6 2 3" xfId="24694" xr:uid="{4427EC38-0065-490C-88C4-BA537577B79A}"/>
    <cellStyle name="Normal 8 2 3 3 6 2 4" xfId="33141" xr:uid="{27D933BC-103B-407C-B557-525173D6D2EA}"/>
    <cellStyle name="Normal 8 2 3 3 6 3" xfId="12030" xr:uid="{9D71D29A-B4F0-4A7D-B628-91CEC62F469A}"/>
    <cellStyle name="Normal 8 2 3 3 6 4" xfId="20477" xr:uid="{56FBF615-3699-485C-BC8E-011169681106}"/>
    <cellStyle name="Normal 8 2 3 3 6 5" xfId="28924" xr:uid="{DD85597D-1FD7-46C4-B2B6-790B3AE8E960}"/>
    <cellStyle name="Normal 8 2 3 3 7" xfId="4856" xr:uid="{00000000-0005-0000-0000-0000CF1C0000}"/>
    <cellStyle name="Normal 8 2 3 3 7 2" xfId="14182" xr:uid="{E95CCC40-ADB2-4AEC-8D1E-1B505F638A27}"/>
    <cellStyle name="Normal 8 2 3 3 7 3" xfId="22629" xr:uid="{C54CC6AF-B50A-42C2-9F47-D008893745AD}"/>
    <cellStyle name="Normal 8 2 3 3 7 4" xfId="31076" xr:uid="{C24B390A-50CC-4E4F-A1B2-C36FEBB7D8F8}"/>
    <cellStyle name="Normal 8 2 3 3 8" xfId="9042" xr:uid="{D820ED39-BAB1-48C1-A68D-2017E247E432}"/>
    <cellStyle name="Normal 8 2 3 3 9" xfId="9965" xr:uid="{30FC2CC7-FACA-442F-AF2E-876FEF25EE21}"/>
    <cellStyle name="Normal 8 2 3 4" xfId="955" xr:uid="{00000000-0005-0000-0000-0000D01C0000}"/>
    <cellStyle name="Normal 8 2 3 4 2" xfId="3189" xr:uid="{00000000-0005-0000-0000-0000D11C0000}"/>
    <cellStyle name="Normal 8 2 3 4 2 2" xfId="7411" xr:uid="{00000000-0005-0000-0000-0000D21C0000}"/>
    <cellStyle name="Normal 8 2 3 4 2 2 2" xfId="16737" xr:uid="{5AC79EDC-3DF1-4E86-A661-E4BCBA0CBF3C}"/>
    <cellStyle name="Normal 8 2 3 4 2 2 3" xfId="25184" xr:uid="{1C712FCB-B387-4BC0-B489-E7B4F6705A66}"/>
    <cellStyle name="Normal 8 2 3 4 2 2 4" xfId="33631" xr:uid="{BAE96433-20D9-44DF-BE54-5ADCAA113472}"/>
    <cellStyle name="Normal 8 2 3 4 2 3" xfId="12520" xr:uid="{EE7CE15E-5D8F-4327-9F6A-109DF35534A8}"/>
    <cellStyle name="Normal 8 2 3 4 2 4" xfId="20967" xr:uid="{0F6C762D-AB94-4C49-8ED3-B7BE447C0FDF}"/>
    <cellStyle name="Normal 8 2 3 4 2 5" xfId="29414" xr:uid="{0CE515F0-162C-4A31-BBF7-BA31FCE5794B}"/>
    <cellStyle name="Normal 8 2 3 4 3" xfId="5266" xr:uid="{00000000-0005-0000-0000-0000D31C0000}"/>
    <cellStyle name="Normal 8 2 3 4 3 2" xfId="14592" xr:uid="{C7667978-B345-457F-AF73-2A6DDEFEED5A}"/>
    <cellStyle name="Normal 8 2 3 4 3 3" xfId="23039" xr:uid="{6F765066-E2DA-4C1C-B2E8-E1D1996C744E}"/>
    <cellStyle name="Normal 8 2 3 4 3 4" xfId="31486" xr:uid="{A57976FD-6284-4C62-8428-F2A6DCC87482}"/>
    <cellStyle name="Normal 8 2 3 4 4" xfId="9260" xr:uid="{70FF5A16-C89A-42B7-A603-E23A7C2F443C}"/>
    <cellStyle name="Normal 8 2 3 4 5" xfId="10375" xr:uid="{E2728FB3-7E2C-42FD-A92E-D4A45B2D9C4A}"/>
    <cellStyle name="Normal 8 2 3 4 6" xfId="18822" xr:uid="{8827A3B8-C119-4AB8-A557-236B60023AB4}"/>
    <cellStyle name="Normal 8 2 3 4 7" xfId="27269" xr:uid="{E2423CD9-EB95-47E5-978F-6AA63D41307B}"/>
    <cellStyle name="Normal 8 2 3 5" xfId="1372" xr:uid="{00000000-0005-0000-0000-0000D41C0000}"/>
    <cellStyle name="Normal 8 2 3 5 2" xfId="3602" xr:uid="{00000000-0005-0000-0000-0000D51C0000}"/>
    <cellStyle name="Normal 8 2 3 5 2 2" xfId="7824" xr:uid="{00000000-0005-0000-0000-0000D61C0000}"/>
    <cellStyle name="Normal 8 2 3 5 2 2 2" xfId="17150" xr:uid="{F8FFAA23-570D-40E8-A975-F1F4D97BEAFE}"/>
    <cellStyle name="Normal 8 2 3 5 2 2 3" xfId="25597" xr:uid="{3CC919BC-59D3-4890-9C44-EB9043F25D56}"/>
    <cellStyle name="Normal 8 2 3 5 2 2 4" xfId="34044" xr:uid="{A092131A-E2C2-4388-931D-F0CA36244D3E}"/>
    <cellStyle name="Normal 8 2 3 5 2 3" xfId="12933" xr:uid="{F9B40CA7-0D73-4EE2-BDF3-AD625E8E5CE3}"/>
    <cellStyle name="Normal 8 2 3 5 2 4" xfId="21380" xr:uid="{EDD8CCBE-1463-478E-BC5A-A88D7D762BC3}"/>
    <cellStyle name="Normal 8 2 3 5 2 5" xfId="29827" xr:uid="{189DA411-C8B9-49EF-B01F-EDC77D1D3D77}"/>
    <cellStyle name="Normal 8 2 3 5 3" xfId="5679" xr:uid="{00000000-0005-0000-0000-0000D71C0000}"/>
    <cellStyle name="Normal 8 2 3 5 3 2" xfId="15005" xr:uid="{0EEBB2FE-54C9-49A0-9257-B667B6DD8E9F}"/>
    <cellStyle name="Normal 8 2 3 5 3 3" xfId="23452" xr:uid="{74B2E761-AE78-45AF-AE2B-48C605058956}"/>
    <cellStyle name="Normal 8 2 3 5 3 4" xfId="31899" xr:uid="{D18C2107-BE3B-42AF-A7F5-DE3F5CF1F5F3}"/>
    <cellStyle name="Normal 8 2 3 5 4" xfId="10788" xr:uid="{F4304BE5-949F-4911-AE35-394C4D48CA74}"/>
    <cellStyle name="Normal 8 2 3 5 5" xfId="19235" xr:uid="{62134C6E-3E1D-4786-A09A-163C64F1FC37}"/>
    <cellStyle name="Normal 8 2 3 5 6" xfId="27682" xr:uid="{A5033A4B-B648-4374-9D31-6514110E06D9}"/>
    <cellStyle name="Normal 8 2 3 6" xfId="1785" xr:uid="{00000000-0005-0000-0000-0000D81C0000}"/>
    <cellStyle name="Normal 8 2 3 6 2" xfId="4015" xr:uid="{00000000-0005-0000-0000-0000D91C0000}"/>
    <cellStyle name="Normal 8 2 3 6 2 2" xfId="8237" xr:uid="{00000000-0005-0000-0000-0000DA1C0000}"/>
    <cellStyle name="Normal 8 2 3 6 2 2 2" xfId="17563" xr:uid="{FE39F243-1115-4238-AF30-D1F366B5E0C6}"/>
    <cellStyle name="Normal 8 2 3 6 2 2 3" xfId="26010" xr:uid="{6A049F6B-9712-43AC-BD01-629609117799}"/>
    <cellStyle name="Normal 8 2 3 6 2 2 4" xfId="34457" xr:uid="{4C2411E0-2434-456A-8F09-381BACB744D1}"/>
    <cellStyle name="Normal 8 2 3 6 2 3" xfId="13346" xr:uid="{84269A2C-87E2-4534-9DFD-91B18007E033}"/>
    <cellStyle name="Normal 8 2 3 6 2 4" xfId="21793" xr:uid="{B7C9F918-27DF-43E5-9D5F-143D20F8827A}"/>
    <cellStyle name="Normal 8 2 3 6 2 5" xfId="30240" xr:uid="{AD8270FD-B572-4E05-B60F-D3255E0BEA02}"/>
    <cellStyle name="Normal 8 2 3 6 3" xfId="6092" xr:uid="{00000000-0005-0000-0000-0000DB1C0000}"/>
    <cellStyle name="Normal 8 2 3 6 3 2" xfId="15418" xr:uid="{EACA9120-F4AE-4840-B3AD-D47880FA323F}"/>
    <cellStyle name="Normal 8 2 3 6 3 3" xfId="23865" xr:uid="{CCF9B867-8837-4DDA-88BB-548B0D289BD6}"/>
    <cellStyle name="Normal 8 2 3 6 3 4" xfId="32312" xr:uid="{CD4A96B8-9608-4853-9D07-CBA107363F48}"/>
    <cellStyle name="Normal 8 2 3 6 4" xfId="11201" xr:uid="{B31E5D69-C20F-4B29-8516-0EC4DA5D0BB5}"/>
    <cellStyle name="Normal 8 2 3 6 5" xfId="19648" xr:uid="{1B408947-5D90-434D-92DD-501D5D4E8C1C}"/>
    <cellStyle name="Normal 8 2 3 6 6" xfId="28095" xr:uid="{A8F215B0-4B9D-45E3-AF0B-587DE82F3F92}"/>
    <cellStyle name="Normal 8 2 3 7" xfId="2199" xr:uid="{00000000-0005-0000-0000-0000DC1C0000}"/>
    <cellStyle name="Normal 8 2 3 7 2" xfId="4428" xr:uid="{00000000-0005-0000-0000-0000DD1C0000}"/>
    <cellStyle name="Normal 8 2 3 7 2 2" xfId="8650" xr:uid="{00000000-0005-0000-0000-0000DE1C0000}"/>
    <cellStyle name="Normal 8 2 3 7 2 2 2" xfId="17976" xr:uid="{C7BA45ED-E7AE-4CB4-BE62-79F985C6A07F}"/>
    <cellStyle name="Normal 8 2 3 7 2 2 3" xfId="26423" xr:uid="{1498A2AB-2E34-4A98-9EC7-76AF4354F2D0}"/>
    <cellStyle name="Normal 8 2 3 7 2 2 4" xfId="34870" xr:uid="{9A485F8F-866A-46E7-913C-FFB39BDA1C69}"/>
    <cellStyle name="Normal 8 2 3 7 2 3" xfId="13759" xr:uid="{0627BCEF-BA9A-464B-A451-9D00F8F8B355}"/>
    <cellStyle name="Normal 8 2 3 7 2 4" xfId="22206" xr:uid="{1341A7F9-7D15-41DF-9493-9638B59A0512}"/>
    <cellStyle name="Normal 8 2 3 7 2 5" xfId="30653" xr:uid="{542EE094-9671-45D8-B731-20EF3180AAF8}"/>
    <cellStyle name="Normal 8 2 3 7 3" xfId="6505" xr:uid="{00000000-0005-0000-0000-0000DF1C0000}"/>
    <cellStyle name="Normal 8 2 3 7 3 2" xfId="15831" xr:uid="{644756CD-293E-477A-B186-A2A566B01940}"/>
    <cellStyle name="Normal 8 2 3 7 3 3" xfId="24278" xr:uid="{78663CCB-9A2D-4C95-8769-9BE8300BB9D7}"/>
    <cellStyle name="Normal 8 2 3 7 3 4" xfId="32725" xr:uid="{BFAE1324-61D0-4771-AC9F-7CB7F2B6BEF6}"/>
    <cellStyle name="Normal 8 2 3 7 4" xfId="11614" xr:uid="{9EAB3E17-4E83-4A80-B519-EF38444ADAD2}"/>
    <cellStyle name="Normal 8 2 3 7 5" xfId="20061" xr:uid="{9B079392-654E-4BF1-AAE4-8E738477281E}"/>
    <cellStyle name="Normal 8 2 3 7 6" xfId="28508" xr:uid="{6394F7C1-CF29-4F31-9C15-8756D5162777}"/>
    <cellStyle name="Normal 8 2 3 8" xfId="2635" xr:uid="{00000000-0005-0000-0000-0000E01C0000}"/>
    <cellStyle name="Normal 8 2 3 8 2" xfId="6918" xr:uid="{00000000-0005-0000-0000-0000E11C0000}"/>
    <cellStyle name="Normal 8 2 3 8 2 2" xfId="16244" xr:uid="{ABED2F5E-AA96-4ECD-8D89-1731724D0821}"/>
    <cellStyle name="Normal 8 2 3 8 2 3" xfId="24691" xr:uid="{4CC60AA9-641F-48F6-B5BA-A2BF9E4D7D55}"/>
    <cellStyle name="Normal 8 2 3 8 2 4" xfId="33138" xr:uid="{4B6C799B-5775-48AE-A213-7A153A7BAE46}"/>
    <cellStyle name="Normal 8 2 3 8 3" xfId="12027" xr:uid="{B3109890-34F8-4F0B-A21D-6494075F6939}"/>
    <cellStyle name="Normal 8 2 3 8 4" xfId="20474" xr:uid="{FD6855D5-850C-47DF-AE86-7CD9B45C8BD7}"/>
    <cellStyle name="Normal 8 2 3 8 5" xfId="28921" xr:uid="{F7B998D1-68DD-49E1-9367-8ECCC38E6290}"/>
    <cellStyle name="Normal 8 2 3 9" xfId="4853" xr:uid="{00000000-0005-0000-0000-0000E21C0000}"/>
    <cellStyle name="Normal 8 2 3 9 2" xfId="14179" xr:uid="{055EDA8A-BD89-4F01-AFCC-BBA5A5F97F60}"/>
    <cellStyle name="Normal 8 2 3 9 3" xfId="22626" xr:uid="{4F5A240D-4C02-42F7-896A-DE227BDD27EC}"/>
    <cellStyle name="Normal 8 2 3 9 4" xfId="31073" xr:uid="{DC10E54D-BFDD-432C-80E8-1BD7B96F78F1}"/>
    <cellStyle name="Normal 8 2 4" xfId="492" xr:uid="{00000000-0005-0000-0000-0000E31C0000}"/>
    <cellStyle name="Normal 8 2 4 10" xfId="9966" xr:uid="{B0583A78-1115-4F7F-8018-44DB32B0496E}"/>
    <cellStyle name="Normal 8 2 4 11" xfId="18413" xr:uid="{5FB29D7E-F391-4397-B15F-A0B30E8E0628}"/>
    <cellStyle name="Normal 8 2 4 12" xfId="26860" xr:uid="{8788C0C8-ECDE-40B0-8D51-29BB6EB1B768}"/>
    <cellStyle name="Normal 8 2 4 2" xfId="493" xr:uid="{00000000-0005-0000-0000-0000E41C0000}"/>
    <cellStyle name="Normal 8 2 4 2 10" xfId="18414" xr:uid="{D6443776-D59C-4F29-901E-F76C4B652E28}"/>
    <cellStyle name="Normal 8 2 4 2 11" xfId="26861" xr:uid="{C317874E-A745-40AC-A23A-E7627BCF4128}"/>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16742" xr:uid="{69265E16-22AD-4E7A-A6A1-3A05AB623182}"/>
    <cellStyle name="Normal 8 2 4 2 2 2 2 3" xfId="25189" xr:uid="{C2F4EC1D-DDF7-4549-B036-7475B769E44B}"/>
    <cellStyle name="Normal 8 2 4 2 2 2 2 4" xfId="33636" xr:uid="{1C13289D-ADA5-432A-AA7B-E01CF4620721}"/>
    <cellStyle name="Normal 8 2 4 2 2 2 3" xfId="12525" xr:uid="{DB507335-9436-41D6-9F04-73D79E82E952}"/>
    <cellStyle name="Normal 8 2 4 2 2 2 4" xfId="20972" xr:uid="{40028DB0-7649-453E-AA53-F5DFA228E313}"/>
    <cellStyle name="Normal 8 2 4 2 2 2 5" xfId="29419" xr:uid="{BF2B2641-8833-4459-8F58-36EB7EE9B237}"/>
    <cellStyle name="Normal 8 2 4 2 2 3" xfId="5271" xr:uid="{00000000-0005-0000-0000-0000E81C0000}"/>
    <cellStyle name="Normal 8 2 4 2 2 3 2" xfId="14597" xr:uid="{5FB1CAD6-847B-4AAB-969E-3DB40F32CD51}"/>
    <cellStyle name="Normal 8 2 4 2 2 3 3" xfId="23044" xr:uid="{681B5EF4-3338-4122-9940-9D777AC1F0D2}"/>
    <cellStyle name="Normal 8 2 4 2 2 3 4" xfId="31491" xr:uid="{C434DF5C-7EF6-4127-948A-4C38A2479C8D}"/>
    <cellStyle name="Normal 8 2 4 2 2 4" xfId="9486" xr:uid="{9F6EBE4C-F02F-43A6-A388-D5EACB1B3099}"/>
    <cellStyle name="Normal 8 2 4 2 2 5" xfId="10380" xr:uid="{FE022992-68E8-4636-8A67-8DDC6A325393}"/>
    <cellStyle name="Normal 8 2 4 2 2 6" xfId="18827" xr:uid="{A5471219-F87D-490C-8AFD-D651268561FC}"/>
    <cellStyle name="Normal 8 2 4 2 2 7" xfId="27274" xr:uid="{C6F0D52A-C8FE-4A30-B4D7-A591EB0431C2}"/>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17155" xr:uid="{E0075E1E-ED41-4F25-9A04-516A5BEB6B17}"/>
    <cellStyle name="Normal 8 2 4 2 3 2 2 3" xfId="25602" xr:uid="{B0661D1A-A9F0-47E8-9748-C4DE22DE46B8}"/>
    <cellStyle name="Normal 8 2 4 2 3 2 2 4" xfId="34049" xr:uid="{DE94AA8C-0FBF-4363-B98D-7054CB23CD94}"/>
    <cellStyle name="Normal 8 2 4 2 3 2 3" xfId="12938" xr:uid="{149669AF-6BEF-4CD8-9BDF-56CDC0E11CFF}"/>
    <cellStyle name="Normal 8 2 4 2 3 2 4" xfId="21385" xr:uid="{34E90CD4-A631-492C-8454-B72AC711B765}"/>
    <cellStyle name="Normal 8 2 4 2 3 2 5" xfId="29832" xr:uid="{4F3C0E2E-DE66-49F3-A5A3-1BE64A4B7422}"/>
    <cellStyle name="Normal 8 2 4 2 3 3" xfId="5684" xr:uid="{00000000-0005-0000-0000-0000EC1C0000}"/>
    <cellStyle name="Normal 8 2 4 2 3 3 2" xfId="15010" xr:uid="{AF1C6BBF-6C11-4506-B1B7-1122CA37EAB1}"/>
    <cellStyle name="Normal 8 2 4 2 3 3 3" xfId="23457" xr:uid="{FB1AD8F3-A36C-45C4-8D9C-71F76530E98D}"/>
    <cellStyle name="Normal 8 2 4 2 3 3 4" xfId="31904" xr:uid="{A76A786F-09B3-4CE0-BDEE-9794B0DD1B30}"/>
    <cellStyle name="Normal 8 2 4 2 3 4" xfId="10793" xr:uid="{8E2DA89C-26F5-4C15-A309-7B0544034C22}"/>
    <cellStyle name="Normal 8 2 4 2 3 5" xfId="19240" xr:uid="{4B8BBA50-12F1-4C25-BC69-3BB3F315F1B7}"/>
    <cellStyle name="Normal 8 2 4 2 3 6" xfId="27687" xr:uid="{14FC1CBD-CB8B-46C9-AA0B-633050FEC216}"/>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17568" xr:uid="{BAB61191-5FBB-4115-9A4E-520ECFEDB5EF}"/>
    <cellStyle name="Normal 8 2 4 2 4 2 2 3" xfId="26015" xr:uid="{8E1219DB-2B92-4303-91F2-A9520395AD2B}"/>
    <cellStyle name="Normal 8 2 4 2 4 2 2 4" xfId="34462" xr:uid="{2DEB313A-8985-4803-B7EF-85C63A30250D}"/>
    <cellStyle name="Normal 8 2 4 2 4 2 3" xfId="13351" xr:uid="{DF369E6B-5FB5-4931-9731-E97BE2AABF9C}"/>
    <cellStyle name="Normal 8 2 4 2 4 2 4" xfId="21798" xr:uid="{91B4E518-9E38-42F6-AC1D-467C30DA5765}"/>
    <cellStyle name="Normal 8 2 4 2 4 2 5" xfId="30245" xr:uid="{F673C3F7-B319-42C3-9B6F-517270ECCFB0}"/>
    <cellStyle name="Normal 8 2 4 2 4 3" xfId="6097" xr:uid="{00000000-0005-0000-0000-0000F01C0000}"/>
    <cellStyle name="Normal 8 2 4 2 4 3 2" xfId="15423" xr:uid="{578B37EF-964E-4A14-B539-DAB665787216}"/>
    <cellStyle name="Normal 8 2 4 2 4 3 3" xfId="23870" xr:uid="{390BD475-142F-4A34-8DD2-80779CCBD4AE}"/>
    <cellStyle name="Normal 8 2 4 2 4 3 4" xfId="32317" xr:uid="{374CF05D-E829-4281-A124-9D8E303FF36D}"/>
    <cellStyle name="Normal 8 2 4 2 4 4" xfId="11206" xr:uid="{9AC582C7-AAF6-4E1F-8312-04E1858679E3}"/>
    <cellStyle name="Normal 8 2 4 2 4 5" xfId="19653" xr:uid="{72CBEF74-CFAC-4316-9372-2169DA6E5DF7}"/>
    <cellStyle name="Normal 8 2 4 2 4 6" xfId="28100" xr:uid="{FAF5D899-E948-4EC4-85B7-4A2FA5E3E6B5}"/>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17981" xr:uid="{31A08F66-17F0-4BD7-9497-FC1094E0F1C4}"/>
    <cellStyle name="Normal 8 2 4 2 5 2 2 3" xfId="26428" xr:uid="{6F1C665E-46FD-45F7-B2BC-9D6B5003F81A}"/>
    <cellStyle name="Normal 8 2 4 2 5 2 2 4" xfId="34875" xr:uid="{883E2B1D-1CEE-42CD-B09A-4262E2CB4C62}"/>
    <cellStyle name="Normal 8 2 4 2 5 2 3" xfId="13764" xr:uid="{41135B13-C26B-4B93-BD35-FFD534EC8031}"/>
    <cellStyle name="Normal 8 2 4 2 5 2 4" xfId="22211" xr:uid="{64420C63-9A8E-47E8-89DE-1EFBCD49231A}"/>
    <cellStyle name="Normal 8 2 4 2 5 2 5" xfId="30658" xr:uid="{EA4A3BE9-092B-4BC5-AD60-1947E32920F1}"/>
    <cellStyle name="Normal 8 2 4 2 5 3" xfId="6510" xr:uid="{00000000-0005-0000-0000-0000F41C0000}"/>
    <cellStyle name="Normal 8 2 4 2 5 3 2" xfId="15836" xr:uid="{CBCAD3E4-262E-447B-AA7B-F1B6925FB8C9}"/>
    <cellStyle name="Normal 8 2 4 2 5 3 3" xfId="24283" xr:uid="{EB07219E-3840-4492-9D4D-4CE9CB71CC28}"/>
    <cellStyle name="Normal 8 2 4 2 5 3 4" xfId="32730" xr:uid="{A1116ACA-F365-44CA-B0C2-5DFED0C1C51E}"/>
    <cellStyle name="Normal 8 2 4 2 5 4" xfId="11619" xr:uid="{414C0B94-4C90-44CD-ABA2-7A39673B5C7E}"/>
    <cellStyle name="Normal 8 2 4 2 5 5" xfId="20066" xr:uid="{1C948462-1DE1-449D-82FC-BFBE7E607F6C}"/>
    <cellStyle name="Normal 8 2 4 2 5 6" xfId="28513" xr:uid="{51DE991F-F3C6-4F9B-81B9-114A2CA9F2F2}"/>
    <cellStyle name="Normal 8 2 4 2 6" xfId="2640" xr:uid="{00000000-0005-0000-0000-0000F51C0000}"/>
    <cellStyle name="Normal 8 2 4 2 6 2" xfId="6923" xr:uid="{00000000-0005-0000-0000-0000F61C0000}"/>
    <cellStyle name="Normal 8 2 4 2 6 2 2" xfId="16249" xr:uid="{F0C0254C-3146-486B-BD73-D7C573D70254}"/>
    <cellStyle name="Normal 8 2 4 2 6 2 3" xfId="24696" xr:uid="{41C35079-A714-4D35-AA44-9A7A60E7261C}"/>
    <cellStyle name="Normal 8 2 4 2 6 2 4" xfId="33143" xr:uid="{4D9E7D62-265F-47D4-BA5A-BE2F8B42D639}"/>
    <cellStyle name="Normal 8 2 4 2 6 3" xfId="12032" xr:uid="{AA0635E8-DF07-42E0-A29A-A5DABB8D9845}"/>
    <cellStyle name="Normal 8 2 4 2 6 4" xfId="20479" xr:uid="{8428C757-C29F-434E-8555-59235A8AFE6C}"/>
    <cellStyle name="Normal 8 2 4 2 6 5" xfId="28926" xr:uid="{8FFB5D6A-663B-4FC5-92F7-8CE7D67A7D96}"/>
    <cellStyle name="Normal 8 2 4 2 7" xfId="4858" xr:uid="{00000000-0005-0000-0000-0000F71C0000}"/>
    <cellStyle name="Normal 8 2 4 2 7 2" xfId="14184" xr:uid="{07B377EF-8250-406C-B36C-34BB38995681}"/>
    <cellStyle name="Normal 8 2 4 2 7 3" xfId="22631" xr:uid="{5FD1F526-7DEB-4B92-817A-BB9B341BE771}"/>
    <cellStyle name="Normal 8 2 4 2 7 4" xfId="31078" xr:uid="{02FFA7F9-BA45-4D9A-B4A7-2A6B88FD1478}"/>
    <cellStyle name="Normal 8 2 4 2 8" xfId="9061" xr:uid="{7295DB82-9441-436C-AA3E-91B68F6E59B3}"/>
    <cellStyle name="Normal 8 2 4 2 9" xfId="9967" xr:uid="{1FA2CF4F-2F96-4EF4-B3A1-CBFB97A2CF0E}"/>
    <cellStyle name="Normal 8 2 4 3" xfId="959" xr:uid="{00000000-0005-0000-0000-0000F81C0000}"/>
    <cellStyle name="Normal 8 2 4 3 2" xfId="3193" xr:uid="{00000000-0005-0000-0000-0000F91C0000}"/>
    <cellStyle name="Normal 8 2 4 3 2 2" xfId="7415" xr:uid="{00000000-0005-0000-0000-0000FA1C0000}"/>
    <cellStyle name="Normal 8 2 4 3 2 2 2" xfId="16741" xr:uid="{41103AAD-C67C-426C-B0DE-9B365EEEC47D}"/>
    <cellStyle name="Normal 8 2 4 3 2 2 3" xfId="25188" xr:uid="{5FCD3808-3526-41C9-836B-14C46775380D}"/>
    <cellStyle name="Normal 8 2 4 3 2 2 4" xfId="33635" xr:uid="{3B2A78E7-F94E-4818-85B3-B17748C11C7C}"/>
    <cellStyle name="Normal 8 2 4 3 2 3" xfId="12524" xr:uid="{B3D40C42-7BE7-4A5E-A2DD-D60965BE9CF7}"/>
    <cellStyle name="Normal 8 2 4 3 2 4" xfId="20971" xr:uid="{36B8F828-110A-4A40-B813-2BBE5E22317C}"/>
    <cellStyle name="Normal 8 2 4 3 2 5" xfId="29418" xr:uid="{BF237B07-06B5-472E-85CE-44F8CC7CD9F8}"/>
    <cellStyle name="Normal 8 2 4 3 3" xfId="5270" xr:uid="{00000000-0005-0000-0000-0000FB1C0000}"/>
    <cellStyle name="Normal 8 2 4 3 3 2" xfId="14596" xr:uid="{022ECA84-945A-4F37-8B99-FC6560547E36}"/>
    <cellStyle name="Normal 8 2 4 3 3 3" xfId="23043" xr:uid="{0801F88A-690E-4763-9C9A-D828168C472E}"/>
    <cellStyle name="Normal 8 2 4 3 3 4" xfId="31490" xr:uid="{3CEDA9A7-CA56-473E-BD4B-C1F593626597}"/>
    <cellStyle name="Normal 8 2 4 3 4" xfId="9279" xr:uid="{BA09D30D-BEBA-4223-83E6-57FB46A1EFA8}"/>
    <cellStyle name="Normal 8 2 4 3 5" xfId="10379" xr:uid="{CA5CBDB6-000E-4648-B100-A8129EE6F60F}"/>
    <cellStyle name="Normal 8 2 4 3 6" xfId="18826" xr:uid="{DF5CCD67-94D8-4753-9B67-8C0FB0B5978D}"/>
    <cellStyle name="Normal 8 2 4 3 7" xfId="27273" xr:uid="{3A3439BD-2A77-4CC2-B8E7-1ADDB232B026}"/>
    <cellStyle name="Normal 8 2 4 4" xfId="1376" xr:uid="{00000000-0005-0000-0000-0000FC1C0000}"/>
    <cellStyle name="Normal 8 2 4 4 2" xfId="3606" xr:uid="{00000000-0005-0000-0000-0000FD1C0000}"/>
    <cellStyle name="Normal 8 2 4 4 2 2" xfId="7828" xr:uid="{00000000-0005-0000-0000-0000FE1C0000}"/>
    <cellStyle name="Normal 8 2 4 4 2 2 2" xfId="17154" xr:uid="{5B8CC861-7EA3-49C7-9E79-B8F00B48D29D}"/>
    <cellStyle name="Normal 8 2 4 4 2 2 3" xfId="25601" xr:uid="{9C3DD5A4-1303-4154-8FA9-381093DD9393}"/>
    <cellStyle name="Normal 8 2 4 4 2 2 4" xfId="34048" xr:uid="{1F45607C-B5CE-4ED2-BE99-819DF3EE73BF}"/>
    <cellStyle name="Normal 8 2 4 4 2 3" xfId="12937" xr:uid="{7110F9B2-175A-4F5C-8F80-7D70763DE1DD}"/>
    <cellStyle name="Normal 8 2 4 4 2 4" xfId="21384" xr:uid="{B6FC30E7-B0DC-44ED-A6FD-F4BB298D98BD}"/>
    <cellStyle name="Normal 8 2 4 4 2 5" xfId="29831" xr:uid="{B6AB6126-0D46-4C80-96EF-D66CCE609410}"/>
    <cellStyle name="Normal 8 2 4 4 3" xfId="5683" xr:uid="{00000000-0005-0000-0000-0000FF1C0000}"/>
    <cellStyle name="Normal 8 2 4 4 3 2" xfId="15009" xr:uid="{F084BC31-B0A9-4320-AA78-110F4BD77BA9}"/>
    <cellStyle name="Normal 8 2 4 4 3 3" xfId="23456" xr:uid="{BB32EE86-4A74-43CE-BE92-5D7FA55B5E40}"/>
    <cellStyle name="Normal 8 2 4 4 3 4" xfId="31903" xr:uid="{2C9D4EFF-1602-4316-88E6-9729F60735EF}"/>
    <cellStyle name="Normal 8 2 4 4 4" xfId="10792" xr:uid="{682803CA-8912-49C9-AE2D-088EA086AD31}"/>
    <cellStyle name="Normal 8 2 4 4 5" xfId="19239" xr:uid="{6A8B9735-E5C4-4AB5-8741-A201EF83E0D4}"/>
    <cellStyle name="Normal 8 2 4 4 6" xfId="27686" xr:uid="{A07C38B6-D4BF-4864-89CB-9D5E9A396517}"/>
    <cellStyle name="Normal 8 2 4 5" xfId="1789" xr:uid="{00000000-0005-0000-0000-0000001D0000}"/>
    <cellStyle name="Normal 8 2 4 5 2" xfId="4019" xr:uid="{00000000-0005-0000-0000-0000011D0000}"/>
    <cellStyle name="Normal 8 2 4 5 2 2" xfId="8241" xr:uid="{00000000-0005-0000-0000-0000021D0000}"/>
    <cellStyle name="Normal 8 2 4 5 2 2 2" xfId="17567" xr:uid="{361D75DB-B938-4AFF-93ED-061E0AFF00EA}"/>
    <cellStyle name="Normal 8 2 4 5 2 2 3" xfId="26014" xr:uid="{7AC5B35C-9D8F-4936-A961-C7DBFB1692FF}"/>
    <cellStyle name="Normal 8 2 4 5 2 2 4" xfId="34461" xr:uid="{2D52056C-F16E-4272-8BC0-EDF753219D08}"/>
    <cellStyle name="Normal 8 2 4 5 2 3" xfId="13350" xr:uid="{8ADE2764-3D0B-48F3-92F0-55D68BF6CE00}"/>
    <cellStyle name="Normal 8 2 4 5 2 4" xfId="21797" xr:uid="{43D2D890-79CD-4208-A2FA-B9F01CF6B9A2}"/>
    <cellStyle name="Normal 8 2 4 5 2 5" xfId="30244" xr:uid="{F1FA8503-9C87-4317-9C78-005C9826D230}"/>
    <cellStyle name="Normal 8 2 4 5 3" xfId="6096" xr:uid="{00000000-0005-0000-0000-0000031D0000}"/>
    <cellStyle name="Normal 8 2 4 5 3 2" xfId="15422" xr:uid="{8624848D-B803-44B8-B372-59976CF2B34E}"/>
    <cellStyle name="Normal 8 2 4 5 3 3" xfId="23869" xr:uid="{2B06A4D1-499A-45CC-BC00-D8CE33F49BD0}"/>
    <cellStyle name="Normal 8 2 4 5 3 4" xfId="32316" xr:uid="{B26F72C6-C750-458B-A7BB-425481CFBD80}"/>
    <cellStyle name="Normal 8 2 4 5 4" xfId="11205" xr:uid="{6E1FAB4F-17B5-4C2A-83E1-43108946EDF9}"/>
    <cellStyle name="Normal 8 2 4 5 5" xfId="19652" xr:uid="{339667CC-62AE-4D22-9603-2AFCEB8DCA8D}"/>
    <cellStyle name="Normal 8 2 4 5 6" xfId="28099" xr:uid="{BAB2049D-BEAD-40A8-85FA-8E4807B56F3B}"/>
    <cellStyle name="Normal 8 2 4 6" xfId="2203" xr:uid="{00000000-0005-0000-0000-0000041D0000}"/>
    <cellStyle name="Normal 8 2 4 6 2" xfId="4432" xr:uid="{00000000-0005-0000-0000-0000051D0000}"/>
    <cellStyle name="Normal 8 2 4 6 2 2" xfId="8654" xr:uid="{00000000-0005-0000-0000-0000061D0000}"/>
    <cellStyle name="Normal 8 2 4 6 2 2 2" xfId="17980" xr:uid="{9043D5C6-F13E-4C77-9560-200B21864A92}"/>
    <cellStyle name="Normal 8 2 4 6 2 2 3" xfId="26427" xr:uid="{54B9C862-8553-4CE5-ACB0-68113C0FCC1D}"/>
    <cellStyle name="Normal 8 2 4 6 2 2 4" xfId="34874" xr:uid="{F9136396-3503-4823-9DBA-E0F7C3A01B4F}"/>
    <cellStyle name="Normal 8 2 4 6 2 3" xfId="13763" xr:uid="{407C9A6D-F27A-4FC3-986D-6402BE8BFEED}"/>
    <cellStyle name="Normal 8 2 4 6 2 4" xfId="22210" xr:uid="{9DAC5FD8-E8AD-4634-8341-0111E5359EFE}"/>
    <cellStyle name="Normal 8 2 4 6 2 5" xfId="30657" xr:uid="{D99C50B2-1842-43B0-93AB-54AC3BD061A0}"/>
    <cellStyle name="Normal 8 2 4 6 3" xfId="6509" xr:uid="{00000000-0005-0000-0000-0000071D0000}"/>
    <cellStyle name="Normal 8 2 4 6 3 2" xfId="15835" xr:uid="{0E843C41-CA02-4D6F-8177-B0DFAE15F059}"/>
    <cellStyle name="Normal 8 2 4 6 3 3" xfId="24282" xr:uid="{AE4C4AB2-278D-4EB8-9EBD-63D406B79754}"/>
    <cellStyle name="Normal 8 2 4 6 3 4" xfId="32729" xr:uid="{280FEB11-9D62-4615-8963-1463FEC04C47}"/>
    <cellStyle name="Normal 8 2 4 6 4" xfId="11618" xr:uid="{3B471375-AFE9-4E46-9961-CBAF97B79F65}"/>
    <cellStyle name="Normal 8 2 4 6 5" xfId="20065" xr:uid="{11777D1E-94A8-4EC4-994C-8830F06CED56}"/>
    <cellStyle name="Normal 8 2 4 6 6" xfId="28512" xr:uid="{FF5FD830-61DB-4687-A072-B5CA6C494724}"/>
    <cellStyle name="Normal 8 2 4 7" xfId="2639" xr:uid="{00000000-0005-0000-0000-0000081D0000}"/>
    <cellStyle name="Normal 8 2 4 7 2" xfId="6922" xr:uid="{00000000-0005-0000-0000-0000091D0000}"/>
    <cellStyle name="Normal 8 2 4 7 2 2" xfId="16248" xr:uid="{50BE803E-E6EB-4FC0-864B-E2F777FBC977}"/>
    <cellStyle name="Normal 8 2 4 7 2 3" xfId="24695" xr:uid="{4B507D67-A928-4642-A66F-90A2F60C4750}"/>
    <cellStyle name="Normal 8 2 4 7 2 4" xfId="33142" xr:uid="{B5CABABD-3C8E-4E31-BC4D-C611C418598B}"/>
    <cellStyle name="Normal 8 2 4 7 3" xfId="12031" xr:uid="{F9882332-E2E5-4A24-A7A7-345979C4AD3A}"/>
    <cellStyle name="Normal 8 2 4 7 4" xfId="20478" xr:uid="{13AE3FB5-016A-416F-8DEB-8BC9D069C51E}"/>
    <cellStyle name="Normal 8 2 4 7 5" xfId="28925" xr:uid="{62D021E1-512F-4E5A-9A36-7D52BEF84724}"/>
    <cellStyle name="Normal 8 2 4 8" xfId="4857" xr:uid="{00000000-0005-0000-0000-00000A1D0000}"/>
    <cellStyle name="Normal 8 2 4 8 2" xfId="14183" xr:uid="{4D13B54A-D582-4D4D-A54A-FABC7BE903FC}"/>
    <cellStyle name="Normal 8 2 4 8 3" xfId="22630" xr:uid="{D8CE5454-10AA-43B6-A803-AF299690DCE1}"/>
    <cellStyle name="Normal 8 2 4 8 4" xfId="31077" xr:uid="{0E56B93C-1DDF-4033-9194-5E32C1BA23CF}"/>
    <cellStyle name="Normal 8 2 4 9" xfId="8854" xr:uid="{F1F9C500-F3E2-475A-983E-BD697F4BACD1}"/>
    <cellStyle name="Normal 8 2 5" xfId="494" xr:uid="{00000000-0005-0000-0000-00000B1D0000}"/>
    <cellStyle name="Normal 8 2 5 10" xfId="18415" xr:uid="{D4F4ED89-8D18-4BC3-BED0-EB80A2F01313}"/>
    <cellStyle name="Normal 8 2 5 11" xfId="26862" xr:uid="{334E0A49-5CA6-4BB7-85B6-90EE7F8FAE91}"/>
    <cellStyle name="Normal 8 2 5 2" xfId="961" xr:uid="{00000000-0005-0000-0000-00000C1D0000}"/>
    <cellStyle name="Normal 8 2 5 2 2" xfId="3195" xr:uid="{00000000-0005-0000-0000-00000D1D0000}"/>
    <cellStyle name="Normal 8 2 5 2 2 2" xfId="7417" xr:uid="{00000000-0005-0000-0000-00000E1D0000}"/>
    <cellStyle name="Normal 8 2 5 2 2 2 2" xfId="16743" xr:uid="{48994B4D-A313-4491-A7A3-86382D252DBE}"/>
    <cellStyle name="Normal 8 2 5 2 2 2 3" xfId="25190" xr:uid="{52E3C93D-5254-4718-A1D1-E066AACC658B}"/>
    <cellStyle name="Normal 8 2 5 2 2 2 4" xfId="33637" xr:uid="{9F830338-274B-4F00-A3D7-2E554AE6CB33}"/>
    <cellStyle name="Normal 8 2 5 2 2 3" xfId="12526" xr:uid="{A945E178-8D12-4F3F-A416-0CF3B6EF7982}"/>
    <cellStyle name="Normal 8 2 5 2 2 4" xfId="20973" xr:uid="{56944C97-725C-4D79-82A4-F57E112CCDC9}"/>
    <cellStyle name="Normal 8 2 5 2 2 5" xfId="29420" xr:uid="{728C9A24-74C6-4886-8D02-71138BBC51EF}"/>
    <cellStyle name="Normal 8 2 5 2 3" xfId="5272" xr:uid="{00000000-0005-0000-0000-00000F1D0000}"/>
    <cellStyle name="Normal 8 2 5 2 3 2" xfId="14598" xr:uid="{570BA6F7-1D5F-427F-933E-4A27ECE9729F}"/>
    <cellStyle name="Normal 8 2 5 2 3 3" xfId="23045" xr:uid="{16BD60CF-4D71-452B-BEA5-A2CB8555E583}"/>
    <cellStyle name="Normal 8 2 5 2 3 4" xfId="31492" xr:uid="{13277E6B-5F6F-497A-A93A-34D8136BA7EF}"/>
    <cellStyle name="Normal 8 2 5 2 4" xfId="9395" xr:uid="{D5766EF3-6042-484F-B510-7448518CF571}"/>
    <cellStyle name="Normal 8 2 5 2 5" xfId="10381" xr:uid="{FE943876-16FE-4763-A2FF-B6166EACDA00}"/>
    <cellStyle name="Normal 8 2 5 2 6" xfId="18828" xr:uid="{6076CE84-8543-4E58-BB70-33F016D2F5DB}"/>
    <cellStyle name="Normal 8 2 5 2 7" xfId="27275" xr:uid="{1CF0746C-1809-45C0-BEA5-5F5E7648354C}"/>
    <cellStyle name="Normal 8 2 5 3" xfId="1378" xr:uid="{00000000-0005-0000-0000-0000101D0000}"/>
    <cellStyle name="Normal 8 2 5 3 2" xfId="3608" xr:uid="{00000000-0005-0000-0000-0000111D0000}"/>
    <cellStyle name="Normal 8 2 5 3 2 2" xfId="7830" xr:uid="{00000000-0005-0000-0000-0000121D0000}"/>
    <cellStyle name="Normal 8 2 5 3 2 2 2" xfId="17156" xr:uid="{352FA91E-40A3-4D02-B237-1F499186A566}"/>
    <cellStyle name="Normal 8 2 5 3 2 2 3" xfId="25603" xr:uid="{30E8CEDE-6115-410B-8D9F-E69488B86239}"/>
    <cellStyle name="Normal 8 2 5 3 2 2 4" xfId="34050" xr:uid="{64C8E85D-9547-49C0-A6A9-64C043751DF8}"/>
    <cellStyle name="Normal 8 2 5 3 2 3" xfId="12939" xr:uid="{449D6EAD-357B-4E6F-95B7-3DBE5DA767AB}"/>
    <cellStyle name="Normal 8 2 5 3 2 4" xfId="21386" xr:uid="{ACBE62E9-B89A-4F82-9B11-39C9D40EB7EB}"/>
    <cellStyle name="Normal 8 2 5 3 2 5" xfId="29833" xr:uid="{98DA1686-1CA6-47DB-9047-596E3F8D17D2}"/>
    <cellStyle name="Normal 8 2 5 3 3" xfId="5685" xr:uid="{00000000-0005-0000-0000-0000131D0000}"/>
    <cellStyle name="Normal 8 2 5 3 3 2" xfId="15011" xr:uid="{FD55F920-5B67-4177-9647-9181F47D3152}"/>
    <cellStyle name="Normal 8 2 5 3 3 3" xfId="23458" xr:uid="{DBA65F34-5D91-4262-BFE8-094A8ADD124D}"/>
    <cellStyle name="Normal 8 2 5 3 3 4" xfId="31905" xr:uid="{28DEC0EC-231A-4A16-AB06-6FCE8779665E}"/>
    <cellStyle name="Normal 8 2 5 3 4" xfId="10794" xr:uid="{C3E95ACB-C196-4DAE-9AF1-A3A98E97E4F2}"/>
    <cellStyle name="Normal 8 2 5 3 5" xfId="19241" xr:uid="{2D7FA1D2-6DA8-4578-BA70-7B019F8C2BCB}"/>
    <cellStyle name="Normal 8 2 5 3 6" xfId="27688" xr:uid="{D3C2C181-0A33-426B-93E6-ECB766353668}"/>
    <cellStyle name="Normal 8 2 5 4" xfId="1791" xr:uid="{00000000-0005-0000-0000-0000141D0000}"/>
    <cellStyle name="Normal 8 2 5 4 2" xfId="4021" xr:uid="{00000000-0005-0000-0000-0000151D0000}"/>
    <cellStyle name="Normal 8 2 5 4 2 2" xfId="8243" xr:uid="{00000000-0005-0000-0000-0000161D0000}"/>
    <cellStyle name="Normal 8 2 5 4 2 2 2" xfId="17569" xr:uid="{E35C0FD6-7713-4451-AD41-05489544E5DD}"/>
    <cellStyle name="Normal 8 2 5 4 2 2 3" xfId="26016" xr:uid="{143D7F9B-CB66-4B10-A189-2ED6F69B7B56}"/>
    <cellStyle name="Normal 8 2 5 4 2 2 4" xfId="34463" xr:uid="{E573A3A8-953D-4016-9A79-1381C73FCD3A}"/>
    <cellStyle name="Normal 8 2 5 4 2 3" xfId="13352" xr:uid="{7CB558EE-87B1-451E-99AA-D3BC188400C5}"/>
    <cellStyle name="Normal 8 2 5 4 2 4" xfId="21799" xr:uid="{C67EEF1C-A213-4957-A31B-C4D582C58DD6}"/>
    <cellStyle name="Normal 8 2 5 4 2 5" xfId="30246" xr:uid="{F57578E2-92EC-4BBA-B36A-2978AF800EE6}"/>
    <cellStyle name="Normal 8 2 5 4 3" xfId="6098" xr:uid="{00000000-0005-0000-0000-0000171D0000}"/>
    <cellStyle name="Normal 8 2 5 4 3 2" xfId="15424" xr:uid="{F09B0B5B-1945-453B-8F14-D36BE582CA2C}"/>
    <cellStyle name="Normal 8 2 5 4 3 3" xfId="23871" xr:uid="{4F5DF0B6-1D52-488D-BB16-53FF91E3DD4E}"/>
    <cellStyle name="Normal 8 2 5 4 3 4" xfId="32318" xr:uid="{257A558E-EE15-444C-BD74-5411998FDFD9}"/>
    <cellStyle name="Normal 8 2 5 4 4" xfId="11207" xr:uid="{F2697DF6-671B-4BB9-92D9-1F0E6D3E3AB9}"/>
    <cellStyle name="Normal 8 2 5 4 5" xfId="19654" xr:uid="{530E31CB-A7A6-4674-97C1-0D6527078EBB}"/>
    <cellStyle name="Normal 8 2 5 4 6" xfId="28101" xr:uid="{5A8E613D-4B59-4A49-A519-D233372AB2DC}"/>
    <cellStyle name="Normal 8 2 5 5" xfId="2205" xr:uid="{00000000-0005-0000-0000-0000181D0000}"/>
    <cellStyle name="Normal 8 2 5 5 2" xfId="4434" xr:uid="{00000000-0005-0000-0000-0000191D0000}"/>
    <cellStyle name="Normal 8 2 5 5 2 2" xfId="8656" xr:uid="{00000000-0005-0000-0000-00001A1D0000}"/>
    <cellStyle name="Normal 8 2 5 5 2 2 2" xfId="17982" xr:uid="{19AE2EBA-924A-4860-A2A9-B409E7669943}"/>
    <cellStyle name="Normal 8 2 5 5 2 2 3" xfId="26429" xr:uid="{EFFF38AB-A9EB-4739-8256-76E718BC50B5}"/>
    <cellStyle name="Normal 8 2 5 5 2 2 4" xfId="34876" xr:uid="{543E3A89-CEC2-4120-AD70-F66D771900DF}"/>
    <cellStyle name="Normal 8 2 5 5 2 3" xfId="13765" xr:uid="{95A45D27-B311-4653-B9CC-3B777A3F418B}"/>
    <cellStyle name="Normal 8 2 5 5 2 4" xfId="22212" xr:uid="{EEC3F5A7-020D-447F-B3D8-4D810E16352B}"/>
    <cellStyle name="Normal 8 2 5 5 2 5" xfId="30659" xr:uid="{28E68D62-10B3-4C57-9037-D78476325D4B}"/>
    <cellStyle name="Normal 8 2 5 5 3" xfId="6511" xr:uid="{00000000-0005-0000-0000-00001B1D0000}"/>
    <cellStyle name="Normal 8 2 5 5 3 2" xfId="15837" xr:uid="{FFA825FF-9210-4D90-A227-3EC70E51B6D3}"/>
    <cellStyle name="Normal 8 2 5 5 3 3" xfId="24284" xr:uid="{8491A910-C6DE-4465-9709-5BEDCC566FC5}"/>
    <cellStyle name="Normal 8 2 5 5 3 4" xfId="32731" xr:uid="{F447A49A-9E31-4060-B2C9-C0BD7D341CC5}"/>
    <cellStyle name="Normal 8 2 5 5 4" xfId="11620" xr:uid="{3DCD03A6-3D19-40BF-AAD7-C57A1BE5DC82}"/>
    <cellStyle name="Normal 8 2 5 5 5" xfId="20067" xr:uid="{7B982D8D-F6A2-4CE9-9C2E-7621B8DCA303}"/>
    <cellStyle name="Normal 8 2 5 5 6" xfId="28514" xr:uid="{B2089874-38DB-4DA4-AB43-7E16B6A35007}"/>
    <cellStyle name="Normal 8 2 5 6" xfId="2641" xr:uid="{00000000-0005-0000-0000-00001C1D0000}"/>
    <cellStyle name="Normal 8 2 5 6 2" xfId="6924" xr:uid="{00000000-0005-0000-0000-00001D1D0000}"/>
    <cellStyle name="Normal 8 2 5 6 2 2" xfId="16250" xr:uid="{7EF52F80-51B1-4BA4-BD70-5BDEEA873470}"/>
    <cellStyle name="Normal 8 2 5 6 2 3" xfId="24697" xr:uid="{B03FC1FB-84D8-4071-A759-BE3D629931CB}"/>
    <cellStyle name="Normal 8 2 5 6 2 4" xfId="33144" xr:uid="{D963DC6E-3596-4DF0-BCFD-631C99C76B9E}"/>
    <cellStyle name="Normal 8 2 5 6 3" xfId="12033" xr:uid="{E3CA6DA5-157A-48C0-9721-30DE3588CCA8}"/>
    <cellStyle name="Normal 8 2 5 6 4" xfId="20480" xr:uid="{5EB993B7-4D2F-4C5B-A754-14E42B989CBC}"/>
    <cellStyle name="Normal 8 2 5 6 5" xfId="28927" xr:uid="{A4463D9B-5263-45D9-9EF5-887286169755}"/>
    <cellStyle name="Normal 8 2 5 7" xfId="4859" xr:uid="{00000000-0005-0000-0000-00001E1D0000}"/>
    <cellStyle name="Normal 8 2 5 7 2" xfId="14185" xr:uid="{C5C9A8CE-035A-483B-A823-2AB4E35AA9BA}"/>
    <cellStyle name="Normal 8 2 5 7 3" xfId="22632" xr:uid="{5466A942-3FC3-4E70-B349-B6789AC58B44}"/>
    <cellStyle name="Normal 8 2 5 7 4" xfId="31079" xr:uid="{C85C24ED-DBE4-420D-A753-DCF66522B047}"/>
    <cellStyle name="Normal 8 2 5 8" xfId="8970" xr:uid="{7E9ACEFF-1680-45D8-BC32-8CA9BA1D63D4}"/>
    <cellStyle name="Normal 8 2 5 9" xfId="9968" xr:uid="{8D001581-10DB-43D1-AB19-EB3977848ED7}"/>
    <cellStyle name="Normal 8 2 6" xfId="946" xr:uid="{00000000-0005-0000-0000-00001F1D0000}"/>
    <cellStyle name="Normal 8 2 6 2" xfId="3180" xr:uid="{00000000-0005-0000-0000-0000201D0000}"/>
    <cellStyle name="Normal 8 2 6 2 2" xfId="7402" xr:uid="{00000000-0005-0000-0000-0000211D0000}"/>
    <cellStyle name="Normal 8 2 6 2 2 2" xfId="16728" xr:uid="{A6C4D2EA-3208-480D-A5D1-E3DD54B88068}"/>
    <cellStyle name="Normal 8 2 6 2 2 3" xfId="25175" xr:uid="{91D7D003-1DCC-4CF2-87AE-12FC0366A2A1}"/>
    <cellStyle name="Normal 8 2 6 2 2 4" xfId="33622" xr:uid="{D5300283-44FE-4E7E-AA8E-9C199BB46733}"/>
    <cellStyle name="Normal 8 2 6 2 3" xfId="12511" xr:uid="{F55EF098-E5CC-438A-BE01-D72ACBCC29D5}"/>
    <cellStyle name="Normal 8 2 6 2 4" xfId="20958" xr:uid="{A3B89CF6-45E7-44CA-8487-62279F0BB6B4}"/>
    <cellStyle name="Normal 8 2 6 2 5" xfId="29405" xr:uid="{D001D097-C830-4BA3-BD30-929D90C8790F}"/>
    <cellStyle name="Normal 8 2 6 3" xfId="5257" xr:uid="{00000000-0005-0000-0000-0000221D0000}"/>
    <cellStyle name="Normal 8 2 6 3 2" xfId="14583" xr:uid="{4ED9547D-2C05-4DCA-BA10-C0BC382D9735}"/>
    <cellStyle name="Normal 8 2 6 3 3" xfId="23030" xr:uid="{8BFC6DF4-A1BF-414E-9152-6EF747A0FB90}"/>
    <cellStyle name="Normal 8 2 6 3 4" xfId="31477" xr:uid="{0DCA31A4-2F35-4A0F-80A1-A3D6441B024A}"/>
    <cellStyle name="Normal 8 2 6 4" xfId="9173" xr:uid="{C36295B3-E6F0-4A6D-AEE5-72C8177C13EE}"/>
    <cellStyle name="Normal 8 2 6 5" xfId="10366" xr:uid="{D0D555DA-AB27-48DF-8C83-46F1851006FE}"/>
    <cellStyle name="Normal 8 2 6 6" xfId="18813" xr:uid="{BE3539AC-5594-4DBB-B52C-34974DBB3AB9}"/>
    <cellStyle name="Normal 8 2 6 7" xfId="27260" xr:uid="{4F22237D-A204-4DCE-97DC-706785C94239}"/>
    <cellStyle name="Normal 8 2 7" xfId="1363" xr:uid="{00000000-0005-0000-0000-0000231D0000}"/>
    <cellStyle name="Normal 8 2 7 2" xfId="3593" xr:uid="{00000000-0005-0000-0000-0000241D0000}"/>
    <cellStyle name="Normal 8 2 7 2 2" xfId="7815" xr:uid="{00000000-0005-0000-0000-0000251D0000}"/>
    <cellStyle name="Normal 8 2 7 2 2 2" xfId="17141" xr:uid="{AE31B96F-92EE-436C-9F10-BB8818648F0A}"/>
    <cellStyle name="Normal 8 2 7 2 2 3" xfId="25588" xr:uid="{5954B5D2-D9C4-46F7-B05D-E04C5C393357}"/>
    <cellStyle name="Normal 8 2 7 2 2 4" xfId="34035" xr:uid="{F61C51BC-C902-43A9-BB2A-70A7A7972C15}"/>
    <cellStyle name="Normal 8 2 7 2 3" xfId="12924" xr:uid="{6DF886EF-F350-40AB-99D0-B73CD72F6BC3}"/>
    <cellStyle name="Normal 8 2 7 2 4" xfId="21371" xr:uid="{9449EC92-0715-48A9-950F-65F14524F883}"/>
    <cellStyle name="Normal 8 2 7 2 5" xfId="29818" xr:uid="{AB7F8CB1-488F-4E0F-90EE-DE7BBC031D38}"/>
    <cellStyle name="Normal 8 2 7 3" xfId="5670" xr:uid="{00000000-0005-0000-0000-0000261D0000}"/>
    <cellStyle name="Normal 8 2 7 3 2" xfId="14996" xr:uid="{CCB9BAAF-CA25-4246-9381-EAD6D1A38B16}"/>
    <cellStyle name="Normal 8 2 7 3 3" xfId="23443" xr:uid="{42855FBD-4186-42BF-B9B3-1A4F7A7CF050}"/>
    <cellStyle name="Normal 8 2 7 3 4" xfId="31890" xr:uid="{AA969DD0-86DF-4CD3-81C8-5AF92ACA2678}"/>
    <cellStyle name="Normal 8 2 7 4" xfId="10779" xr:uid="{CECE3193-78D1-4CE8-9019-2189EB1228E4}"/>
    <cellStyle name="Normal 8 2 7 5" xfId="19226" xr:uid="{1C8C12DA-1849-4DB2-BC7D-D5AEB8BD864C}"/>
    <cellStyle name="Normal 8 2 7 6" xfId="27673" xr:uid="{3D1C10F7-CD09-4934-AF18-78D3857FF7E6}"/>
    <cellStyle name="Normal 8 2 8" xfId="1776" xr:uid="{00000000-0005-0000-0000-0000271D0000}"/>
    <cellStyle name="Normal 8 2 8 2" xfId="4006" xr:uid="{00000000-0005-0000-0000-0000281D0000}"/>
    <cellStyle name="Normal 8 2 8 2 2" xfId="8228" xr:uid="{00000000-0005-0000-0000-0000291D0000}"/>
    <cellStyle name="Normal 8 2 8 2 2 2" xfId="17554" xr:uid="{EB07DE96-85A4-4449-91E5-8DDF70BCE485}"/>
    <cellStyle name="Normal 8 2 8 2 2 3" xfId="26001" xr:uid="{008585F1-E41E-4616-A5EB-E8E7333B5753}"/>
    <cellStyle name="Normal 8 2 8 2 2 4" xfId="34448" xr:uid="{D5AA4613-64AD-4E7E-BF79-5C30FB4D140C}"/>
    <cellStyle name="Normal 8 2 8 2 3" xfId="13337" xr:uid="{DE202D6C-3ED4-435B-9376-4D8F05BED8FE}"/>
    <cellStyle name="Normal 8 2 8 2 4" xfId="21784" xr:uid="{221FD57D-EDE5-464D-B4D5-F77D0F3D94DE}"/>
    <cellStyle name="Normal 8 2 8 2 5" xfId="30231" xr:uid="{A85C38FD-9789-4C51-B824-E9AB87438C5A}"/>
    <cellStyle name="Normal 8 2 8 3" xfId="6083" xr:uid="{00000000-0005-0000-0000-00002A1D0000}"/>
    <cellStyle name="Normal 8 2 8 3 2" xfId="15409" xr:uid="{E1415AD0-D557-400C-8E4C-72606F5830D1}"/>
    <cellStyle name="Normal 8 2 8 3 3" xfId="23856" xr:uid="{3404B599-FD31-4793-8476-AEFDECED2517}"/>
    <cellStyle name="Normal 8 2 8 3 4" xfId="32303" xr:uid="{E48211AD-DCB2-4176-9623-2B51077466CD}"/>
    <cellStyle name="Normal 8 2 8 4" xfId="11192" xr:uid="{DBD6519D-F8F3-4762-A5B4-766D32D43A09}"/>
    <cellStyle name="Normal 8 2 8 5" xfId="19639" xr:uid="{FD766D04-6C12-4832-AD85-132D836711E7}"/>
    <cellStyle name="Normal 8 2 8 6" xfId="28086" xr:uid="{B7B4D78C-65BF-400B-B398-89E14700D5F8}"/>
    <cellStyle name="Normal 8 2 9" xfId="2190" xr:uid="{00000000-0005-0000-0000-00002B1D0000}"/>
    <cellStyle name="Normal 8 2 9 2" xfId="4419" xr:uid="{00000000-0005-0000-0000-00002C1D0000}"/>
    <cellStyle name="Normal 8 2 9 2 2" xfId="8641" xr:uid="{00000000-0005-0000-0000-00002D1D0000}"/>
    <cellStyle name="Normal 8 2 9 2 2 2" xfId="17967" xr:uid="{13E833C5-3B34-4F4E-9218-32E2724FEC59}"/>
    <cellStyle name="Normal 8 2 9 2 2 3" xfId="26414" xr:uid="{A3150E7E-46C7-463E-830E-6A7183F296ED}"/>
    <cellStyle name="Normal 8 2 9 2 2 4" xfId="34861" xr:uid="{426E2355-EBEB-46D8-AB5E-F9DD951C17D9}"/>
    <cellStyle name="Normal 8 2 9 2 3" xfId="13750" xr:uid="{FB07C70B-C95C-4103-B661-050F1A38C878}"/>
    <cellStyle name="Normal 8 2 9 2 4" xfId="22197" xr:uid="{16FFA8EB-5202-4AC4-A203-C4AC2B91896D}"/>
    <cellStyle name="Normal 8 2 9 2 5" xfId="30644" xr:uid="{AE7A4913-DD63-4CB5-9816-BD3351B55A58}"/>
    <cellStyle name="Normal 8 2 9 3" xfId="6496" xr:uid="{00000000-0005-0000-0000-00002E1D0000}"/>
    <cellStyle name="Normal 8 2 9 3 2" xfId="15822" xr:uid="{91E99F03-3E18-4857-BE38-9F829F9CD9CF}"/>
    <cellStyle name="Normal 8 2 9 3 3" xfId="24269" xr:uid="{E0147472-6DB1-48ED-8CE8-E64FB3E6CDF3}"/>
    <cellStyle name="Normal 8 2 9 3 4" xfId="32716" xr:uid="{35D0AFF5-6ABA-43ED-965F-DE41FE411535}"/>
    <cellStyle name="Normal 8 2 9 4" xfId="11605" xr:uid="{9EC6F4AA-8AF2-4723-8BC4-60038F0925D9}"/>
    <cellStyle name="Normal 8 2 9 5" xfId="20052" xr:uid="{D7203234-A7A1-49EE-B479-FE5F9F8A1F9A}"/>
    <cellStyle name="Normal 8 2 9 6" xfId="28499" xr:uid="{7F78DA75-16AA-438F-B084-C18B67EC3E0C}"/>
    <cellStyle name="Normal 8 3" xfId="495" xr:uid="{00000000-0005-0000-0000-00002F1D0000}"/>
    <cellStyle name="Normal 8 3 10" xfId="4860" xr:uid="{00000000-0005-0000-0000-0000301D0000}"/>
    <cellStyle name="Normal 8 3 10 2" xfId="14186" xr:uid="{BAB50FE8-3D74-4B5C-9125-2C24ED51C94C}"/>
    <cellStyle name="Normal 8 3 10 3" xfId="22633" xr:uid="{E26C4018-BC83-427B-BC3D-27DB9E51F103}"/>
    <cellStyle name="Normal 8 3 10 4" xfId="31080" xr:uid="{7AE9211A-31C2-4E20-A7D9-54B05CDE31F1}"/>
    <cellStyle name="Normal 8 3 11" xfId="8774" xr:uid="{81BDDADD-940D-4F3A-BD6C-7E4719C8A3D2}"/>
    <cellStyle name="Normal 8 3 12" xfId="9969" xr:uid="{0F98E485-E2EC-4AE0-9167-DE1722E87252}"/>
    <cellStyle name="Normal 8 3 13" xfId="18416" xr:uid="{AACDAE09-3124-4667-9FC0-C9F607CDEF64}"/>
    <cellStyle name="Normal 8 3 14" xfId="26863" xr:uid="{E91475B0-FEDC-42D8-84DA-17FA4B778F0C}"/>
    <cellStyle name="Normal 8 3 2" xfId="496" xr:uid="{00000000-0005-0000-0000-0000311D0000}"/>
    <cellStyle name="Normal 8 3 2 10" xfId="8837" xr:uid="{392842AA-84B1-4A71-AE94-A1B631487B7E}"/>
    <cellStyle name="Normal 8 3 2 11" xfId="9970" xr:uid="{2B6D2EA8-FE38-4A52-B7FA-BAEDBEE0ACF3}"/>
    <cellStyle name="Normal 8 3 2 12" xfId="18417" xr:uid="{B58B590E-00DD-4E21-83C3-77CDC2FE60F1}"/>
    <cellStyle name="Normal 8 3 2 13" xfId="26864" xr:uid="{3FD865B8-412F-44B3-A6E7-F0E3F0A08B62}"/>
    <cellStyle name="Normal 8 3 2 2" xfId="497" xr:uid="{00000000-0005-0000-0000-0000321D0000}"/>
    <cellStyle name="Normal 8 3 2 2 10" xfId="9971" xr:uid="{66D9FC6D-3B82-486E-83E9-7ED284B23D01}"/>
    <cellStyle name="Normal 8 3 2 2 11" xfId="18418" xr:uid="{EADB41D4-2A54-49E7-B124-5A5A944FAE68}"/>
    <cellStyle name="Normal 8 3 2 2 12" xfId="26865" xr:uid="{9521FEB6-45E1-4892-A2AD-1179F53A3675}"/>
    <cellStyle name="Normal 8 3 2 2 2" xfId="498" xr:uid="{00000000-0005-0000-0000-0000331D0000}"/>
    <cellStyle name="Normal 8 3 2 2 2 10" xfId="18419" xr:uid="{5E154D94-6B91-4B0C-84FC-EC476211B0F0}"/>
    <cellStyle name="Normal 8 3 2 2 2 11" xfId="26866" xr:uid="{3E00FC7C-C4DC-48E8-B671-4551E8FD451F}"/>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16747" xr:uid="{E7E6FB9E-5DBB-444E-BAB0-8B4678F400BC}"/>
    <cellStyle name="Normal 8 3 2 2 2 2 2 2 3" xfId="25194" xr:uid="{D809AF21-15AC-4D2F-9879-4B0A8E0DEA77}"/>
    <cellStyle name="Normal 8 3 2 2 2 2 2 2 4" xfId="33641" xr:uid="{EC402092-81C2-4095-BDAA-47897404B108}"/>
    <cellStyle name="Normal 8 3 2 2 2 2 2 3" xfId="12530" xr:uid="{F0197F40-AC2A-460A-94AF-D81948EF980E}"/>
    <cellStyle name="Normal 8 3 2 2 2 2 2 4" xfId="20977" xr:uid="{93B3FD2B-CDB9-4929-9BF6-82354F0E4BCA}"/>
    <cellStyle name="Normal 8 3 2 2 2 2 2 5" xfId="29424" xr:uid="{EC78C97A-5718-4217-9FE1-30E31776ECE8}"/>
    <cellStyle name="Normal 8 3 2 2 2 2 3" xfId="5276" xr:uid="{00000000-0005-0000-0000-0000371D0000}"/>
    <cellStyle name="Normal 8 3 2 2 2 2 3 2" xfId="14602" xr:uid="{92E0362E-8B38-49C0-A6FC-F3CDCAA0877A}"/>
    <cellStyle name="Normal 8 3 2 2 2 2 3 3" xfId="23049" xr:uid="{09BEFA4F-A3B2-4FD4-9DCD-BBE21B2D643A}"/>
    <cellStyle name="Normal 8 3 2 2 2 2 3 4" xfId="31496" xr:uid="{E07489D4-7D79-4D30-8984-0B26533EDE41}"/>
    <cellStyle name="Normal 8 3 2 2 2 2 4" xfId="9572" xr:uid="{83269435-2305-4677-BD8B-8CB801DC108A}"/>
    <cellStyle name="Normal 8 3 2 2 2 2 5" xfId="10385" xr:uid="{9083CC17-4B94-4672-B8C9-E0CA6E47F0C0}"/>
    <cellStyle name="Normal 8 3 2 2 2 2 6" xfId="18832" xr:uid="{BEABCB5B-AD49-45FC-80CC-78BD7D4DEAA4}"/>
    <cellStyle name="Normal 8 3 2 2 2 2 7" xfId="27279" xr:uid="{BF161013-E4E4-4C4B-9D2D-868452ADD0BC}"/>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17160" xr:uid="{D2C7D030-5335-4235-AEB8-9A1B5FF798B9}"/>
    <cellStyle name="Normal 8 3 2 2 2 3 2 2 3" xfId="25607" xr:uid="{14E50642-6C34-47B1-9506-3C6FD0B40079}"/>
    <cellStyle name="Normal 8 3 2 2 2 3 2 2 4" xfId="34054" xr:uid="{5D0A5BA2-488C-41E2-9CA7-CB72D4378847}"/>
    <cellStyle name="Normal 8 3 2 2 2 3 2 3" xfId="12943" xr:uid="{3AD6DF8D-DEB0-41CD-BEA8-62E141DCAADE}"/>
    <cellStyle name="Normal 8 3 2 2 2 3 2 4" xfId="21390" xr:uid="{F9416F26-8D79-4AC8-B2F8-EE7DE32E6209}"/>
    <cellStyle name="Normal 8 3 2 2 2 3 2 5" xfId="29837" xr:uid="{4865DCD2-B4AF-4A02-907C-65ED1E061D26}"/>
    <cellStyle name="Normal 8 3 2 2 2 3 3" xfId="5689" xr:uid="{00000000-0005-0000-0000-00003B1D0000}"/>
    <cellStyle name="Normal 8 3 2 2 2 3 3 2" xfId="15015" xr:uid="{47F8F9FB-2775-42D3-B168-ABFE9E820783}"/>
    <cellStyle name="Normal 8 3 2 2 2 3 3 3" xfId="23462" xr:uid="{626C285A-01F2-4586-95EF-27A9237EEEF1}"/>
    <cellStyle name="Normal 8 3 2 2 2 3 3 4" xfId="31909" xr:uid="{D185E209-E0D4-4F73-BC21-9B98B11E96AB}"/>
    <cellStyle name="Normal 8 3 2 2 2 3 4" xfId="10798" xr:uid="{17FBC074-E9FD-4AE0-B61B-0DB01C80526B}"/>
    <cellStyle name="Normal 8 3 2 2 2 3 5" xfId="19245" xr:uid="{392A7A03-E02E-4AD6-A2FC-12398BD4C973}"/>
    <cellStyle name="Normal 8 3 2 2 2 3 6" xfId="27692" xr:uid="{141B1F6C-D306-4AF2-B1A2-7F5329959306}"/>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17573" xr:uid="{2FB006D7-29C7-48D4-A7E8-881293189ABA}"/>
    <cellStyle name="Normal 8 3 2 2 2 4 2 2 3" xfId="26020" xr:uid="{FEC2C31A-70E7-4179-B2A4-352A6D174831}"/>
    <cellStyle name="Normal 8 3 2 2 2 4 2 2 4" xfId="34467" xr:uid="{7DC77E26-A6A0-4CBF-B40A-2F345C1ACE4F}"/>
    <cellStyle name="Normal 8 3 2 2 2 4 2 3" xfId="13356" xr:uid="{6B88107A-FE3E-4AFE-A327-CF3FE650B3FC}"/>
    <cellStyle name="Normal 8 3 2 2 2 4 2 4" xfId="21803" xr:uid="{0BB17B38-1FAF-4E1A-91B5-356F6BF49DF5}"/>
    <cellStyle name="Normal 8 3 2 2 2 4 2 5" xfId="30250" xr:uid="{B6F33436-3E0E-4512-8078-56D3B0E0D3FA}"/>
    <cellStyle name="Normal 8 3 2 2 2 4 3" xfId="6102" xr:uid="{00000000-0005-0000-0000-00003F1D0000}"/>
    <cellStyle name="Normal 8 3 2 2 2 4 3 2" xfId="15428" xr:uid="{D131BB2A-2D24-4AC6-86DA-07FE45F3EE06}"/>
    <cellStyle name="Normal 8 3 2 2 2 4 3 3" xfId="23875" xr:uid="{20F5E98A-AF0F-4594-9AA3-E9AC2DD66FB4}"/>
    <cellStyle name="Normal 8 3 2 2 2 4 3 4" xfId="32322" xr:uid="{90D5369A-1F07-44D8-A427-E5AF0B0F023D}"/>
    <cellStyle name="Normal 8 3 2 2 2 4 4" xfId="11211" xr:uid="{76C5451C-C4FF-4B10-AF39-4E22DE380015}"/>
    <cellStyle name="Normal 8 3 2 2 2 4 5" xfId="19658" xr:uid="{CA69842B-D208-4215-BA06-D39AD5902FDC}"/>
    <cellStyle name="Normal 8 3 2 2 2 4 6" xfId="28105" xr:uid="{4DCD841E-6852-43DA-92BD-DAA7A956DCB2}"/>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17986" xr:uid="{AF1A89EB-568C-466E-8971-3FF567A7188D}"/>
    <cellStyle name="Normal 8 3 2 2 2 5 2 2 3" xfId="26433" xr:uid="{91F27DD6-393F-4FC2-B0E8-7538AF17A70B}"/>
    <cellStyle name="Normal 8 3 2 2 2 5 2 2 4" xfId="34880" xr:uid="{C687CB35-47E4-4713-A11D-3AF04291E648}"/>
    <cellStyle name="Normal 8 3 2 2 2 5 2 3" xfId="13769" xr:uid="{32A3D56A-7710-4B68-B8BE-43B4124ABC12}"/>
    <cellStyle name="Normal 8 3 2 2 2 5 2 4" xfId="22216" xr:uid="{AB356AA5-4F44-41CB-B8D7-26E1A8DD01AC}"/>
    <cellStyle name="Normal 8 3 2 2 2 5 2 5" xfId="30663" xr:uid="{63B5E1B6-8447-46EA-A6F0-C91695B20945}"/>
    <cellStyle name="Normal 8 3 2 2 2 5 3" xfId="6515" xr:uid="{00000000-0005-0000-0000-0000431D0000}"/>
    <cellStyle name="Normal 8 3 2 2 2 5 3 2" xfId="15841" xr:uid="{1E3C802B-8EAD-4F5C-B723-B10ECB6B8579}"/>
    <cellStyle name="Normal 8 3 2 2 2 5 3 3" xfId="24288" xr:uid="{16CB97C9-68F3-496B-A906-490F7EDC6817}"/>
    <cellStyle name="Normal 8 3 2 2 2 5 3 4" xfId="32735" xr:uid="{BDBE49F5-7C43-4FA5-849A-87863503A07A}"/>
    <cellStyle name="Normal 8 3 2 2 2 5 4" xfId="11624" xr:uid="{7A2F0EC6-8037-4273-BDF4-B6E142BE7E1B}"/>
    <cellStyle name="Normal 8 3 2 2 2 5 5" xfId="20071" xr:uid="{361D99BA-823C-4E0F-84AD-651E9FE9387D}"/>
    <cellStyle name="Normal 8 3 2 2 2 5 6" xfId="28518" xr:uid="{50A44577-80ED-435C-BAE9-E016A35F367D}"/>
    <cellStyle name="Normal 8 3 2 2 2 6" xfId="2645" xr:uid="{00000000-0005-0000-0000-0000441D0000}"/>
    <cellStyle name="Normal 8 3 2 2 2 6 2" xfId="6928" xr:uid="{00000000-0005-0000-0000-0000451D0000}"/>
    <cellStyle name="Normal 8 3 2 2 2 6 2 2" xfId="16254" xr:uid="{EFEA266F-5313-4C30-8AF8-515E3071F046}"/>
    <cellStyle name="Normal 8 3 2 2 2 6 2 3" xfId="24701" xr:uid="{6634AFC6-8E77-4C3D-8B91-FAE8B38DFDCE}"/>
    <cellStyle name="Normal 8 3 2 2 2 6 2 4" xfId="33148" xr:uid="{B1E4347A-6A16-4112-98F7-DA4497F46A06}"/>
    <cellStyle name="Normal 8 3 2 2 2 6 3" xfId="12037" xr:uid="{AFAC4E98-F81F-462E-8EAF-7ED0F30460A3}"/>
    <cellStyle name="Normal 8 3 2 2 2 6 4" xfId="20484" xr:uid="{457DE967-1891-42F8-AF87-7213F36686B9}"/>
    <cellStyle name="Normal 8 3 2 2 2 6 5" xfId="28931" xr:uid="{32DC8337-5643-411B-8441-3B5A5A5B97CA}"/>
    <cellStyle name="Normal 8 3 2 2 2 7" xfId="4863" xr:uid="{00000000-0005-0000-0000-0000461D0000}"/>
    <cellStyle name="Normal 8 3 2 2 2 7 2" xfId="14189" xr:uid="{E2366C47-2C72-4F96-BF0A-96606CDF26DF}"/>
    <cellStyle name="Normal 8 3 2 2 2 7 3" xfId="22636" xr:uid="{5C9AD461-8E47-4613-AB2F-05553742BC75}"/>
    <cellStyle name="Normal 8 3 2 2 2 7 4" xfId="31083" xr:uid="{6F8A5D1A-81E8-4707-9F59-79B0E0C9E617}"/>
    <cellStyle name="Normal 8 3 2 2 2 8" xfId="9147" xr:uid="{16780743-13F5-44BF-919B-157B86988913}"/>
    <cellStyle name="Normal 8 3 2 2 2 9" xfId="9972" xr:uid="{9F17EFDB-6D72-4B3B-B817-CB100C746C92}"/>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16746" xr:uid="{B45B48CA-FBF1-41DB-8242-BAAF72D06EDF}"/>
    <cellStyle name="Normal 8 3 2 2 3 2 2 3" xfId="25193" xr:uid="{9E6F05C3-B772-4BC1-AC0E-BA1E8B35701C}"/>
    <cellStyle name="Normal 8 3 2 2 3 2 2 4" xfId="33640" xr:uid="{F6C14F8A-6DB9-4B45-A843-E188743D30FE}"/>
    <cellStyle name="Normal 8 3 2 2 3 2 3" xfId="12529" xr:uid="{462F8AB9-E19B-4D86-BD98-36EDC09F187B}"/>
    <cellStyle name="Normal 8 3 2 2 3 2 4" xfId="20976" xr:uid="{E4648386-FA28-4589-9D1B-28A637A53F46}"/>
    <cellStyle name="Normal 8 3 2 2 3 2 5" xfId="29423" xr:uid="{AC73CDC8-2FCA-4FF0-B1C9-6621FE3C0585}"/>
    <cellStyle name="Normal 8 3 2 2 3 3" xfId="5275" xr:uid="{00000000-0005-0000-0000-00004A1D0000}"/>
    <cellStyle name="Normal 8 3 2 2 3 3 2" xfId="14601" xr:uid="{D14F7802-3C86-4BC4-9172-C6F1C2DDDD3A}"/>
    <cellStyle name="Normal 8 3 2 2 3 3 3" xfId="23048" xr:uid="{3D77832A-6F97-4CCD-9516-3DEC38A012E2}"/>
    <cellStyle name="Normal 8 3 2 2 3 3 4" xfId="31495" xr:uid="{B00F6915-CB64-4519-A693-440B099C72A0}"/>
    <cellStyle name="Normal 8 3 2 2 3 4" xfId="9365" xr:uid="{47FF7C14-7484-41B9-856F-11398F7B2C7C}"/>
    <cellStyle name="Normal 8 3 2 2 3 5" xfId="10384" xr:uid="{95876066-9D40-4E01-AE16-B3C6F96048BA}"/>
    <cellStyle name="Normal 8 3 2 2 3 6" xfId="18831" xr:uid="{0F95F15E-68EE-48C9-8F22-8515E69DF7D3}"/>
    <cellStyle name="Normal 8 3 2 2 3 7" xfId="27278" xr:uid="{93E4771B-7898-4E83-A322-67A0B8B2EE05}"/>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17159" xr:uid="{EFAC47F9-4D03-4D8B-8B35-C41DBAAA8722}"/>
    <cellStyle name="Normal 8 3 2 2 4 2 2 3" xfId="25606" xr:uid="{BD59BF2A-06D1-499E-831C-088F1B99AC11}"/>
    <cellStyle name="Normal 8 3 2 2 4 2 2 4" xfId="34053" xr:uid="{0CC8FBDF-85F2-4746-B166-E20B5E33DA79}"/>
    <cellStyle name="Normal 8 3 2 2 4 2 3" xfId="12942" xr:uid="{E77C22AE-568B-4675-82D3-C6B84FCE865F}"/>
    <cellStyle name="Normal 8 3 2 2 4 2 4" xfId="21389" xr:uid="{432C18BD-7DE8-477C-A4DF-9E39266DBB91}"/>
    <cellStyle name="Normal 8 3 2 2 4 2 5" xfId="29836" xr:uid="{38335204-D223-4239-B4A7-37C69EF76D74}"/>
    <cellStyle name="Normal 8 3 2 2 4 3" xfId="5688" xr:uid="{00000000-0005-0000-0000-00004E1D0000}"/>
    <cellStyle name="Normal 8 3 2 2 4 3 2" xfId="15014" xr:uid="{BB16974A-4FD2-4FA9-9CE9-0EE8B34B0D43}"/>
    <cellStyle name="Normal 8 3 2 2 4 3 3" xfId="23461" xr:uid="{35E0CDE1-EC0A-450E-9671-21DE134CF8D2}"/>
    <cellStyle name="Normal 8 3 2 2 4 3 4" xfId="31908" xr:uid="{C0418D38-535D-4EE7-B1D9-3A0F6A23CDED}"/>
    <cellStyle name="Normal 8 3 2 2 4 4" xfId="10797" xr:uid="{20A0F4C2-4C9B-4355-AD7E-5152CF4B0261}"/>
    <cellStyle name="Normal 8 3 2 2 4 5" xfId="19244" xr:uid="{CA65B0C4-3858-41B4-BE1A-F849F714DD84}"/>
    <cellStyle name="Normal 8 3 2 2 4 6" xfId="27691" xr:uid="{C0DBD79C-AD04-4A4C-A4AD-404521FD6943}"/>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17572" xr:uid="{0A896B20-56A8-4E97-8E40-0F26E6ED4FE7}"/>
    <cellStyle name="Normal 8 3 2 2 5 2 2 3" xfId="26019" xr:uid="{20E4E624-F68C-48C8-96C2-F1328E124CEB}"/>
    <cellStyle name="Normal 8 3 2 2 5 2 2 4" xfId="34466" xr:uid="{3A9DA12E-0D8E-4DEC-9865-69921BF44BC7}"/>
    <cellStyle name="Normal 8 3 2 2 5 2 3" xfId="13355" xr:uid="{9640A67E-4B60-4D09-B922-C6655DC4A1D7}"/>
    <cellStyle name="Normal 8 3 2 2 5 2 4" xfId="21802" xr:uid="{2DD1818E-38C5-43B4-B2FA-5736476F1130}"/>
    <cellStyle name="Normal 8 3 2 2 5 2 5" xfId="30249" xr:uid="{2F7CF9AD-1673-4330-A055-FBC2FE94E72A}"/>
    <cellStyle name="Normal 8 3 2 2 5 3" xfId="6101" xr:uid="{00000000-0005-0000-0000-0000521D0000}"/>
    <cellStyle name="Normal 8 3 2 2 5 3 2" xfId="15427" xr:uid="{8027327F-5B51-4E31-8242-147C17312F28}"/>
    <cellStyle name="Normal 8 3 2 2 5 3 3" xfId="23874" xr:uid="{E082BF3E-77AB-4315-A540-4FF44D26E6AA}"/>
    <cellStyle name="Normal 8 3 2 2 5 3 4" xfId="32321" xr:uid="{B2D63E23-BC7A-443D-BCB0-EA5E95385E2B}"/>
    <cellStyle name="Normal 8 3 2 2 5 4" xfId="11210" xr:uid="{D1C68104-3B16-4908-809B-558F62AA6463}"/>
    <cellStyle name="Normal 8 3 2 2 5 5" xfId="19657" xr:uid="{14E348A7-065A-4D66-88A3-0267743914B2}"/>
    <cellStyle name="Normal 8 3 2 2 5 6" xfId="28104" xr:uid="{CD3A5A16-D2E7-4AFD-94DE-6A37EA379508}"/>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17985" xr:uid="{E994AACB-9138-4A40-B492-458D3B9F7EFA}"/>
    <cellStyle name="Normal 8 3 2 2 6 2 2 3" xfId="26432" xr:uid="{EA767A3A-29F1-431D-B18E-CF23728D790F}"/>
    <cellStyle name="Normal 8 3 2 2 6 2 2 4" xfId="34879" xr:uid="{0B938FF8-AD45-4F2C-829F-12872746D841}"/>
    <cellStyle name="Normal 8 3 2 2 6 2 3" xfId="13768" xr:uid="{4EF0CCE5-0836-4172-8AF4-0B4ED75E5982}"/>
    <cellStyle name="Normal 8 3 2 2 6 2 4" xfId="22215" xr:uid="{2270D16A-27FE-4505-9D11-FE5BA4819016}"/>
    <cellStyle name="Normal 8 3 2 2 6 2 5" xfId="30662" xr:uid="{8560E413-FA52-40BF-8A07-2DF380B1EFE2}"/>
    <cellStyle name="Normal 8 3 2 2 6 3" xfId="6514" xr:uid="{00000000-0005-0000-0000-0000561D0000}"/>
    <cellStyle name="Normal 8 3 2 2 6 3 2" xfId="15840" xr:uid="{55848727-1DE8-4882-A0F2-B45CBAD66591}"/>
    <cellStyle name="Normal 8 3 2 2 6 3 3" xfId="24287" xr:uid="{75BCB658-8CBB-4D9F-821B-9405A6C0CB48}"/>
    <cellStyle name="Normal 8 3 2 2 6 3 4" xfId="32734" xr:uid="{4D998396-BA06-43D1-BFAD-F516D0433060}"/>
    <cellStyle name="Normal 8 3 2 2 6 4" xfId="11623" xr:uid="{39A12450-738A-4926-8C4E-4E814DD34660}"/>
    <cellStyle name="Normal 8 3 2 2 6 5" xfId="20070" xr:uid="{3905D83D-8F3D-4234-8CFD-94B6BFCC5515}"/>
    <cellStyle name="Normal 8 3 2 2 6 6" xfId="28517" xr:uid="{3DD83D19-BA1B-4160-BEF5-F9BE49F3C023}"/>
    <cellStyle name="Normal 8 3 2 2 7" xfId="2644" xr:uid="{00000000-0005-0000-0000-0000571D0000}"/>
    <cellStyle name="Normal 8 3 2 2 7 2" xfId="6927" xr:uid="{00000000-0005-0000-0000-0000581D0000}"/>
    <cellStyle name="Normal 8 3 2 2 7 2 2" xfId="16253" xr:uid="{77E10E23-6250-4261-AD36-0135F5B10D9B}"/>
    <cellStyle name="Normal 8 3 2 2 7 2 3" xfId="24700" xr:uid="{4EB3B240-6D43-4414-8253-0F070526A054}"/>
    <cellStyle name="Normal 8 3 2 2 7 2 4" xfId="33147" xr:uid="{96468407-0EAE-46B7-998C-863FC15F4EC1}"/>
    <cellStyle name="Normal 8 3 2 2 7 3" xfId="12036" xr:uid="{3F6D510C-C4CC-44E9-9252-62C53C5986F9}"/>
    <cellStyle name="Normal 8 3 2 2 7 4" xfId="20483" xr:uid="{B6150D41-1F00-47FC-B1FC-FC75744F668F}"/>
    <cellStyle name="Normal 8 3 2 2 7 5" xfId="28930" xr:uid="{65A4A292-E951-4AB9-B2D8-6DBFA7268A24}"/>
    <cellStyle name="Normal 8 3 2 2 8" xfId="4862" xr:uid="{00000000-0005-0000-0000-0000591D0000}"/>
    <cellStyle name="Normal 8 3 2 2 8 2" xfId="14188" xr:uid="{FC1F6A86-71E6-469F-B37D-0C756DF7762A}"/>
    <cellStyle name="Normal 8 3 2 2 8 3" xfId="22635" xr:uid="{E6C3F980-5DCB-4179-B74F-EB7D475C5CDF}"/>
    <cellStyle name="Normal 8 3 2 2 8 4" xfId="31082" xr:uid="{28476998-272A-4893-A195-50B017C127D6}"/>
    <cellStyle name="Normal 8 3 2 2 9" xfId="8940" xr:uid="{63944EF0-E10A-4406-A758-3BD135650136}"/>
    <cellStyle name="Normal 8 3 2 3" xfId="499" xr:uid="{00000000-0005-0000-0000-00005A1D0000}"/>
    <cellStyle name="Normal 8 3 2 3 10" xfId="18420" xr:uid="{C2493033-06D3-48E2-B7C4-33A2BA9DDAD4}"/>
    <cellStyle name="Normal 8 3 2 3 11" xfId="26867" xr:uid="{792B9634-9DDB-4D77-A9D1-EFF15C3D0720}"/>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16748" xr:uid="{EEB9578D-E55B-403F-A97C-372AC6BAE67C}"/>
    <cellStyle name="Normal 8 3 2 3 2 2 2 3" xfId="25195" xr:uid="{85658F77-FEA8-4130-B732-9E2A57311AAD}"/>
    <cellStyle name="Normal 8 3 2 3 2 2 2 4" xfId="33642" xr:uid="{D32A0438-66D9-4327-8C84-55F12E993813}"/>
    <cellStyle name="Normal 8 3 2 3 2 2 3" xfId="12531" xr:uid="{B92AA4C0-5233-4DC2-BEDF-54E93DE2DB28}"/>
    <cellStyle name="Normal 8 3 2 3 2 2 4" xfId="20978" xr:uid="{DBE53288-D25E-49AD-95F4-8EFAD63435AB}"/>
    <cellStyle name="Normal 8 3 2 3 2 2 5" xfId="29425" xr:uid="{57678228-4A85-4BA7-99AB-CF26B45C36A8}"/>
    <cellStyle name="Normal 8 3 2 3 2 3" xfId="5277" xr:uid="{00000000-0005-0000-0000-00005E1D0000}"/>
    <cellStyle name="Normal 8 3 2 3 2 3 2" xfId="14603" xr:uid="{F215778F-2386-4E25-9E60-69F49B94EF37}"/>
    <cellStyle name="Normal 8 3 2 3 2 3 3" xfId="23050" xr:uid="{F42A84A9-EC45-43D8-85C8-D7E158B1063B}"/>
    <cellStyle name="Normal 8 3 2 3 2 3 4" xfId="31497" xr:uid="{BE5854E1-43A1-434E-8745-276B89EBCAFC}"/>
    <cellStyle name="Normal 8 3 2 3 2 4" xfId="9469" xr:uid="{7CA6C380-A6E9-4AF4-A29A-E40C8E9B5B5F}"/>
    <cellStyle name="Normal 8 3 2 3 2 5" xfId="10386" xr:uid="{5681F292-BC12-47E7-A23A-37CFF8B3C732}"/>
    <cellStyle name="Normal 8 3 2 3 2 6" xfId="18833" xr:uid="{3523F2AB-95CC-40E4-A377-C9DB8FFD896D}"/>
    <cellStyle name="Normal 8 3 2 3 2 7" xfId="27280" xr:uid="{D7924B49-3F3D-4AF5-B3EF-B5CE7CA5CB1E}"/>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17161" xr:uid="{A31415A5-495C-4F06-BD83-8E90AD0ED464}"/>
    <cellStyle name="Normal 8 3 2 3 3 2 2 3" xfId="25608" xr:uid="{A19B5BBE-93BC-4F53-B75B-036A82799860}"/>
    <cellStyle name="Normal 8 3 2 3 3 2 2 4" xfId="34055" xr:uid="{33A4D5FF-ADE5-4222-B386-C34CC860A946}"/>
    <cellStyle name="Normal 8 3 2 3 3 2 3" xfId="12944" xr:uid="{9D0F7582-F45E-4951-B3EC-AADE0F8EAF6D}"/>
    <cellStyle name="Normal 8 3 2 3 3 2 4" xfId="21391" xr:uid="{16C6FB47-5AA0-4604-A66A-A3785F334F70}"/>
    <cellStyle name="Normal 8 3 2 3 3 2 5" xfId="29838" xr:uid="{376A1063-CB57-4F4A-B30D-E95493BD620A}"/>
    <cellStyle name="Normal 8 3 2 3 3 3" xfId="5690" xr:uid="{00000000-0005-0000-0000-0000621D0000}"/>
    <cellStyle name="Normal 8 3 2 3 3 3 2" xfId="15016" xr:uid="{25070BB3-F2EF-4A1B-A488-FC1361833C87}"/>
    <cellStyle name="Normal 8 3 2 3 3 3 3" xfId="23463" xr:uid="{D28F4B10-7B0E-4500-9A98-B87345B78C6A}"/>
    <cellStyle name="Normal 8 3 2 3 3 3 4" xfId="31910" xr:uid="{01192967-0FC0-4253-A812-E8C86B50D965}"/>
    <cellStyle name="Normal 8 3 2 3 3 4" xfId="10799" xr:uid="{AAE1EADD-9FA9-48C3-8C98-5B37FF928FFF}"/>
    <cellStyle name="Normal 8 3 2 3 3 5" xfId="19246" xr:uid="{E38775F3-5E8C-42B8-B439-5D4F8D53E620}"/>
    <cellStyle name="Normal 8 3 2 3 3 6" xfId="27693" xr:uid="{F818D709-2340-4417-91F7-4DF1062265E2}"/>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17574" xr:uid="{269EA5A6-DC1B-4945-852F-5807D4D0FD86}"/>
    <cellStyle name="Normal 8 3 2 3 4 2 2 3" xfId="26021" xr:uid="{050D06D3-DD8E-483C-843D-F5780A64726D}"/>
    <cellStyle name="Normal 8 3 2 3 4 2 2 4" xfId="34468" xr:uid="{F664D424-0491-479C-A46D-9E7405B55259}"/>
    <cellStyle name="Normal 8 3 2 3 4 2 3" xfId="13357" xr:uid="{BF72BAF3-0AA7-4F7D-8913-1DF7DE2E5C4E}"/>
    <cellStyle name="Normal 8 3 2 3 4 2 4" xfId="21804" xr:uid="{F119C8C5-F8AB-49CF-8263-68E2BF7D1DBE}"/>
    <cellStyle name="Normal 8 3 2 3 4 2 5" xfId="30251" xr:uid="{7EB69EA9-A881-43EB-B4E0-15E4776C1049}"/>
    <cellStyle name="Normal 8 3 2 3 4 3" xfId="6103" xr:uid="{00000000-0005-0000-0000-0000661D0000}"/>
    <cellStyle name="Normal 8 3 2 3 4 3 2" xfId="15429" xr:uid="{BABF6AEB-74D8-4957-B8AD-4D6E688F3CBF}"/>
    <cellStyle name="Normal 8 3 2 3 4 3 3" xfId="23876" xr:uid="{A106E1AD-4695-4E71-B677-F2A96471F98D}"/>
    <cellStyle name="Normal 8 3 2 3 4 3 4" xfId="32323" xr:uid="{7F6C4901-33F9-4DDC-8560-261DF3E803BE}"/>
    <cellStyle name="Normal 8 3 2 3 4 4" xfId="11212" xr:uid="{D74147AB-8F7B-4D91-A85C-A8228D7A26C1}"/>
    <cellStyle name="Normal 8 3 2 3 4 5" xfId="19659" xr:uid="{2570BEA1-E6EC-4408-AF98-F7E435824633}"/>
    <cellStyle name="Normal 8 3 2 3 4 6" xfId="28106" xr:uid="{7AAF14B8-8BCF-4B49-B4A7-C8B20C1BD9D3}"/>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17987" xr:uid="{12181028-EEFB-4E6E-9B16-D07E19B266E8}"/>
    <cellStyle name="Normal 8 3 2 3 5 2 2 3" xfId="26434" xr:uid="{7AD11ACB-EE30-4DEA-8E72-CF718FAE1F8E}"/>
    <cellStyle name="Normal 8 3 2 3 5 2 2 4" xfId="34881" xr:uid="{E058DE88-D29E-4DE0-B7D3-266F8C116B52}"/>
    <cellStyle name="Normal 8 3 2 3 5 2 3" xfId="13770" xr:uid="{7DDF6054-05EC-4497-BAB0-1F6C0BF3844C}"/>
    <cellStyle name="Normal 8 3 2 3 5 2 4" xfId="22217" xr:uid="{5637E20F-1BF3-4EA0-AFE7-96A9DB112C5B}"/>
    <cellStyle name="Normal 8 3 2 3 5 2 5" xfId="30664" xr:uid="{51308B92-5C0C-48B2-8A97-AFC565B04011}"/>
    <cellStyle name="Normal 8 3 2 3 5 3" xfId="6516" xr:uid="{00000000-0005-0000-0000-00006A1D0000}"/>
    <cellStyle name="Normal 8 3 2 3 5 3 2" xfId="15842" xr:uid="{797C1168-F7F9-4687-81D8-6E131E00C732}"/>
    <cellStyle name="Normal 8 3 2 3 5 3 3" xfId="24289" xr:uid="{73329960-9570-49BF-81A9-0F90AA2B4C71}"/>
    <cellStyle name="Normal 8 3 2 3 5 3 4" xfId="32736" xr:uid="{71ED6119-D7CA-4C54-B5B9-A0295659D50A}"/>
    <cellStyle name="Normal 8 3 2 3 5 4" xfId="11625" xr:uid="{80D80A38-59B9-45BB-8EB5-8778096CF1DA}"/>
    <cellStyle name="Normal 8 3 2 3 5 5" xfId="20072" xr:uid="{7DE521AF-3877-4DBF-A760-E762879AB0BB}"/>
    <cellStyle name="Normal 8 3 2 3 5 6" xfId="28519" xr:uid="{99621F7F-2716-46CF-9E30-CDFFED950C9A}"/>
    <cellStyle name="Normal 8 3 2 3 6" xfId="2646" xr:uid="{00000000-0005-0000-0000-00006B1D0000}"/>
    <cellStyle name="Normal 8 3 2 3 6 2" xfId="6929" xr:uid="{00000000-0005-0000-0000-00006C1D0000}"/>
    <cellStyle name="Normal 8 3 2 3 6 2 2" xfId="16255" xr:uid="{A5919DBF-282A-4999-BF11-907C7CCF51E3}"/>
    <cellStyle name="Normal 8 3 2 3 6 2 3" xfId="24702" xr:uid="{AB081C3D-93B0-4FED-9205-8C036407C05D}"/>
    <cellStyle name="Normal 8 3 2 3 6 2 4" xfId="33149" xr:uid="{7CD4284D-FF33-41B2-9A39-9A6ABBDC3797}"/>
    <cellStyle name="Normal 8 3 2 3 6 3" xfId="12038" xr:uid="{BBB5E303-189D-4CD3-8465-4A33247D2DE9}"/>
    <cellStyle name="Normal 8 3 2 3 6 4" xfId="20485" xr:uid="{F0BF518E-4819-4D99-B977-00DD77CAFC0E}"/>
    <cellStyle name="Normal 8 3 2 3 6 5" xfId="28932" xr:uid="{9547A7DA-9C67-4D5C-982F-75D90E961B87}"/>
    <cellStyle name="Normal 8 3 2 3 7" xfId="4864" xr:uid="{00000000-0005-0000-0000-00006D1D0000}"/>
    <cellStyle name="Normal 8 3 2 3 7 2" xfId="14190" xr:uid="{752A843E-82A8-4733-B787-D8B4A3552A29}"/>
    <cellStyle name="Normal 8 3 2 3 7 3" xfId="22637" xr:uid="{DF4A9690-120A-4798-9E23-550F53D4FF68}"/>
    <cellStyle name="Normal 8 3 2 3 7 4" xfId="31084" xr:uid="{DFF93D2A-1AA8-4F8B-9520-5927649E18A2}"/>
    <cellStyle name="Normal 8 3 2 3 8" xfId="9044" xr:uid="{5ED49706-9CA9-4EE9-B01D-112CD1DB587C}"/>
    <cellStyle name="Normal 8 3 2 3 9" xfId="9973" xr:uid="{0F09BE55-A12E-45AC-8D3C-75725F7559C8}"/>
    <cellStyle name="Normal 8 3 2 4" xfId="963" xr:uid="{00000000-0005-0000-0000-00006E1D0000}"/>
    <cellStyle name="Normal 8 3 2 4 2" xfId="3197" xr:uid="{00000000-0005-0000-0000-00006F1D0000}"/>
    <cellStyle name="Normal 8 3 2 4 2 2" xfId="7419" xr:uid="{00000000-0005-0000-0000-0000701D0000}"/>
    <cellStyle name="Normal 8 3 2 4 2 2 2" xfId="16745" xr:uid="{2F2617D5-15CC-4091-B868-225626FF0DD0}"/>
    <cellStyle name="Normal 8 3 2 4 2 2 3" xfId="25192" xr:uid="{566F2436-40CD-4631-A1C4-A4221C95310F}"/>
    <cellStyle name="Normal 8 3 2 4 2 2 4" xfId="33639" xr:uid="{93F1856F-C0A9-47E3-931D-08FD257C288E}"/>
    <cellStyle name="Normal 8 3 2 4 2 3" xfId="12528" xr:uid="{68B1C835-440C-4A5A-97C5-92CB98BB911E}"/>
    <cellStyle name="Normal 8 3 2 4 2 4" xfId="20975" xr:uid="{C00F31CA-7EA6-44E8-827A-18E828161192}"/>
    <cellStyle name="Normal 8 3 2 4 2 5" xfId="29422" xr:uid="{B969ACB7-9882-4B1B-AE6F-EF0575F9A0BB}"/>
    <cellStyle name="Normal 8 3 2 4 3" xfId="5274" xr:uid="{00000000-0005-0000-0000-0000711D0000}"/>
    <cellStyle name="Normal 8 3 2 4 3 2" xfId="14600" xr:uid="{E23E1FC8-E60A-475E-8B11-C12E0810DA57}"/>
    <cellStyle name="Normal 8 3 2 4 3 3" xfId="23047" xr:uid="{F2E52168-5A43-4E75-84F2-C1E57D327002}"/>
    <cellStyle name="Normal 8 3 2 4 3 4" xfId="31494" xr:uid="{70230B94-3282-4EF5-AEF1-7A71037EB725}"/>
    <cellStyle name="Normal 8 3 2 4 4" xfId="9262" xr:uid="{8842595C-CD28-4B10-9BE6-37883B4C2AA9}"/>
    <cellStyle name="Normal 8 3 2 4 5" xfId="10383" xr:uid="{02E25226-2CF3-438B-9104-1402CD0217B3}"/>
    <cellStyle name="Normal 8 3 2 4 6" xfId="18830" xr:uid="{9D4AEC45-6E62-4886-B36E-F4915D7FE277}"/>
    <cellStyle name="Normal 8 3 2 4 7" xfId="27277" xr:uid="{06AD023C-3026-4BAE-8047-D1D822559AD8}"/>
    <cellStyle name="Normal 8 3 2 5" xfId="1380" xr:uid="{00000000-0005-0000-0000-0000721D0000}"/>
    <cellStyle name="Normal 8 3 2 5 2" xfId="3610" xr:uid="{00000000-0005-0000-0000-0000731D0000}"/>
    <cellStyle name="Normal 8 3 2 5 2 2" xfId="7832" xr:uid="{00000000-0005-0000-0000-0000741D0000}"/>
    <cellStyle name="Normal 8 3 2 5 2 2 2" xfId="17158" xr:uid="{07112F17-287B-4219-B0CD-35AEB25640EF}"/>
    <cellStyle name="Normal 8 3 2 5 2 2 3" xfId="25605" xr:uid="{658D65F2-84B9-459D-900A-B8811B3021FD}"/>
    <cellStyle name="Normal 8 3 2 5 2 2 4" xfId="34052" xr:uid="{DCF2C7F1-4DB2-4E05-A68C-45F6A54701EF}"/>
    <cellStyle name="Normal 8 3 2 5 2 3" xfId="12941" xr:uid="{E8573298-E2CB-4574-9963-E91CB1F49534}"/>
    <cellStyle name="Normal 8 3 2 5 2 4" xfId="21388" xr:uid="{627CCA5A-F7E2-401F-8D6E-58C85FCBF0F7}"/>
    <cellStyle name="Normal 8 3 2 5 2 5" xfId="29835" xr:uid="{D4D922C9-934B-40BA-84CA-7620E2E2C8FD}"/>
    <cellStyle name="Normal 8 3 2 5 3" xfId="5687" xr:uid="{00000000-0005-0000-0000-0000751D0000}"/>
    <cellStyle name="Normal 8 3 2 5 3 2" xfId="15013" xr:uid="{7FB8C653-4E6B-42AC-9808-EC6357F2B565}"/>
    <cellStyle name="Normal 8 3 2 5 3 3" xfId="23460" xr:uid="{CDAC0C71-695B-440A-BF1C-BC7931E1AFD7}"/>
    <cellStyle name="Normal 8 3 2 5 3 4" xfId="31907" xr:uid="{1738A345-1C4A-4314-91E9-197D77BE7234}"/>
    <cellStyle name="Normal 8 3 2 5 4" xfId="10796" xr:uid="{C4B9A652-9671-45ED-AE5B-127EEE260132}"/>
    <cellStyle name="Normal 8 3 2 5 5" xfId="19243" xr:uid="{43DA07DF-FD6E-4F41-9E35-DF95A19A0F06}"/>
    <cellStyle name="Normal 8 3 2 5 6" xfId="27690" xr:uid="{D7A6A21C-23A7-4A4F-93CD-3DD1F0559E00}"/>
    <cellStyle name="Normal 8 3 2 6" xfId="1793" xr:uid="{00000000-0005-0000-0000-0000761D0000}"/>
    <cellStyle name="Normal 8 3 2 6 2" xfId="4023" xr:uid="{00000000-0005-0000-0000-0000771D0000}"/>
    <cellStyle name="Normal 8 3 2 6 2 2" xfId="8245" xr:uid="{00000000-0005-0000-0000-0000781D0000}"/>
    <cellStyle name="Normal 8 3 2 6 2 2 2" xfId="17571" xr:uid="{C2BA40FD-4D48-4424-B77B-68CA2B58FF72}"/>
    <cellStyle name="Normal 8 3 2 6 2 2 3" xfId="26018" xr:uid="{DF949BBB-7944-42C7-940B-2B2E0EE2BD1D}"/>
    <cellStyle name="Normal 8 3 2 6 2 2 4" xfId="34465" xr:uid="{60EF77E4-4FAE-433E-8BBF-26E86CCC0543}"/>
    <cellStyle name="Normal 8 3 2 6 2 3" xfId="13354" xr:uid="{F0A101B1-51B2-471D-AD8C-9CCE7D9C7E51}"/>
    <cellStyle name="Normal 8 3 2 6 2 4" xfId="21801" xr:uid="{1724C5F4-9190-4E41-8FF4-7AF01A6A3CD0}"/>
    <cellStyle name="Normal 8 3 2 6 2 5" xfId="30248" xr:uid="{68FC882E-80A0-44ED-806A-9E8E9FD60100}"/>
    <cellStyle name="Normal 8 3 2 6 3" xfId="6100" xr:uid="{00000000-0005-0000-0000-0000791D0000}"/>
    <cellStyle name="Normal 8 3 2 6 3 2" xfId="15426" xr:uid="{2A8CD3E6-0776-464E-B6EA-649C5F87C64A}"/>
    <cellStyle name="Normal 8 3 2 6 3 3" xfId="23873" xr:uid="{07B55936-9CAB-46DE-9EE6-92743DE934BF}"/>
    <cellStyle name="Normal 8 3 2 6 3 4" xfId="32320" xr:uid="{5D4FB9D9-05C9-4ACF-95F7-AAB572CA5DA9}"/>
    <cellStyle name="Normal 8 3 2 6 4" xfId="11209" xr:uid="{88BD5877-3D14-4642-A73D-51F7E1974EFA}"/>
    <cellStyle name="Normal 8 3 2 6 5" xfId="19656" xr:uid="{53527EC5-8403-449E-B4AD-CF40C996209A}"/>
    <cellStyle name="Normal 8 3 2 6 6" xfId="28103" xr:uid="{66102B38-6DD9-4649-A322-84BDCFAB86AD}"/>
    <cellStyle name="Normal 8 3 2 7" xfId="2207" xr:uid="{00000000-0005-0000-0000-00007A1D0000}"/>
    <cellStyle name="Normal 8 3 2 7 2" xfId="4436" xr:uid="{00000000-0005-0000-0000-00007B1D0000}"/>
    <cellStyle name="Normal 8 3 2 7 2 2" xfId="8658" xr:uid="{00000000-0005-0000-0000-00007C1D0000}"/>
    <cellStyle name="Normal 8 3 2 7 2 2 2" xfId="17984" xr:uid="{7674903B-31FD-438D-A948-F3FB780D60D5}"/>
    <cellStyle name="Normal 8 3 2 7 2 2 3" xfId="26431" xr:uid="{28FAE8B4-9CAB-4F75-9D82-C52A2CD9DBE7}"/>
    <cellStyle name="Normal 8 3 2 7 2 2 4" xfId="34878" xr:uid="{D41BA078-E7B3-4DB5-B2D3-F413036C7545}"/>
    <cellStyle name="Normal 8 3 2 7 2 3" xfId="13767" xr:uid="{6514D596-A276-477B-8F23-48C7FF7FE265}"/>
    <cellStyle name="Normal 8 3 2 7 2 4" xfId="22214" xr:uid="{C926CDCB-7D71-4418-8094-16005E8932CB}"/>
    <cellStyle name="Normal 8 3 2 7 2 5" xfId="30661" xr:uid="{6FD77864-B184-4870-B574-DB72D8313274}"/>
    <cellStyle name="Normal 8 3 2 7 3" xfId="6513" xr:uid="{00000000-0005-0000-0000-00007D1D0000}"/>
    <cellStyle name="Normal 8 3 2 7 3 2" xfId="15839" xr:uid="{639302C7-FAC5-4443-85C4-8FE0454E32B4}"/>
    <cellStyle name="Normal 8 3 2 7 3 3" xfId="24286" xr:uid="{C0686175-F8B6-47BB-AA21-C36A56958112}"/>
    <cellStyle name="Normal 8 3 2 7 3 4" xfId="32733" xr:uid="{6FBDF0C3-AEC2-454D-AA92-41EB52DC296F}"/>
    <cellStyle name="Normal 8 3 2 7 4" xfId="11622" xr:uid="{918B202B-6E80-4888-9C53-404C191B2657}"/>
    <cellStyle name="Normal 8 3 2 7 5" xfId="20069" xr:uid="{00C5987E-99D4-4F20-979A-E16D4511E45E}"/>
    <cellStyle name="Normal 8 3 2 7 6" xfId="28516" xr:uid="{E4306A2E-8C02-4FC9-B45A-FB74238FCE02}"/>
    <cellStyle name="Normal 8 3 2 8" xfId="2643" xr:uid="{00000000-0005-0000-0000-00007E1D0000}"/>
    <cellStyle name="Normal 8 3 2 8 2" xfId="6926" xr:uid="{00000000-0005-0000-0000-00007F1D0000}"/>
    <cellStyle name="Normal 8 3 2 8 2 2" xfId="16252" xr:uid="{744E9314-1F73-4135-AB6B-2EBF5DC6FB67}"/>
    <cellStyle name="Normal 8 3 2 8 2 3" xfId="24699" xr:uid="{D50E170C-4CEF-4523-A227-697090E9A053}"/>
    <cellStyle name="Normal 8 3 2 8 2 4" xfId="33146" xr:uid="{1FC6AC35-9DCD-4C53-AE62-F1252160A1D1}"/>
    <cellStyle name="Normal 8 3 2 8 3" xfId="12035" xr:uid="{EDAD9D73-1580-4F6A-A16E-5DD362B8637E}"/>
    <cellStyle name="Normal 8 3 2 8 4" xfId="20482" xr:uid="{6EC42495-406F-4A5F-AF4F-012961E0BEDD}"/>
    <cellStyle name="Normal 8 3 2 8 5" xfId="28929" xr:uid="{4B601EA8-FBE5-4798-AECA-BD70B152ADF8}"/>
    <cellStyle name="Normal 8 3 2 9" xfId="4861" xr:uid="{00000000-0005-0000-0000-0000801D0000}"/>
    <cellStyle name="Normal 8 3 2 9 2" xfId="14187" xr:uid="{71F60E32-D4E9-45E0-A370-4FC4993FB6C8}"/>
    <cellStyle name="Normal 8 3 2 9 3" xfId="22634" xr:uid="{AFDC1E2B-3670-48D8-AA90-511EB27732EF}"/>
    <cellStyle name="Normal 8 3 2 9 4" xfId="31081" xr:uid="{98EA7584-4F92-4CD0-8F04-02775E701BE3}"/>
    <cellStyle name="Normal 8 3 3" xfId="500" xr:uid="{00000000-0005-0000-0000-0000811D0000}"/>
    <cellStyle name="Normal 8 3 3 10" xfId="9974" xr:uid="{EF5F5190-194C-4301-B2D2-99E1B1BE2258}"/>
    <cellStyle name="Normal 8 3 3 11" xfId="18421" xr:uid="{EDD85901-5FB2-41DA-AA6D-F18ED494B88C}"/>
    <cellStyle name="Normal 8 3 3 12" xfId="26868" xr:uid="{C68A2668-986B-40DF-885F-95208BE397F4}"/>
    <cellStyle name="Normal 8 3 3 2" xfId="501" xr:uid="{00000000-0005-0000-0000-0000821D0000}"/>
    <cellStyle name="Normal 8 3 3 2 10" xfId="18422" xr:uid="{A939C9BB-AEE9-4F91-9404-EBD8E0276F3E}"/>
    <cellStyle name="Normal 8 3 3 2 11" xfId="26869" xr:uid="{779012B7-D5DF-488C-9D69-533E8F4DE6CA}"/>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16750" xr:uid="{AD22A42C-5B95-4956-86A3-51A7331BB282}"/>
    <cellStyle name="Normal 8 3 3 2 2 2 2 3" xfId="25197" xr:uid="{AEC1D785-99EC-43E8-9713-CFB79A3EF649}"/>
    <cellStyle name="Normal 8 3 3 2 2 2 2 4" xfId="33644" xr:uid="{00F44A1D-CFAD-4955-A338-CB8A4A24B0E4}"/>
    <cellStyle name="Normal 8 3 3 2 2 2 3" xfId="12533" xr:uid="{C23BC598-E29B-4511-B837-88A0449B3E59}"/>
    <cellStyle name="Normal 8 3 3 2 2 2 4" xfId="20980" xr:uid="{25AC3748-60A3-44E6-9977-F2B67DBD5557}"/>
    <cellStyle name="Normal 8 3 3 2 2 2 5" xfId="29427" xr:uid="{A51079A6-3473-413C-9F9F-40D17DDCCB71}"/>
    <cellStyle name="Normal 8 3 3 2 2 3" xfId="5279" xr:uid="{00000000-0005-0000-0000-0000861D0000}"/>
    <cellStyle name="Normal 8 3 3 2 2 3 2" xfId="14605" xr:uid="{4BD5AA9C-6B9A-4299-A7FD-2332D0AFA416}"/>
    <cellStyle name="Normal 8 3 3 2 2 3 3" xfId="23052" xr:uid="{57EFBA81-0277-47D4-9F54-4F35E788D3C3}"/>
    <cellStyle name="Normal 8 3 3 2 2 3 4" xfId="31499" xr:uid="{D542751C-7193-4BC3-B5F0-007F954473E5}"/>
    <cellStyle name="Normal 8 3 3 2 2 4" xfId="9509" xr:uid="{3B4378D3-7C51-4B91-822B-758528BFF352}"/>
    <cellStyle name="Normal 8 3 3 2 2 5" xfId="10388" xr:uid="{23789BE5-08E1-43E8-A522-DF4F22BB452D}"/>
    <cellStyle name="Normal 8 3 3 2 2 6" xfId="18835" xr:uid="{DE1D622A-611E-4DA9-9D40-83D926E9DFE0}"/>
    <cellStyle name="Normal 8 3 3 2 2 7" xfId="27282" xr:uid="{D0AAAFFB-C29E-41A3-A927-AE59E05A8A74}"/>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17163" xr:uid="{3C9422FE-DB24-422F-994E-70102058781C}"/>
    <cellStyle name="Normal 8 3 3 2 3 2 2 3" xfId="25610" xr:uid="{103AB1BC-4350-4EFE-9287-5002A33B8929}"/>
    <cellStyle name="Normal 8 3 3 2 3 2 2 4" xfId="34057" xr:uid="{5E55D4DA-C123-4801-A889-10EC106F99DB}"/>
    <cellStyle name="Normal 8 3 3 2 3 2 3" xfId="12946" xr:uid="{1CC188FD-434B-4793-9349-9A4E3EE7CC45}"/>
    <cellStyle name="Normal 8 3 3 2 3 2 4" xfId="21393" xr:uid="{B4002AA1-B700-404D-8E57-EB27AE00AA4F}"/>
    <cellStyle name="Normal 8 3 3 2 3 2 5" xfId="29840" xr:uid="{C82EFFAC-065E-4CBD-BBAA-52875E58358C}"/>
    <cellStyle name="Normal 8 3 3 2 3 3" xfId="5692" xr:uid="{00000000-0005-0000-0000-00008A1D0000}"/>
    <cellStyle name="Normal 8 3 3 2 3 3 2" xfId="15018" xr:uid="{AD0A10B3-71C4-4A21-931F-EF58F29333B2}"/>
    <cellStyle name="Normal 8 3 3 2 3 3 3" xfId="23465" xr:uid="{002E909D-E429-4318-ADFF-32AF234B40F7}"/>
    <cellStyle name="Normal 8 3 3 2 3 3 4" xfId="31912" xr:uid="{CEB0B04A-57DD-4D72-B5A0-A66D50DBC1FA}"/>
    <cellStyle name="Normal 8 3 3 2 3 4" xfId="10801" xr:uid="{8F99C857-A915-49D2-BD54-540356F02904}"/>
    <cellStyle name="Normal 8 3 3 2 3 5" xfId="19248" xr:uid="{230343A9-E5F5-4E73-81A6-4092D4D23EEE}"/>
    <cellStyle name="Normal 8 3 3 2 3 6" xfId="27695" xr:uid="{E0D4D3C8-7635-4933-B8E0-FC27B9D1A97C}"/>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17576" xr:uid="{0D44ED84-F6A4-490D-8148-1C2BB3375990}"/>
    <cellStyle name="Normal 8 3 3 2 4 2 2 3" xfId="26023" xr:uid="{71F3021C-EFE0-488B-8E9E-9BEFFB27F2B0}"/>
    <cellStyle name="Normal 8 3 3 2 4 2 2 4" xfId="34470" xr:uid="{ED91AFB8-9DD9-4E03-B245-F675D980B54A}"/>
    <cellStyle name="Normal 8 3 3 2 4 2 3" xfId="13359" xr:uid="{3391A6AF-F9D7-4C68-BE2A-4E3735DB8F0C}"/>
    <cellStyle name="Normal 8 3 3 2 4 2 4" xfId="21806" xr:uid="{A84A3B7B-600C-4092-8621-BC09E0D1CDB3}"/>
    <cellStyle name="Normal 8 3 3 2 4 2 5" xfId="30253" xr:uid="{D9C74202-8BFA-4494-A475-85DB8EDF4C99}"/>
    <cellStyle name="Normal 8 3 3 2 4 3" xfId="6105" xr:uid="{00000000-0005-0000-0000-00008E1D0000}"/>
    <cellStyle name="Normal 8 3 3 2 4 3 2" xfId="15431" xr:uid="{13D874C9-F35C-4221-8689-8608965ECA2C}"/>
    <cellStyle name="Normal 8 3 3 2 4 3 3" xfId="23878" xr:uid="{20814023-A30D-4212-B0DF-93A5315E5E5A}"/>
    <cellStyle name="Normal 8 3 3 2 4 3 4" xfId="32325" xr:uid="{004E7A09-F72C-4757-8A0D-91E5915D7DD3}"/>
    <cellStyle name="Normal 8 3 3 2 4 4" xfId="11214" xr:uid="{09F2393D-A494-44D7-9994-8A8E644C65B5}"/>
    <cellStyle name="Normal 8 3 3 2 4 5" xfId="19661" xr:uid="{DFBC6950-DC10-4B40-AC68-098F4C9C68DA}"/>
    <cellStyle name="Normal 8 3 3 2 4 6" xfId="28108" xr:uid="{C6D67450-25B7-41A6-848A-0E99E59DF18A}"/>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17989" xr:uid="{107BBF58-A272-4E3C-85DA-1F505D133916}"/>
    <cellStyle name="Normal 8 3 3 2 5 2 2 3" xfId="26436" xr:uid="{F9136D50-5B9E-42CF-AE81-8E46C02D32A0}"/>
    <cellStyle name="Normal 8 3 3 2 5 2 2 4" xfId="34883" xr:uid="{11C2B95A-EBA3-4823-BC11-DBEF45F70F00}"/>
    <cellStyle name="Normal 8 3 3 2 5 2 3" xfId="13772" xr:uid="{6505B250-BA0C-44CA-811A-EC882AC0A5BF}"/>
    <cellStyle name="Normal 8 3 3 2 5 2 4" xfId="22219" xr:uid="{64B62FB8-894B-466D-90D9-F34E457D0E71}"/>
    <cellStyle name="Normal 8 3 3 2 5 2 5" xfId="30666" xr:uid="{E024616D-C12F-42BA-9DFA-4A4723BD205D}"/>
    <cellStyle name="Normal 8 3 3 2 5 3" xfId="6518" xr:uid="{00000000-0005-0000-0000-0000921D0000}"/>
    <cellStyle name="Normal 8 3 3 2 5 3 2" xfId="15844" xr:uid="{E33B60A5-B9FA-451D-A768-8BA28973B276}"/>
    <cellStyle name="Normal 8 3 3 2 5 3 3" xfId="24291" xr:uid="{6909F266-5752-47BA-BC20-8A1B4A54A772}"/>
    <cellStyle name="Normal 8 3 3 2 5 3 4" xfId="32738" xr:uid="{F3CB5BA4-99B8-436A-B72E-5FBBC874BA97}"/>
    <cellStyle name="Normal 8 3 3 2 5 4" xfId="11627" xr:uid="{64D59883-9C01-494E-B485-486E89A9F036}"/>
    <cellStyle name="Normal 8 3 3 2 5 5" xfId="20074" xr:uid="{726BD0F8-5F15-4D6E-81E3-1C80A7DF590A}"/>
    <cellStyle name="Normal 8 3 3 2 5 6" xfId="28521" xr:uid="{9A8CCF47-AEFE-44BF-99A2-411BB26F7C93}"/>
    <cellStyle name="Normal 8 3 3 2 6" xfId="2648" xr:uid="{00000000-0005-0000-0000-0000931D0000}"/>
    <cellStyle name="Normal 8 3 3 2 6 2" xfId="6931" xr:uid="{00000000-0005-0000-0000-0000941D0000}"/>
    <cellStyle name="Normal 8 3 3 2 6 2 2" xfId="16257" xr:uid="{E65D8A0D-5EFE-4B1B-A83E-44169048F329}"/>
    <cellStyle name="Normal 8 3 3 2 6 2 3" xfId="24704" xr:uid="{152A3D5C-F694-41E0-95F8-5F4B310AEB5B}"/>
    <cellStyle name="Normal 8 3 3 2 6 2 4" xfId="33151" xr:uid="{403478C0-59C9-459C-B54B-0CB1EC0CEA6F}"/>
    <cellStyle name="Normal 8 3 3 2 6 3" xfId="12040" xr:uid="{BBFEE1A4-A26F-431B-811C-8D91F3C6F6E4}"/>
    <cellStyle name="Normal 8 3 3 2 6 4" xfId="20487" xr:uid="{92A13257-F5AC-452E-AC0E-CE81A5CE87AE}"/>
    <cellStyle name="Normal 8 3 3 2 6 5" xfId="28934" xr:uid="{A4F9FC38-FEBB-4AB4-BC39-5094D167B492}"/>
    <cellStyle name="Normal 8 3 3 2 7" xfId="4866" xr:uid="{00000000-0005-0000-0000-0000951D0000}"/>
    <cellStyle name="Normal 8 3 3 2 7 2" xfId="14192" xr:uid="{28121BDB-C4E4-4B10-9C69-F56EA66B59CF}"/>
    <cellStyle name="Normal 8 3 3 2 7 3" xfId="22639" xr:uid="{F1CC6070-94BE-4A8B-BA17-538AD3D6F47E}"/>
    <cellStyle name="Normal 8 3 3 2 7 4" xfId="31086" xr:uid="{FCC77519-1028-440C-AED0-91B0E06ACAE0}"/>
    <cellStyle name="Normal 8 3 3 2 8" xfId="9084" xr:uid="{94243AB7-0454-4C95-8E94-054E46718167}"/>
    <cellStyle name="Normal 8 3 3 2 9" xfId="9975" xr:uid="{85A678F0-FFF3-4D8B-BB87-1E8375CC166C}"/>
    <cellStyle name="Normal 8 3 3 3" xfId="967" xr:uid="{00000000-0005-0000-0000-0000961D0000}"/>
    <cellStyle name="Normal 8 3 3 3 2" xfId="3201" xr:uid="{00000000-0005-0000-0000-0000971D0000}"/>
    <cellStyle name="Normal 8 3 3 3 2 2" xfId="7423" xr:uid="{00000000-0005-0000-0000-0000981D0000}"/>
    <cellStyle name="Normal 8 3 3 3 2 2 2" xfId="16749" xr:uid="{E3FAA707-9755-41EE-9583-9F4111459F46}"/>
    <cellStyle name="Normal 8 3 3 3 2 2 3" xfId="25196" xr:uid="{4CC2CF86-03E3-43D4-86ED-9CF31CAD9122}"/>
    <cellStyle name="Normal 8 3 3 3 2 2 4" xfId="33643" xr:uid="{33372AFA-9336-4309-9775-5AD3FFF7E344}"/>
    <cellStyle name="Normal 8 3 3 3 2 3" xfId="12532" xr:uid="{CEB95AD3-31B9-439A-B150-8DF70A6C007D}"/>
    <cellStyle name="Normal 8 3 3 3 2 4" xfId="20979" xr:uid="{D36A0A02-E0D4-45FA-BBCE-C4C144DE8D29}"/>
    <cellStyle name="Normal 8 3 3 3 2 5" xfId="29426" xr:uid="{BC6E7971-930E-475B-9755-17A9C8E0A003}"/>
    <cellStyle name="Normal 8 3 3 3 3" xfId="5278" xr:uid="{00000000-0005-0000-0000-0000991D0000}"/>
    <cellStyle name="Normal 8 3 3 3 3 2" xfId="14604" xr:uid="{047F720E-2CD9-4AF4-93A6-04C1D58D7CDE}"/>
    <cellStyle name="Normal 8 3 3 3 3 3" xfId="23051" xr:uid="{AC81AD23-A43D-4B93-A5E5-9EF8DBC437DA}"/>
    <cellStyle name="Normal 8 3 3 3 3 4" xfId="31498" xr:uid="{E441A04F-30F8-4CE8-8102-21AC0454BC55}"/>
    <cellStyle name="Normal 8 3 3 3 4" xfId="9302" xr:uid="{3985B908-2B56-4F9B-BEA3-8962926FD004}"/>
    <cellStyle name="Normal 8 3 3 3 5" xfId="10387" xr:uid="{78ABB0FC-88CF-4CF9-8754-57E3F36363CE}"/>
    <cellStyle name="Normal 8 3 3 3 6" xfId="18834" xr:uid="{E91589BE-25A2-4F99-83F1-1B17F3DAEAFC}"/>
    <cellStyle name="Normal 8 3 3 3 7" xfId="27281" xr:uid="{05AB07E1-35BA-47D8-A0F4-F73F7F47EE9C}"/>
    <cellStyle name="Normal 8 3 3 4" xfId="1384" xr:uid="{00000000-0005-0000-0000-00009A1D0000}"/>
    <cellStyle name="Normal 8 3 3 4 2" xfId="3614" xr:uid="{00000000-0005-0000-0000-00009B1D0000}"/>
    <cellStyle name="Normal 8 3 3 4 2 2" xfId="7836" xr:uid="{00000000-0005-0000-0000-00009C1D0000}"/>
    <cellStyle name="Normal 8 3 3 4 2 2 2" xfId="17162" xr:uid="{5D630F40-8E00-4E11-AA3A-6EEF51831C32}"/>
    <cellStyle name="Normal 8 3 3 4 2 2 3" xfId="25609" xr:uid="{B7CA707C-E884-45F4-9624-55A8CEAEBB6E}"/>
    <cellStyle name="Normal 8 3 3 4 2 2 4" xfId="34056" xr:uid="{5108CD4A-64F7-48A9-83B8-1AF33A9323BC}"/>
    <cellStyle name="Normal 8 3 3 4 2 3" xfId="12945" xr:uid="{435C080A-5029-40A6-AF2B-2C41B8610889}"/>
    <cellStyle name="Normal 8 3 3 4 2 4" xfId="21392" xr:uid="{F8D20DBF-D393-4149-B6C2-B3E728D61B47}"/>
    <cellStyle name="Normal 8 3 3 4 2 5" xfId="29839" xr:uid="{AE43AD5D-7003-4BF1-B1F3-EE8DDB40AD8B}"/>
    <cellStyle name="Normal 8 3 3 4 3" xfId="5691" xr:uid="{00000000-0005-0000-0000-00009D1D0000}"/>
    <cellStyle name="Normal 8 3 3 4 3 2" xfId="15017" xr:uid="{FD60F76C-6ACD-441E-A1E4-4412062941F1}"/>
    <cellStyle name="Normal 8 3 3 4 3 3" xfId="23464" xr:uid="{10B5397C-B250-4680-B7F2-66D0C0C82EB5}"/>
    <cellStyle name="Normal 8 3 3 4 3 4" xfId="31911" xr:uid="{A3516D34-7008-47DE-BF78-4AC9019D6A72}"/>
    <cellStyle name="Normal 8 3 3 4 4" xfId="10800" xr:uid="{75692ED4-1662-4C88-B9FE-654E320EBEB9}"/>
    <cellStyle name="Normal 8 3 3 4 5" xfId="19247" xr:uid="{2E33D27B-0700-4FF3-8A5A-F47A69D3D786}"/>
    <cellStyle name="Normal 8 3 3 4 6" xfId="27694" xr:uid="{80566899-68CB-4E7D-ACB7-57CA6E74A684}"/>
    <cellStyle name="Normal 8 3 3 5" xfId="1797" xr:uid="{00000000-0005-0000-0000-00009E1D0000}"/>
    <cellStyle name="Normal 8 3 3 5 2" xfId="4027" xr:uid="{00000000-0005-0000-0000-00009F1D0000}"/>
    <cellStyle name="Normal 8 3 3 5 2 2" xfId="8249" xr:uid="{00000000-0005-0000-0000-0000A01D0000}"/>
    <cellStyle name="Normal 8 3 3 5 2 2 2" xfId="17575" xr:uid="{46E35173-0FA2-44FA-A11A-8AD881FD96BE}"/>
    <cellStyle name="Normal 8 3 3 5 2 2 3" xfId="26022" xr:uid="{0DB08E22-C319-41D4-8B3F-2EF6007C134C}"/>
    <cellStyle name="Normal 8 3 3 5 2 2 4" xfId="34469" xr:uid="{381F40C6-1566-4010-B786-1075E74945B9}"/>
    <cellStyle name="Normal 8 3 3 5 2 3" xfId="13358" xr:uid="{011C1A9F-41B5-4BBB-8F0D-DB8CC181B24B}"/>
    <cellStyle name="Normal 8 3 3 5 2 4" xfId="21805" xr:uid="{3DD43755-3AA0-4042-8E19-33C429D3D0A8}"/>
    <cellStyle name="Normal 8 3 3 5 2 5" xfId="30252" xr:uid="{ED293250-FCD2-4768-9DDF-C795993DD4ED}"/>
    <cellStyle name="Normal 8 3 3 5 3" xfId="6104" xr:uid="{00000000-0005-0000-0000-0000A11D0000}"/>
    <cellStyle name="Normal 8 3 3 5 3 2" xfId="15430" xr:uid="{FAA7D696-D591-46F4-9288-DD398F4705B4}"/>
    <cellStyle name="Normal 8 3 3 5 3 3" xfId="23877" xr:uid="{A06E8C7F-54FC-4618-ADDE-29CD50BEA074}"/>
    <cellStyle name="Normal 8 3 3 5 3 4" xfId="32324" xr:uid="{EAB80E4D-E054-49C6-89D6-DD926C2FE433}"/>
    <cellStyle name="Normal 8 3 3 5 4" xfId="11213" xr:uid="{3C2C1894-4144-4FD8-BB10-CBA987AE9472}"/>
    <cellStyle name="Normal 8 3 3 5 5" xfId="19660" xr:uid="{2E50701A-E2BB-47BB-8B96-85F7C32654F5}"/>
    <cellStyle name="Normal 8 3 3 5 6" xfId="28107" xr:uid="{4BD1B061-B475-41C4-9475-1C43E05FEB95}"/>
    <cellStyle name="Normal 8 3 3 6" xfId="2211" xr:uid="{00000000-0005-0000-0000-0000A21D0000}"/>
    <cellStyle name="Normal 8 3 3 6 2" xfId="4440" xr:uid="{00000000-0005-0000-0000-0000A31D0000}"/>
    <cellStyle name="Normal 8 3 3 6 2 2" xfId="8662" xr:uid="{00000000-0005-0000-0000-0000A41D0000}"/>
    <cellStyle name="Normal 8 3 3 6 2 2 2" xfId="17988" xr:uid="{1445D6DD-733F-4E38-A7AE-3BB5B38B38D7}"/>
    <cellStyle name="Normal 8 3 3 6 2 2 3" xfId="26435" xr:uid="{6DFBA99E-B4E2-49E3-9B6B-8417F5E40C9A}"/>
    <cellStyle name="Normal 8 3 3 6 2 2 4" xfId="34882" xr:uid="{B010039C-6135-4A24-8E43-4185F02B29F0}"/>
    <cellStyle name="Normal 8 3 3 6 2 3" xfId="13771" xr:uid="{5B70133B-7E88-4EF6-9A5D-1ACBF4E6AF63}"/>
    <cellStyle name="Normal 8 3 3 6 2 4" xfId="22218" xr:uid="{375E4EA6-3F62-4090-912B-0AB4BE1572E2}"/>
    <cellStyle name="Normal 8 3 3 6 2 5" xfId="30665" xr:uid="{798BBC5F-6E2C-4984-8FEB-FECDA83E6D7E}"/>
    <cellStyle name="Normal 8 3 3 6 3" xfId="6517" xr:uid="{00000000-0005-0000-0000-0000A51D0000}"/>
    <cellStyle name="Normal 8 3 3 6 3 2" xfId="15843" xr:uid="{DDAF971D-6BFD-4444-A7FE-5F284AFF713F}"/>
    <cellStyle name="Normal 8 3 3 6 3 3" xfId="24290" xr:uid="{A7B38163-37C3-4CCD-97F6-02FEBE6CBC50}"/>
    <cellStyle name="Normal 8 3 3 6 3 4" xfId="32737" xr:uid="{862123A6-5769-44D7-8893-F6F129149B48}"/>
    <cellStyle name="Normal 8 3 3 6 4" xfId="11626" xr:uid="{D7124DBC-D610-4CEE-9B50-B351883312C9}"/>
    <cellStyle name="Normal 8 3 3 6 5" xfId="20073" xr:uid="{26227D5B-DA5B-41B0-9EFF-B850B347A286}"/>
    <cellStyle name="Normal 8 3 3 6 6" xfId="28520" xr:uid="{F3A5F404-4B96-44C9-82BD-DEE119729E2E}"/>
    <cellStyle name="Normal 8 3 3 7" xfId="2647" xr:uid="{00000000-0005-0000-0000-0000A61D0000}"/>
    <cellStyle name="Normal 8 3 3 7 2" xfId="6930" xr:uid="{00000000-0005-0000-0000-0000A71D0000}"/>
    <cellStyle name="Normal 8 3 3 7 2 2" xfId="16256" xr:uid="{1553164E-7ECF-466C-95B4-C498F685FE80}"/>
    <cellStyle name="Normal 8 3 3 7 2 3" xfId="24703" xr:uid="{64F25A96-8CCA-4BCE-9BE7-81B012DAF059}"/>
    <cellStyle name="Normal 8 3 3 7 2 4" xfId="33150" xr:uid="{4B3FFD04-1239-417A-819A-0982FD70A772}"/>
    <cellStyle name="Normal 8 3 3 7 3" xfId="12039" xr:uid="{0D14E192-2725-47CB-AB10-A1E1E0FCEF46}"/>
    <cellStyle name="Normal 8 3 3 7 4" xfId="20486" xr:uid="{78187A95-B3FC-4EA9-9957-DDF5FDFF41C8}"/>
    <cellStyle name="Normal 8 3 3 7 5" xfId="28933" xr:uid="{9A03932F-95B7-496D-AF24-4157E1C9EF69}"/>
    <cellStyle name="Normal 8 3 3 8" xfId="4865" xr:uid="{00000000-0005-0000-0000-0000A81D0000}"/>
    <cellStyle name="Normal 8 3 3 8 2" xfId="14191" xr:uid="{30C81AE7-60D6-48FF-A74D-FC1EDBA20DA9}"/>
    <cellStyle name="Normal 8 3 3 8 3" xfId="22638" xr:uid="{3CE32FDA-F4BC-4BC0-AFC3-49D55F857E70}"/>
    <cellStyle name="Normal 8 3 3 8 4" xfId="31085" xr:uid="{B1485AAA-F799-403A-A45C-676F8F20E0AA}"/>
    <cellStyle name="Normal 8 3 3 9" xfId="8877" xr:uid="{4F8231E3-800E-43E7-B1B6-9633EBFFFFE1}"/>
    <cellStyle name="Normal 8 3 4" xfId="502" xr:uid="{00000000-0005-0000-0000-0000A91D0000}"/>
    <cellStyle name="Normal 8 3 4 10" xfId="18423" xr:uid="{5EEF0647-AA1B-4CDD-91D6-449A2D9B4F73}"/>
    <cellStyle name="Normal 8 3 4 11" xfId="26870" xr:uid="{223B4DFC-6A73-45B0-A066-C429965F9E24}"/>
    <cellStyle name="Normal 8 3 4 2" xfId="969" xr:uid="{00000000-0005-0000-0000-0000AA1D0000}"/>
    <cellStyle name="Normal 8 3 4 2 2" xfId="3203" xr:uid="{00000000-0005-0000-0000-0000AB1D0000}"/>
    <cellStyle name="Normal 8 3 4 2 2 2" xfId="7425" xr:uid="{00000000-0005-0000-0000-0000AC1D0000}"/>
    <cellStyle name="Normal 8 3 4 2 2 2 2" xfId="16751" xr:uid="{35E7B6C1-C6E3-4528-87AF-EA7506767D9E}"/>
    <cellStyle name="Normal 8 3 4 2 2 2 3" xfId="25198" xr:uid="{8EE92E0C-363E-4B9D-B3F8-7161745F58B8}"/>
    <cellStyle name="Normal 8 3 4 2 2 2 4" xfId="33645" xr:uid="{044033DF-879B-4264-B338-71DD8E75AA25}"/>
    <cellStyle name="Normal 8 3 4 2 2 3" xfId="12534" xr:uid="{28CFABBD-EA8A-45E6-8405-9BD6F49AC9BF}"/>
    <cellStyle name="Normal 8 3 4 2 2 4" xfId="20981" xr:uid="{90FFBBC6-B207-46CA-B047-AAB3D1F0ACD0}"/>
    <cellStyle name="Normal 8 3 4 2 2 5" xfId="29428" xr:uid="{6ED1814B-8C76-4C2D-89CA-26F7D0B6F342}"/>
    <cellStyle name="Normal 8 3 4 2 3" xfId="5280" xr:uid="{00000000-0005-0000-0000-0000AD1D0000}"/>
    <cellStyle name="Normal 8 3 4 2 3 2" xfId="14606" xr:uid="{C5562482-3299-4585-9392-D7D944AD25AD}"/>
    <cellStyle name="Normal 8 3 4 2 3 3" xfId="23053" xr:uid="{173B6743-98D5-4810-9197-FD1321F34798}"/>
    <cellStyle name="Normal 8 3 4 2 3 4" xfId="31500" xr:uid="{0F31E509-EBC5-4EB0-81CC-1A5AC6DC799F}"/>
    <cellStyle name="Normal 8 3 4 2 4" xfId="9406" xr:uid="{8751BE45-E47B-4A0A-B0DE-04C14FAEA88D}"/>
    <cellStyle name="Normal 8 3 4 2 5" xfId="10389" xr:uid="{B3AC667E-E6CC-43D2-9A07-6E69354CFCF3}"/>
    <cellStyle name="Normal 8 3 4 2 6" xfId="18836" xr:uid="{5E3BD610-FB16-473F-A3ED-51BBC4D76751}"/>
    <cellStyle name="Normal 8 3 4 2 7" xfId="27283" xr:uid="{292069D6-64BD-4EA2-BB21-DE2D57D8516F}"/>
    <cellStyle name="Normal 8 3 4 3" xfId="1386" xr:uid="{00000000-0005-0000-0000-0000AE1D0000}"/>
    <cellStyle name="Normal 8 3 4 3 2" xfId="3616" xr:uid="{00000000-0005-0000-0000-0000AF1D0000}"/>
    <cellStyle name="Normal 8 3 4 3 2 2" xfId="7838" xr:uid="{00000000-0005-0000-0000-0000B01D0000}"/>
    <cellStyle name="Normal 8 3 4 3 2 2 2" xfId="17164" xr:uid="{64DBE7B3-9512-4AC8-B8A0-DE40073DECE5}"/>
    <cellStyle name="Normal 8 3 4 3 2 2 3" xfId="25611" xr:uid="{483447FF-2E36-4DF9-A894-0455A0B77017}"/>
    <cellStyle name="Normal 8 3 4 3 2 2 4" xfId="34058" xr:uid="{A2B8117B-8AF0-4B3F-9DEA-7AF21AB9A09D}"/>
    <cellStyle name="Normal 8 3 4 3 2 3" xfId="12947" xr:uid="{80BEF002-76E3-41E0-AD6C-EB5A1F77E358}"/>
    <cellStyle name="Normal 8 3 4 3 2 4" xfId="21394" xr:uid="{5138DE6F-1F67-485B-A49E-792DF8015C2A}"/>
    <cellStyle name="Normal 8 3 4 3 2 5" xfId="29841" xr:uid="{E2F17D2D-F622-4E16-AA64-761875E0DF3B}"/>
    <cellStyle name="Normal 8 3 4 3 3" xfId="5693" xr:uid="{00000000-0005-0000-0000-0000B11D0000}"/>
    <cellStyle name="Normal 8 3 4 3 3 2" xfId="15019" xr:uid="{ED756AF9-4198-45C8-998A-7A63603C45A2}"/>
    <cellStyle name="Normal 8 3 4 3 3 3" xfId="23466" xr:uid="{6F73EFA3-F2A1-49E3-B9FC-EF888745321F}"/>
    <cellStyle name="Normal 8 3 4 3 3 4" xfId="31913" xr:uid="{A5E2714F-703B-4B48-9835-76D1945FB13F}"/>
    <cellStyle name="Normal 8 3 4 3 4" xfId="10802" xr:uid="{885F1231-09F7-4007-B9F2-2E8327B8F0DC}"/>
    <cellStyle name="Normal 8 3 4 3 5" xfId="19249" xr:uid="{6BC50668-B314-4F1D-A2CF-28D42B72094B}"/>
    <cellStyle name="Normal 8 3 4 3 6" xfId="27696" xr:uid="{BAFE274B-869E-4FF7-ADAA-6E346FEC89D3}"/>
    <cellStyle name="Normal 8 3 4 4" xfId="1799" xr:uid="{00000000-0005-0000-0000-0000B21D0000}"/>
    <cellStyle name="Normal 8 3 4 4 2" xfId="4029" xr:uid="{00000000-0005-0000-0000-0000B31D0000}"/>
    <cellStyle name="Normal 8 3 4 4 2 2" xfId="8251" xr:uid="{00000000-0005-0000-0000-0000B41D0000}"/>
    <cellStyle name="Normal 8 3 4 4 2 2 2" xfId="17577" xr:uid="{6E5B319B-85A8-474B-8105-0B571BA66950}"/>
    <cellStyle name="Normal 8 3 4 4 2 2 3" xfId="26024" xr:uid="{3F1A6825-B16D-4CEC-9296-361DA2AC4156}"/>
    <cellStyle name="Normal 8 3 4 4 2 2 4" xfId="34471" xr:uid="{0463874F-92A5-47FA-9CD2-96920C638A4E}"/>
    <cellStyle name="Normal 8 3 4 4 2 3" xfId="13360" xr:uid="{823C9A13-2DFF-4518-B85E-3ADA6BF751C6}"/>
    <cellStyle name="Normal 8 3 4 4 2 4" xfId="21807" xr:uid="{D1FB12B8-6CA6-4802-B619-1F8E87438955}"/>
    <cellStyle name="Normal 8 3 4 4 2 5" xfId="30254" xr:uid="{56C2C73A-7692-40D3-979E-A741EA05BF2A}"/>
    <cellStyle name="Normal 8 3 4 4 3" xfId="6106" xr:uid="{00000000-0005-0000-0000-0000B51D0000}"/>
    <cellStyle name="Normal 8 3 4 4 3 2" xfId="15432" xr:uid="{DE8F7384-3458-40F1-BD39-0EC7E3EBAFDC}"/>
    <cellStyle name="Normal 8 3 4 4 3 3" xfId="23879" xr:uid="{50163726-3768-4633-85B9-2072AE5FD6B7}"/>
    <cellStyle name="Normal 8 3 4 4 3 4" xfId="32326" xr:uid="{C5D1D5A4-1A0A-42B2-ADAC-7C4EC9FDD5C4}"/>
    <cellStyle name="Normal 8 3 4 4 4" xfId="11215" xr:uid="{6099DBE9-D5FF-41FA-8D00-62DAAE6F3392}"/>
    <cellStyle name="Normal 8 3 4 4 5" xfId="19662" xr:uid="{C8E25AFC-FAAB-4460-B923-7A3386A3F589}"/>
    <cellStyle name="Normal 8 3 4 4 6" xfId="28109" xr:uid="{E2E9E206-EF06-4DE6-BB85-2584B92D9F5F}"/>
    <cellStyle name="Normal 8 3 4 5" xfId="2213" xr:uid="{00000000-0005-0000-0000-0000B61D0000}"/>
    <cellStyle name="Normal 8 3 4 5 2" xfId="4442" xr:uid="{00000000-0005-0000-0000-0000B71D0000}"/>
    <cellStyle name="Normal 8 3 4 5 2 2" xfId="8664" xr:uid="{00000000-0005-0000-0000-0000B81D0000}"/>
    <cellStyle name="Normal 8 3 4 5 2 2 2" xfId="17990" xr:uid="{7F05883D-8A7F-421A-9FDB-BD5574190652}"/>
    <cellStyle name="Normal 8 3 4 5 2 2 3" xfId="26437" xr:uid="{28908A61-D0EF-4345-AC99-3A3A226A9F1C}"/>
    <cellStyle name="Normal 8 3 4 5 2 2 4" xfId="34884" xr:uid="{71DBF3EE-A398-44E8-B597-58886FE5D90E}"/>
    <cellStyle name="Normal 8 3 4 5 2 3" xfId="13773" xr:uid="{83DE2747-AF67-4496-BB6B-5E066DC232D7}"/>
    <cellStyle name="Normal 8 3 4 5 2 4" xfId="22220" xr:uid="{30FCE398-82A9-44A3-B4D8-76EBEB68BDA7}"/>
    <cellStyle name="Normal 8 3 4 5 2 5" xfId="30667" xr:uid="{889CF3DE-6F7A-4361-8E1E-35ACEEBC0E74}"/>
    <cellStyle name="Normal 8 3 4 5 3" xfId="6519" xr:uid="{00000000-0005-0000-0000-0000B91D0000}"/>
    <cellStyle name="Normal 8 3 4 5 3 2" xfId="15845" xr:uid="{9C6F6CFE-FD79-4B5E-8077-C8F643A1473F}"/>
    <cellStyle name="Normal 8 3 4 5 3 3" xfId="24292" xr:uid="{DEFC42DE-017B-4F78-A55B-D58181FF9802}"/>
    <cellStyle name="Normal 8 3 4 5 3 4" xfId="32739" xr:uid="{4D4D734F-A3A2-4E56-914D-3156D32F626C}"/>
    <cellStyle name="Normal 8 3 4 5 4" xfId="11628" xr:uid="{39C5DB99-9C73-4651-A496-2362A704343F}"/>
    <cellStyle name="Normal 8 3 4 5 5" xfId="20075" xr:uid="{4987A244-4680-4F91-800A-78FB3578DBDE}"/>
    <cellStyle name="Normal 8 3 4 5 6" xfId="28522" xr:uid="{AB72EAD2-A36A-4336-A6CE-A1844A0CB3B2}"/>
    <cellStyle name="Normal 8 3 4 6" xfId="2649" xr:uid="{00000000-0005-0000-0000-0000BA1D0000}"/>
    <cellStyle name="Normal 8 3 4 6 2" xfId="6932" xr:uid="{00000000-0005-0000-0000-0000BB1D0000}"/>
    <cellStyle name="Normal 8 3 4 6 2 2" xfId="16258" xr:uid="{AC1FBFE9-4DB1-4AE4-9D08-DFB8E2EDC142}"/>
    <cellStyle name="Normal 8 3 4 6 2 3" xfId="24705" xr:uid="{E8A26C7A-00B2-4F25-AAA2-2901721839C8}"/>
    <cellStyle name="Normal 8 3 4 6 2 4" xfId="33152" xr:uid="{4F1FF378-0ED6-472D-9F3B-1B90A62AD84C}"/>
    <cellStyle name="Normal 8 3 4 6 3" xfId="12041" xr:uid="{4159AFE7-4057-434D-91E3-890788E6D326}"/>
    <cellStyle name="Normal 8 3 4 6 4" xfId="20488" xr:uid="{D2424FD8-54B3-4867-9979-4CB5CB35E9D5}"/>
    <cellStyle name="Normal 8 3 4 6 5" xfId="28935" xr:uid="{A3BB385D-8056-4188-86EA-B4A9A698DBC1}"/>
    <cellStyle name="Normal 8 3 4 7" xfId="4867" xr:uid="{00000000-0005-0000-0000-0000BC1D0000}"/>
    <cellStyle name="Normal 8 3 4 7 2" xfId="14193" xr:uid="{1C72B470-AAAB-4039-914A-2C8A2F058CDB}"/>
    <cellStyle name="Normal 8 3 4 7 3" xfId="22640" xr:uid="{F9C9052B-14A7-4A28-81F6-1514230D0A2B}"/>
    <cellStyle name="Normal 8 3 4 7 4" xfId="31087" xr:uid="{704EEA76-232D-4C9A-8EDF-2AD4F3B63F0B}"/>
    <cellStyle name="Normal 8 3 4 8" xfId="8981" xr:uid="{BEE184E9-ECE6-4107-B29A-CC8BC7F28FA3}"/>
    <cellStyle name="Normal 8 3 4 9" xfId="9976" xr:uid="{292B59CD-E09F-4022-9AB5-B09F9754291F}"/>
    <cellStyle name="Normal 8 3 5" xfId="962" xr:uid="{00000000-0005-0000-0000-0000BD1D0000}"/>
    <cellStyle name="Normal 8 3 5 2" xfId="3196" xr:uid="{00000000-0005-0000-0000-0000BE1D0000}"/>
    <cellStyle name="Normal 8 3 5 2 2" xfId="7418" xr:uid="{00000000-0005-0000-0000-0000BF1D0000}"/>
    <cellStyle name="Normal 8 3 5 2 2 2" xfId="16744" xr:uid="{65B9D868-575D-4262-B2A0-2D492797B0FF}"/>
    <cellStyle name="Normal 8 3 5 2 2 3" xfId="25191" xr:uid="{04EDB283-6837-448E-BBC7-F8CBBC971EDD}"/>
    <cellStyle name="Normal 8 3 5 2 2 4" xfId="33638" xr:uid="{0415D4FC-D006-482E-AF11-D277BDC1D655}"/>
    <cellStyle name="Normal 8 3 5 2 3" xfId="12527" xr:uid="{76F9C46D-7584-469C-B51D-716C3289782A}"/>
    <cellStyle name="Normal 8 3 5 2 4" xfId="20974" xr:uid="{C86CDA68-BBB1-49C7-B8F3-0BECBA97AA59}"/>
    <cellStyle name="Normal 8 3 5 2 5" xfId="29421" xr:uid="{E5AB2332-9D08-4E3B-A518-136DACAB683B}"/>
    <cellStyle name="Normal 8 3 5 3" xfId="5273" xr:uid="{00000000-0005-0000-0000-0000C01D0000}"/>
    <cellStyle name="Normal 8 3 5 3 2" xfId="14599" xr:uid="{651ACF64-55E0-47AF-ABE0-294AEC3B527E}"/>
    <cellStyle name="Normal 8 3 5 3 3" xfId="23046" xr:uid="{F1398FA1-F0F0-4D9B-9A25-88435FF33F57}"/>
    <cellStyle name="Normal 8 3 5 3 4" xfId="31493" xr:uid="{BC607E5A-22AA-4686-9B02-03B5E7F5AE53}"/>
    <cellStyle name="Normal 8 3 5 4" xfId="9198" xr:uid="{FA5A5C79-C3AC-4E17-9344-90C4E411EE0B}"/>
    <cellStyle name="Normal 8 3 5 5" xfId="10382" xr:uid="{0E8ACFD1-8122-4FAB-AC82-35CEDCB38D42}"/>
    <cellStyle name="Normal 8 3 5 6" xfId="18829" xr:uid="{F7ABA392-EC46-4A83-A4C2-5F0D349E7FF3}"/>
    <cellStyle name="Normal 8 3 5 7" xfId="27276" xr:uid="{B2F3818F-B1D5-4200-9961-7FA30EA2BA8B}"/>
    <cellStyle name="Normal 8 3 6" xfId="1379" xr:uid="{00000000-0005-0000-0000-0000C11D0000}"/>
    <cellStyle name="Normal 8 3 6 2" xfId="3609" xr:uid="{00000000-0005-0000-0000-0000C21D0000}"/>
    <cellStyle name="Normal 8 3 6 2 2" xfId="7831" xr:uid="{00000000-0005-0000-0000-0000C31D0000}"/>
    <cellStyle name="Normal 8 3 6 2 2 2" xfId="17157" xr:uid="{910A607C-510B-4605-8A38-96D818C3DBE0}"/>
    <cellStyle name="Normal 8 3 6 2 2 3" xfId="25604" xr:uid="{972DEC08-F405-47C0-AFEE-85DF6C725DBB}"/>
    <cellStyle name="Normal 8 3 6 2 2 4" xfId="34051" xr:uid="{9811615F-89AB-44C3-870D-1E899F1A304A}"/>
    <cellStyle name="Normal 8 3 6 2 3" xfId="12940" xr:uid="{DBC3E68F-BEE7-465F-A538-7AF585EF37E8}"/>
    <cellStyle name="Normal 8 3 6 2 4" xfId="21387" xr:uid="{87F96C95-D21F-4A00-8A4F-705592DCE012}"/>
    <cellStyle name="Normal 8 3 6 2 5" xfId="29834" xr:uid="{46C64B23-178A-459A-A610-BD0E172F7D25}"/>
    <cellStyle name="Normal 8 3 6 3" xfId="5686" xr:uid="{00000000-0005-0000-0000-0000C41D0000}"/>
    <cellStyle name="Normal 8 3 6 3 2" xfId="15012" xr:uid="{5846C7C6-B072-4E5D-BC47-5EA0830329AD}"/>
    <cellStyle name="Normal 8 3 6 3 3" xfId="23459" xr:uid="{27B6D9E0-2353-4158-B977-8B48016A02A4}"/>
    <cellStyle name="Normal 8 3 6 3 4" xfId="31906" xr:uid="{AAF8A508-03A7-4B49-BFA0-D4CD32465E56}"/>
    <cellStyle name="Normal 8 3 6 4" xfId="10795" xr:uid="{8FC90FBE-9908-4066-8B54-A104FBE76471}"/>
    <cellStyle name="Normal 8 3 6 5" xfId="19242" xr:uid="{790A79B1-32A1-4E1E-B3AB-387E41EA2723}"/>
    <cellStyle name="Normal 8 3 6 6" xfId="27689" xr:uid="{8BA791A3-948B-434A-8502-9F0D6B274D0D}"/>
    <cellStyle name="Normal 8 3 7" xfId="1792" xr:uid="{00000000-0005-0000-0000-0000C51D0000}"/>
    <cellStyle name="Normal 8 3 7 2" xfId="4022" xr:uid="{00000000-0005-0000-0000-0000C61D0000}"/>
    <cellStyle name="Normal 8 3 7 2 2" xfId="8244" xr:uid="{00000000-0005-0000-0000-0000C71D0000}"/>
    <cellStyle name="Normal 8 3 7 2 2 2" xfId="17570" xr:uid="{819DDBCB-9D95-49AB-8BA4-11D395155B50}"/>
    <cellStyle name="Normal 8 3 7 2 2 3" xfId="26017" xr:uid="{2FAF0CC0-9836-4A64-967A-9D7903BD635F}"/>
    <cellStyle name="Normal 8 3 7 2 2 4" xfId="34464" xr:uid="{50CEA1AF-FE30-41BC-8C55-D6D7878DEDB1}"/>
    <cellStyle name="Normal 8 3 7 2 3" xfId="13353" xr:uid="{3818EC00-0C2C-48A5-9AD8-9A62A595F127}"/>
    <cellStyle name="Normal 8 3 7 2 4" xfId="21800" xr:uid="{AA5FD00B-10CD-49AC-9032-2EDC4D68A7DE}"/>
    <cellStyle name="Normal 8 3 7 2 5" xfId="30247" xr:uid="{EAC4BCAC-E88C-4AE4-9799-36832A85B204}"/>
    <cellStyle name="Normal 8 3 7 3" xfId="6099" xr:uid="{00000000-0005-0000-0000-0000C81D0000}"/>
    <cellStyle name="Normal 8 3 7 3 2" xfId="15425" xr:uid="{547CB6EF-F837-498C-8732-3352C32791D3}"/>
    <cellStyle name="Normal 8 3 7 3 3" xfId="23872" xr:uid="{69DA19F9-FB50-4D68-AD38-22C7C7BD9237}"/>
    <cellStyle name="Normal 8 3 7 3 4" xfId="32319" xr:uid="{9EFE0717-D398-4BAD-B4DB-B95F6778B5A8}"/>
    <cellStyle name="Normal 8 3 7 4" xfId="11208" xr:uid="{8DE14D95-37D8-4A96-BD78-959EFA3059B5}"/>
    <cellStyle name="Normal 8 3 7 5" xfId="19655" xr:uid="{69D9AD24-0AFB-44D2-82FA-31569B0EBAE9}"/>
    <cellStyle name="Normal 8 3 7 6" xfId="28102" xr:uid="{F9DC4A8D-CD0B-4CDC-B78B-F646D3EF8BBE}"/>
    <cellStyle name="Normal 8 3 8" xfId="2206" xr:uid="{00000000-0005-0000-0000-0000C91D0000}"/>
    <cellStyle name="Normal 8 3 8 2" xfId="4435" xr:uid="{00000000-0005-0000-0000-0000CA1D0000}"/>
    <cellStyle name="Normal 8 3 8 2 2" xfId="8657" xr:uid="{00000000-0005-0000-0000-0000CB1D0000}"/>
    <cellStyle name="Normal 8 3 8 2 2 2" xfId="17983" xr:uid="{77D9C26D-BAE0-4042-8341-446E1DCDA8AE}"/>
    <cellStyle name="Normal 8 3 8 2 2 3" xfId="26430" xr:uid="{17C41F70-7FC3-4BF0-B3FC-C506F053A192}"/>
    <cellStyle name="Normal 8 3 8 2 2 4" xfId="34877" xr:uid="{FF5B9D0D-5D37-448B-9070-6D248A771103}"/>
    <cellStyle name="Normal 8 3 8 2 3" xfId="13766" xr:uid="{28F949D7-088D-44FD-9A89-D3877DC2D975}"/>
    <cellStyle name="Normal 8 3 8 2 4" xfId="22213" xr:uid="{9A5D675B-7870-4D7E-9E4C-99BE708510D7}"/>
    <cellStyle name="Normal 8 3 8 2 5" xfId="30660" xr:uid="{9B330034-2FC3-4695-9EA3-FD6D40C84E2B}"/>
    <cellStyle name="Normal 8 3 8 3" xfId="6512" xr:uid="{00000000-0005-0000-0000-0000CC1D0000}"/>
    <cellStyle name="Normal 8 3 8 3 2" xfId="15838" xr:uid="{D70B604A-3C86-4C84-BE10-C9F4A0F83EF8}"/>
    <cellStyle name="Normal 8 3 8 3 3" xfId="24285" xr:uid="{0807023C-2C63-4CF7-934E-665F13B13B18}"/>
    <cellStyle name="Normal 8 3 8 3 4" xfId="32732" xr:uid="{B43C2712-8009-4D95-9CC1-E3226F3E85EA}"/>
    <cellStyle name="Normal 8 3 8 4" xfId="11621" xr:uid="{15EDD5BC-6E66-4975-A0BB-7BE545A1AAC6}"/>
    <cellStyle name="Normal 8 3 8 5" xfId="20068" xr:uid="{50E405FE-DBA2-4597-9E35-C5D0C171DA0F}"/>
    <cellStyle name="Normal 8 3 8 6" xfId="28515" xr:uid="{767E5117-1A2A-4642-981C-2D76C8951372}"/>
    <cellStyle name="Normal 8 3 9" xfId="2642" xr:uid="{00000000-0005-0000-0000-0000CD1D0000}"/>
    <cellStyle name="Normal 8 3 9 2" xfId="6925" xr:uid="{00000000-0005-0000-0000-0000CE1D0000}"/>
    <cellStyle name="Normal 8 3 9 2 2" xfId="16251" xr:uid="{B2C62042-3D6C-4914-BCAA-D7B6F16BD93D}"/>
    <cellStyle name="Normal 8 3 9 2 3" xfId="24698" xr:uid="{F68CE07C-45D6-4417-8685-8291469EFF15}"/>
    <cellStyle name="Normal 8 3 9 2 4" xfId="33145" xr:uid="{06D045A4-03D5-426B-95A9-5742F03F07AD}"/>
    <cellStyle name="Normal 8 3 9 3" xfId="12034" xr:uid="{B25721D4-E71E-4040-AA0C-FB96ADAAC771}"/>
    <cellStyle name="Normal 8 3 9 4" xfId="20481" xr:uid="{68BC1F6A-6CD5-4304-ADAC-FF37C4E30E60}"/>
    <cellStyle name="Normal 8 3 9 5" xfId="28928" xr:uid="{CA605B0E-43AF-4CA0-B636-9DF31CE6944A}"/>
    <cellStyle name="Normal 8 4" xfId="503" xr:uid="{00000000-0005-0000-0000-0000CF1D0000}"/>
    <cellStyle name="Normal 8 4 10" xfId="8834" xr:uid="{78848A4E-06FA-4050-B553-A3A7DEA1B047}"/>
    <cellStyle name="Normal 8 4 11" xfId="9977" xr:uid="{70D13E94-7D7C-4109-B6D0-DE498270FA27}"/>
    <cellStyle name="Normal 8 4 12" xfId="18424" xr:uid="{372FDA26-5173-496D-B3AC-2AF37A00F06D}"/>
    <cellStyle name="Normal 8 4 13" xfId="26871" xr:uid="{EFF38E1B-4CB5-488D-886E-36AFC2C5ECF7}"/>
    <cellStyle name="Normal 8 4 2" xfId="504" xr:uid="{00000000-0005-0000-0000-0000D01D0000}"/>
    <cellStyle name="Normal 8 4 2 10" xfId="9978" xr:uid="{1398071B-888F-492F-9D30-7E9B36087006}"/>
    <cellStyle name="Normal 8 4 2 11" xfId="18425" xr:uid="{D93FAE04-B091-45EE-A5C4-1BB01F70C10F}"/>
    <cellStyle name="Normal 8 4 2 12" xfId="26872" xr:uid="{4992D993-2700-4D92-8994-D804358C8DAF}"/>
    <cellStyle name="Normal 8 4 2 2" xfId="505" xr:uid="{00000000-0005-0000-0000-0000D11D0000}"/>
    <cellStyle name="Normal 8 4 2 2 10" xfId="18426" xr:uid="{9985FED2-56E5-44B6-A232-368533A4A544}"/>
    <cellStyle name="Normal 8 4 2 2 11" xfId="26873" xr:uid="{255953AA-67D7-4327-A7EB-D9932D8546F4}"/>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16754" xr:uid="{4D2C1B40-C53C-4465-A226-7228C608F970}"/>
    <cellStyle name="Normal 8 4 2 2 2 2 2 3" xfId="25201" xr:uid="{B6005CAB-0565-4D80-A0D4-DD5F83A3CCA5}"/>
    <cellStyle name="Normal 8 4 2 2 2 2 2 4" xfId="33648" xr:uid="{93A833A6-7703-4525-AE51-6447ACEF7521}"/>
    <cellStyle name="Normal 8 4 2 2 2 2 3" xfId="12537" xr:uid="{CED40CE4-B897-4C1B-9B7C-1243B194DCE9}"/>
    <cellStyle name="Normal 8 4 2 2 2 2 4" xfId="20984" xr:uid="{A91314EA-A7C7-473B-821F-B5DE01A5B68B}"/>
    <cellStyle name="Normal 8 4 2 2 2 2 5" xfId="29431" xr:uid="{97839DA5-582B-4D13-A795-81DB314F9E6B}"/>
    <cellStyle name="Normal 8 4 2 2 2 3" xfId="5283" xr:uid="{00000000-0005-0000-0000-0000D51D0000}"/>
    <cellStyle name="Normal 8 4 2 2 2 3 2" xfId="14609" xr:uid="{8C201DCC-594F-413D-BC2A-4E46EA50A6E9}"/>
    <cellStyle name="Normal 8 4 2 2 2 3 3" xfId="23056" xr:uid="{B5CC21C2-2A31-4C3F-8D71-B6B86FFEB440}"/>
    <cellStyle name="Normal 8 4 2 2 2 3 4" xfId="31503" xr:uid="{B40F8C08-4736-4AFE-B423-A7F06A950684}"/>
    <cellStyle name="Normal 8 4 2 2 2 4" xfId="9569" xr:uid="{F21122F8-27BB-4D46-891E-281F736F5353}"/>
    <cellStyle name="Normal 8 4 2 2 2 5" xfId="10392" xr:uid="{17E41AE9-35ED-4893-BF95-F7CAA7350C82}"/>
    <cellStyle name="Normal 8 4 2 2 2 6" xfId="18839" xr:uid="{B14F98C1-5966-4B13-9C2B-6B4333D1BE91}"/>
    <cellStyle name="Normal 8 4 2 2 2 7" xfId="27286" xr:uid="{DE29E805-A604-44A8-93AB-0E7F8D45CB04}"/>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17167" xr:uid="{8A118FDA-D86C-4A4F-AC95-ADDCA17959BA}"/>
    <cellStyle name="Normal 8 4 2 2 3 2 2 3" xfId="25614" xr:uid="{FFBEABCA-EB9A-42C5-AB62-D4B3155FD963}"/>
    <cellStyle name="Normal 8 4 2 2 3 2 2 4" xfId="34061" xr:uid="{23814D0A-885B-46BE-B6F1-8938631A349A}"/>
    <cellStyle name="Normal 8 4 2 2 3 2 3" xfId="12950" xr:uid="{38244EA9-8C83-4E18-902A-214635DC1ED5}"/>
    <cellStyle name="Normal 8 4 2 2 3 2 4" xfId="21397" xr:uid="{D4970E63-C9CD-4F22-96DA-42FA4D954D0E}"/>
    <cellStyle name="Normal 8 4 2 2 3 2 5" xfId="29844" xr:uid="{CCC09D9D-0B7D-45AC-8C52-5A39373C7678}"/>
    <cellStyle name="Normal 8 4 2 2 3 3" xfId="5696" xr:uid="{00000000-0005-0000-0000-0000D91D0000}"/>
    <cellStyle name="Normal 8 4 2 2 3 3 2" xfId="15022" xr:uid="{D6DC4745-523C-4A43-A87F-A12D5DCAD32F}"/>
    <cellStyle name="Normal 8 4 2 2 3 3 3" xfId="23469" xr:uid="{B32B5DCD-558A-427F-8EFC-ECAD1E862C36}"/>
    <cellStyle name="Normal 8 4 2 2 3 3 4" xfId="31916" xr:uid="{158B6361-5D67-418B-B396-E190C49F362A}"/>
    <cellStyle name="Normal 8 4 2 2 3 4" xfId="10805" xr:uid="{523F882C-18AE-4243-B8FF-A115C54EB4B5}"/>
    <cellStyle name="Normal 8 4 2 2 3 5" xfId="19252" xr:uid="{1D233135-5BCC-498B-92AB-1CAF27669585}"/>
    <cellStyle name="Normal 8 4 2 2 3 6" xfId="27699" xr:uid="{278F1224-9462-4005-8F96-0DB5BFEF50A2}"/>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17580" xr:uid="{E2406E5A-7E2B-4EA2-ABE7-B6529840BA14}"/>
    <cellStyle name="Normal 8 4 2 2 4 2 2 3" xfId="26027" xr:uid="{7A70B748-5A6B-4F76-B9AC-0F813C980315}"/>
    <cellStyle name="Normal 8 4 2 2 4 2 2 4" xfId="34474" xr:uid="{BBA5BC6C-5F17-428B-91C2-531CDA150BA5}"/>
    <cellStyle name="Normal 8 4 2 2 4 2 3" xfId="13363" xr:uid="{60AD0BF5-9B1D-4495-BAF2-C4052C8E2B8F}"/>
    <cellStyle name="Normal 8 4 2 2 4 2 4" xfId="21810" xr:uid="{E488C2D9-19CF-4663-9045-F1428EF09289}"/>
    <cellStyle name="Normal 8 4 2 2 4 2 5" xfId="30257" xr:uid="{F05EBD25-0378-4BF3-AC64-D613F3296724}"/>
    <cellStyle name="Normal 8 4 2 2 4 3" xfId="6109" xr:uid="{00000000-0005-0000-0000-0000DD1D0000}"/>
    <cellStyle name="Normal 8 4 2 2 4 3 2" xfId="15435" xr:uid="{F495325A-AE00-4DA9-A671-EDAB28C041C4}"/>
    <cellStyle name="Normal 8 4 2 2 4 3 3" xfId="23882" xr:uid="{BB2C64E7-7CA4-443C-BA0A-BDF7646C43B5}"/>
    <cellStyle name="Normal 8 4 2 2 4 3 4" xfId="32329" xr:uid="{0CD76F61-BB37-404A-8AC6-E0C3794E1B99}"/>
    <cellStyle name="Normal 8 4 2 2 4 4" xfId="11218" xr:uid="{EC8AB332-7E90-43E9-8B1D-75DEEC7107FC}"/>
    <cellStyle name="Normal 8 4 2 2 4 5" xfId="19665" xr:uid="{275602D8-0F64-4817-A922-DCD4BF54EE66}"/>
    <cellStyle name="Normal 8 4 2 2 4 6" xfId="28112" xr:uid="{FC1466F9-D504-4AFD-B859-2AB7B871A5F5}"/>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17993" xr:uid="{3ED1EEF2-9EEF-433E-A440-A022108BF3DB}"/>
    <cellStyle name="Normal 8 4 2 2 5 2 2 3" xfId="26440" xr:uid="{C9B14C94-3C34-45C1-ACB0-D90F11B5C799}"/>
    <cellStyle name="Normal 8 4 2 2 5 2 2 4" xfId="34887" xr:uid="{1C0C51D2-8897-4919-AA41-BB630EAC4512}"/>
    <cellStyle name="Normal 8 4 2 2 5 2 3" xfId="13776" xr:uid="{FC1A4648-32B9-4FA9-9AFF-B69DB88C2EFC}"/>
    <cellStyle name="Normal 8 4 2 2 5 2 4" xfId="22223" xr:uid="{AEFE1928-D6FD-462D-ADAB-D6872D046318}"/>
    <cellStyle name="Normal 8 4 2 2 5 2 5" xfId="30670" xr:uid="{FA7AF665-6F52-4BB1-BADE-4868BCE76948}"/>
    <cellStyle name="Normal 8 4 2 2 5 3" xfId="6522" xr:uid="{00000000-0005-0000-0000-0000E11D0000}"/>
    <cellStyle name="Normal 8 4 2 2 5 3 2" xfId="15848" xr:uid="{C1F3FA0B-57E8-4E3E-987B-90B790D86E2C}"/>
    <cellStyle name="Normal 8 4 2 2 5 3 3" xfId="24295" xr:uid="{E7721ED0-BDA1-4619-9E66-7C7AB2403005}"/>
    <cellStyle name="Normal 8 4 2 2 5 3 4" xfId="32742" xr:uid="{F571BB30-CAC5-472A-AB49-7B98B82B9955}"/>
    <cellStyle name="Normal 8 4 2 2 5 4" xfId="11631" xr:uid="{E162E4D4-D295-4774-8417-EB6CD8085D28}"/>
    <cellStyle name="Normal 8 4 2 2 5 5" xfId="20078" xr:uid="{D6FA46F5-608C-41F6-9792-6080B0577AB7}"/>
    <cellStyle name="Normal 8 4 2 2 5 6" xfId="28525" xr:uid="{8876ECA6-24A5-409E-A508-703D0A2605B3}"/>
    <cellStyle name="Normal 8 4 2 2 6" xfId="2652" xr:uid="{00000000-0005-0000-0000-0000E21D0000}"/>
    <cellStyle name="Normal 8 4 2 2 6 2" xfId="6935" xr:uid="{00000000-0005-0000-0000-0000E31D0000}"/>
    <cellStyle name="Normal 8 4 2 2 6 2 2" xfId="16261" xr:uid="{ACC72F62-E671-4328-86C1-06ED1DB6E669}"/>
    <cellStyle name="Normal 8 4 2 2 6 2 3" xfId="24708" xr:uid="{F84188B2-700D-4536-B258-EF4CAD8D5E12}"/>
    <cellStyle name="Normal 8 4 2 2 6 2 4" xfId="33155" xr:uid="{A34809D9-C6A5-41DA-A47A-547DB8E8AAA9}"/>
    <cellStyle name="Normal 8 4 2 2 6 3" xfId="12044" xr:uid="{92106C32-8485-4E3C-84BD-25937C9D2166}"/>
    <cellStyle name="Normal 8 4 2 2 6 4" xfId="20491" xr:uid="{1BA49BED-E631-4E4D-8C32-8D92C563009A}"/>
    <cellStyle name="Normal 8 4 2 2 6 5" xfId="28938" xr:uid="{3868A656-1660-4C66-9923-3CE46E19DDFB}"/>
    <cellStyle name="Normal 8 4 2 2 7" xfId="4870" xr:uid="{00000000-0005-0000-0000-0000E41D0000}"/>
    <cellStyle name="Normal 8 4 2 2 7 2" xfId="14196" xr:uid="{F6431266-93EB-46B8-917A-F0DBDE8F7C32}"/>
    <cellStyle name="Normal 8 4 2 2 7 3" xfId="22643" xr:uid="{05A30DB8-A2D5-4E74-9898-B139393D2495}"/>
    <cellStyle name="Normal 8 4 2 2 7 4" xfId="31090" xr:uid="{842B0E9E-F9A3-45F6-A575-06D79D070FEF}"/>
    <cellStyle name="Normal 8 4 2 2 8" xfId="9144" xr:uid="{EF6B0978-3DE8-47DC-990C-0B47AAC8F1DC}"/>
    <cellStyle name="Normal 8 4 2 2 9" xfId="9979" xr:uid="{84E27066-5D47-49C6-BF87-ED2BE8BADC0A}"/>
    <cellStyle name="Normal 8 4 2 3" xfId="971" xr:uid="{00000000-0005-0000-0000-0000E51D0000}"/>
    <cellStyle name="Normal 8 4 2 3 2" xfId="3205" xr:uid="{00000000-0005-0000-0000-0000E61D0000}"/>
    <cellStyle name="Normal 8 4 2 3 2 2" xfId="7427" xr:uid="{00000000-0005-0000-0000-0000E71D0000}"/>
    <cellStyle name="Normal 8 4 2 3 2 2 2" xfId="16753" xr:uid="{EC93EE7A-897C-41C2-8C00-D6ACEC833416}"/>
    <cellStyle name="Normal 8 4 2 3 2 2 3" xfId="25200" xr:uid="{EEC32B80-CD70-40CC-B985-33E72AC81E7A}"/>
    <cellStyle name="Normal 8 4 2 3 2 2 4" xfId="33647" xr:uid="{8C844FA9-0914-4E5F-92C9-490D7AE9C73B}"/>
    <cellStyle name="Normal 8 4 2 3 2 3" xfId="12536" xr:uid="{4BEF328D-3289-465D-94EC-3447E6B130A5}"/>
    <cellStyle name="Normal 8 4 2 3 2 4" xfId="20983" xr:uid="{AB44FCF6-C537-4F63-AA7B-715DC5DDDF94}"/>
    <cellStyle name="Normal 8 4 2 3 2 5" xfId="29430" xr:uid="{375BBFF9-A94B-4EE5-A2EF-017A82F641D2}"/>
    <cellStyle name="Normal 8 4 2 3 3" xfId="5282" xr:uid="{00000000-0005-0000-0000-0000E81D0000}"/>
    <cellStyle name="Normal 8 4 2 3 3 2" xfId="14608" xr:uid="{7A9FAE61-74DC-403A-997C-4E6AB1039CC6}"/>
    <cellStyle name="Normal 8 4 2 3 3 3" xfId="23055" xr:uid="{6834D308-5ED9-44F1-A780-88F0C3DC87F9}"/>
    <cellStyle name="Normal 8 4 2 3 3 4" xfId="31502" xr:uid="{C32F77BF-B59F-4160-92D7-F9C4FD3AD82E}"/>
    <cellStyle name="Normal 8 4 2 3 4" xfId="9362" xr:uid="{206856BB-FDDB-4012-ABFE-5E991E477A14}"/>
    <cellStyle name="Normal 8 4 2 3 5" xfId="10391" xr:uid="{F1EE6C78-96B1-4C32-A921-68167AF2B4A8}"/>
    <cellStyle name="Normal 8 4 2 3 6" xfId="18838" xr:uid="{AD3AA772-CA4F-4368-AE1B-0C21B14C3C98}"/>
    <cellStyle name="Normal 8 4 2 3 7" xfId="27285" xr:uid="{97C67FF8-3A64-4E79-B260-03B4E4F5A39D}"/>
    <cellStyle name="Normal 8 4 2 4" xfId="1388" xr:uid="{00000000-0005-0000-0000-0000E91D0000}"/>
    <cellStyle name="Normal 8 4 2 4 2" xfId="3618" xr:uid="{00000000-0005-0000-0000-0000EA1D0000}"/>
    <cellStyle name="Normal 8 4 2 4 2 2" xfId="7840" xr:uid="{00000000-0005-0000-0000-0000EB1D0000}"/>
    <cellStyle name="Normal 8 4 2 4 2 2 2" xfId="17166" xr:uid="{196BA5DF-5D08-4D49-A2AB-59C115F376D8}"/>
    <cellStyle name="Normal 8 4 2 4 2 2 3" xfId="25613" xr:uid="{DD3CE911-A314-4B8C-9E7F-432B17AEB39C}"/>
    <cellStyle name="Normal 8 4 2 4 2 2 4" xfId="34060" xr:uid="{B14B8195-EB15-4BDB-A81B-42CB20F2DDE7}"/>
    <cellStyle name="Normal 8 4 2 4 2 3" xfId="12949" xr:uid="{D232A210-AE53-4BD2-9CB4-935A8035D809}"/>
    <cellStyle name="Normal 8 4 2 4 2 4" xfId="21396" xr:uid="{F8E0FE43-5E44-429A-AA0D-23F358787C3D}"/>
    <cellStyle name="Normal 8 4 2 4 2 5" xfId="29843" xr:uid="{22DFEDEE-CD2E-4495-9862-6867BDBFB839}"/>
    <cellStyle name="Normal 8 4 2 4 3" xfId="5695" xr:uid="{00000000-0005-0000-0000-0000EC1D0000}"/>
    <cellStyle name="Normal 8 4 2 4 3 2" xfId="15021" xr:uid="{2363B189-EF4D-47CE-83DC-651A73B3C884}"/>
    <cellStyle name="Normal 8 4 2 4 3 3" xfId="23468" xr:uid="{F6452DD6-A580-47B3-9494-73D6C3FF119D}"/>
    <cellStyle name="Normal 8 4 2 4 3 4" xfId="31915" xr:uid="{41D738ED-9F89-484C-9158-BC6D17238102}"/>
    <cellStyle name="Normal 8 4 2 4 4" xfId="10804" xr:uid="{0A0298D2-6364-47BA-9D33-21D4C5FD7BEA}"/>
    <cellStyle name="Normal 8 4 2 4 5" xfId="19251" xr:uid="{F23A3316-C531-4C77-B1E3-C59BA356CEFC}"/>
    <cellStyle name="Normal 8 4 2 4 6" xfId="27698" xr:uid="{22878CE9-7640-4419-B606-A6D73894A466}"/>
    <cellStyle name="Normal 8 4 2 5" xfId="1801" xr:uid="{00000000-0005-0000-0000-0000ED1D0000}"/>
    <cellStyle name="Normal 8 4 2 5 2" xfId="4031" xr:uid="{00000000-0005-0000-0000-0000EE1D0000}"/>
    <cellStyle name="Normal 8 4 2 5 2 2" xfId="8253" xr:uid="{00000000-0005-0000-0000-0000EF1D0000}"/>
    <cellStyle name="Normal 8 4 2 5 2 2 2" xfId="17579" xr:uid="{EA5FFC08-E79F-469D-953D-0C1EB0D55891}"/>
    <cellStyle name="Normal 8 4 2 5 2 2 3" xfId="26026" xr:uid="{EEA32831-4052-4157-8AF0-DE1AA23E1A3D}"/>
    <cellStyle name="Normal 8 4 2 5 2 2 4" xfId="34473" xr:uid="{539A2FE3-6EDF-4405-BF45-938F675654CC}"/>
    <cellStyle name="Normal 8 4 2 5 2 3" xfId="13362" xr:uid="{B43B84C6-949D-4DF5-AD99-A443A5491BDF}"/>
    <cellStyle name="Normal 8 4 2 5 2 4" xfId="21809" xr:uid="{6A6FCCBD-6039-4BC5-8CF4-C80D096A4DCD}"/>
    <cellStyle name="Normal 8 4 2 5 2 5" xfId="30256" xr:uid="{9575E1F1-238C-4983-8853-F5B7109E5FCF}"/>
    <cellStyle name="Normal 8 4 2 5 3" xfId="6108" xr:uid="{00000000-0005-0000-0000-0000F01D0000}"/>
    <cellStyle name="Normal 8 4 2 5 3 2" xfId="15434" xr:uid="{D9578923-A6E5-47E5-8396-A926248FBDB6}"/>
    <cellStyle name="Normal 8 4 2 5 3 3" xfId="23881" xr:uid="{114402AF-52C9-4D9B-91D5-B40FBCBB04D2}"/>
    <cellStyle name="Normal 8 4 2 5 3 4" xfId="32328" xr:uid="{E3991DA1-E551-4730-A4EC-9C4891DEF73F}"/>
    <cellStyle name="Normal 8 4 2 5 4" xfId="11217" xr:uid="{D4B02724-ECE1-4621-8AA9-AD69E14BD18B}"/>
    <cellStyle name="Normal 8 4 2 5 5" xfId="19664" xr:uid="{BB602D19-7402-4037-ADDD-5A50C8D01A9E}"/>
    <cellStyle name="Normal 8 4 2 5 6" xfId="28111" xr:uid="{E07E3F9A-1E7A-475F-99DF-413C7D0EE24F}"/>
    <cellStyle name="Normal 8 4 2 6" xfId="2215" xr:uid="{00000000-0005-0000-0000-0000F11D0000}"/>
    <cellStyle name="Normal 8 4 2 6 2" xfId="4444" xr:uid="{00000000-0005-0000-0000-0000F21D0000}"/>
    <cellStyle name="Normal 8 4 2 6 2 2" xfId="8666" xr:uid="{00000000-0005-0000-0000-0000F31D0000}"/>
    <cellStyle name="Normal 8 4 2 6 2 2 2" xfId="17992" xr:uid="{CD9FA623-0CB7-4E42-AE0F-F4E97999C501}"/>
    <cellStyle name="Normal 8 4 2 6 2 2 3" xfId="26439" xr:uid="{F453D9B9-F383-426B-B704-C921155DA5FA}"/>
    <cellStyle name="Normal 8 4 2 6 2 2 4" xfId="34886" xr:uid="{E88D1581-6666-4C06-8BE1-96BC51C26D3A}"/>
    <cellStyle name="Normal 8 4 2 6 2 3" xfId="13775" xr:uid="{C499A709-971C-442D-9A9E-39A6225A4AAB}"/>
    <cellStyle name="Normal 8 4 2 6 2 4" xfId="22222" xr:uid="{98571EBA-D880-4FAF-86EB-DD0511D96001}"/>
    <cellStyle name="Normal 8 4 2 6 2 5" xfId="30669" xr:uid="{69C9A388-1647-4EB4-8DA7-A761AA03BEC6}"/>
    <cellStyle name="Normal 8 4 2 6 3" xfId="6521" xr:uid="{00000000-0005-0000-0000-0000F41D0000}"/>
    <cellStyle name="Normal 8 4 2 6 3 2" xfId="15847" xr:uid="{E789773C-136B-416D-82D3-AF38837C2AD9}"/>
    <cellStyle name="Normal 8 4 2 6 3 3" xfId="24294" xr:uid="{7A82C769-3CB1-4175-BB3A-C0837F227B7B}"/>
    <cellStyle name="Normal 8 4 2 6 3 4" xfId="32741" xr:uid="{4C070143-72F1-41CA-97D3-06AEFEB825BB}"/>
    <cellStyle name="Normal 8 4 2 6 4" xfId="11630" xr:uid="{9D25A8D0-89BE-429E-831D-970889EF2A19}"/>
    <cellStyle name="Normal 8 4 2 6 5" xfId="20077" xr:uid="{4EAC30D6-6594-4193-89E0-E15AD6E7F1A4}"/>
    <cellStyle name="Normal 8 4 2 6 6" xfId="28524" xr:uid="{1BD2398D-84C6-4A43-9291-946AC7F14B3E}"/>
    <cellStyle name="Normal 8 4 2 7" xfId="2651" xr:uid="{00000000-0005-0000-0000-0000F51D0000}"/>
    <cellStyle name="Normal 8 4 2 7 2" xfId="6934" xr:uid="{00000000-0005-0000-0000-0000F61D0000}"/>
    <cellStyle name="Normal 8 4 2 7 2 2" xfId="16260" xr:uid="{F131660E-68EC-4E79-B330-831893782A11}"/>
    <cellStyle name="Normal 8 4 2 7 2 3" xfId="24707" xr:uid="{88206C41-B610-40A7-A81C-7924BABFE7D0}"/>
    <cellStyle name="Normal 8 4 2 7 2 4" xfId="33154" xr:uid="{BDB6E9E3-838F-45AB-890F-85B5180BF724}"/>
    <cellStyle name="Normal 8 4 2 7 3" xfId="12043" xr:uid="{934B6874-EBF7-4236-96AE-6C8E1277E3A5}"/>
    <cellStyle name="Normal 8 4 2 7 4" xfId="20490" xr:uid="{B7BB481F-ABB2-41FC-B933-E8862D77F6F2}"/>
    <cellStyle name="Normal 8 4 2 7 5" xfId="28937" xr:uid="{C55FF211-6D08-410D-B8EF-04DB46138C1A}"/>
    <cellStyle name="Normal 8 4 2 8" xfId="4869" xr:uid="{00000000-0005-0000-0000-0000F71D0000}"/>
    <cellStyle name="Normal 8 4 2 8 2" xfId="14195" xr:uid="{A1680B77-615A-4C64-A54D-16C24F2A1FFA}"/>
    <cellStyle name="Normal 8 4 2 8 3" xfId="22642" xr:uid="{9BC57CF0-5E6E-4394-A85E-A75F4F4D6F7A}"/>
    <cellStyle name="Normal 8 4 2 8 4" xfId="31089" xr:uid="{44A5B38C-4B47-49CC-8027-624D967A2EE1}"/>
    <cellStyle name="Normal 8 4 2 9" xfId="8937" xr:uid="{B425CDA4-C1C1-4A6C-AB85-CE28E324A88F}"/>
    <cellStyle name="Normal 8 4 3" xfId="506" xr:uid="{00000000-0005-0000-0000-0000F81D0000}"/>
    <cellStyle name="Normal 8 4 3 10" xfId="18427" xr:uid="{71FC464F-1948-4624-9357-7A0697998B01}"/>
    <cellStyle name="Normal 8 4 3 11" xfId="26874" xr:uid="{42471058-76CF-4F36-8EAF-FB3D1CEC767E}"/>
    <cellStyle name="Normal 8 4 3 2" xfId="973" xr:uid="{00000000-0005-0000-0000-0000F91D0000}"/>
    <cellStyle name="Normal 8 4 3 2 2" xfId="3207" xr:uid="{00000000-0005-0000-0000-0000FA1D0000}"/>
    <cellStyle name="Normal 8 4 3 2 2 2" xfId="7429" xr:uid="{00000000-0005-0000-0000-0000FB1D0000}"/>
    <cellStyle name="Normal 8 4 3 2 2 2 2" xfId="16755" xr:uid="{649E4C25-C0E6-4E0B-950F-50E5EEAA4DC1}"/>
    <cellStyle name="Normal 8 4 3 2 2 2 3" xfId="25202" xr:uid="{3C0015A5-1271-492D-A107-6695D9CAAE49}"/>
    <cellStyle name="Normal 8 4 3 2 2 2 4" xfId="33649" xr:uid="{35F64FE9-965A-4F80-B1CA-C58CB671C059}"/>
    <cellStyle name="Normal 8 4 3 2 2 3" xfId="12538" xr:uid="{C18B12B6-0E90-4377-9F19-102ABF2D2C22}"/>
    <cellStyle name="Normal 8 4 3 2 2 4" xfId="20985" xr:uid="{5871698B-BA4C-4CEE-89EC-0A8B607F5D10}"/>
    <cellStyle name="Normal 8 4 3 2 2 5" xfId="29432" xr:uid="{FF2EE58B-70A7-4B4F-B0E2-E8276B73DC5E}"/>
    <cellStyle name="Normal 8 4 3 2 3" xfId="5284" xr:uid="{00000000-0005-0000-0000-0000FC1D0000}"/>
    <cellStyle name="Normal 8 4 3 2 3 2" xfId="14610" xr:uid="{C74439D8-611C-4726-A401-1057C3322A35}"/>
    <cellStyle name="Normal 8 4 3 2 3 3" xfId="23057" xr:uid="{FCC11B55-EFC3-473A-8FA2-2AD4C05E09E5}"/>
    <cellStyle name="Normal 8 4 3 2 3 4" xfId="31504" xr:uid="{AF36EBC2-6421-4D54-ADD2-179DAEA16950}"/>
    <cellStyle name="Normal 8 4 3 2 4" xfId="9466" xr:uid="{4C42748F-6D34-4D0D-8AE2-FFD5C0CBE26F}"/>
    <cellStyle name="Normal 8 4 3 2 5" xfId="10393" xr:uid="{E952D713-F584-455A-877E-AAAE9358DB56}"/>
    <cellStyle name="Normal 8 4 3 2 6" xfId="18840" xr:uid="{056CBA26-6F89-469E-A46E-1DBF8B2E2437}"/>
    <cellStyle name="Normal 8 4 3 2 7" xfId="27287" xr:uid="{97F11A91-5725-4110-8890-AA0261A61C3F}"/>
    <cellStyle name="Normal 8 4 3 3" xfId="1390" xr:uid="{00000000-0005-0000-0000-0000FD1D0000}"/>
    <cellStyle name="Normal 8 4 3 3 2" xfId="3620" xr:uid="{00000000-0005-0000-0000-0000FE1D0000}"/>
    <cellStyle name="Normal 8 4 3 3 2 2" xfId="7842" xr:uid="{00000000-0005-0000-0000-0000FF1D0000}"/>
    <cellStyle name="Normal 8 4 3 3 2 2 2" xfId="17168" xr:uid="{D3567C5A-47FC-45FA-98A9-1000A66D3E42}"/>
    <cellStyle name="Normal 8 4 3 3 2 2 3" xfId="25615" xr:uid="{705CF14C-3D05-42CC-90BE-EFA6309B890F}"/>
    <cellStyle name="Normal 8 4 3 3 2 2 4" xfId="34062" xr:uid="{89627BCB-ECC5-44F2-AB70-ACB20B2E14CA}"/>
    <cellStyle name="Normal 8 4 3 3 2 3" xfId="12951" xr:uid="{C19B1FD2-EF69-4DC6-9B8B-319DC8C0119D}"/>
    <cellStyle name="Normal 8 4 3 3 2 4" xfId="21398" xr:uid="{A89798A6-A68E-4C0C-B27A-D43887E62304}"/>
    <cellStyle name="Normal 8 4 3 3 2 5" xfId="29845" xr:uid="{92B45BA9-CF59-4B7B-8FF0-5944821FFD61}"/>
    <cellStyle name="Normal 8 4 3 3 3" xfId="5697" xr:uid="{00000000-0005-0000-0000-0000001E0000}"/>
    <cellStyle name="Normal 8 4 3 3 3 2" xfId="15023" xr:uid="{C5D9147F-077C-47C9-BA88-C5EC6551CF3D}"/>
    <cellStyle name="Normal 8 4 3 3 3 3" xfId="23470" xr:uid="{29CFDB86-F2F3-4FD4-B64D-444A3730CCE6}"/>
    <cellStyle name="Normal 8 4 3 3 3 4" xfId="31917" xr:uid="{907A40AA-7C57-40A0-A3C2-3F37F8C0300D}"/>
    <cellStyle name="Normal 8 4 3 3 4" xfId="10806" xr:uid="{4B136C57-2378-49B1-9C7C-F3E7727E42F4}"/>
    <cellStyle name="Normal 8 4 3 3 5" xfId="19253" xr:uid="{76999722-DAC4-4039-91BB-F90265D11453}"/>
    <cellStyle name="Normal 8 4 3 3 6" xfId="27700" xr:uid="{AD1DF9E9-0D27-4D13-A56F-5F2A5685F609}"/>
    <cellStyle name="Normal 8 4 3 4" xfId="1803" xr:uid="{00000000-0005-0000-0000-0000011E0000}"/>
    <cellStyle name="Normal 8 4 3 4 2" xfId="4033" xr:uid="{00000000-0005-0000-0000-0000021E0000}"/>
    <cellStyle name="Normal 8 4 3 4 2 2" xfId="8255" xr:uid="{00000000-0005-0000-0000-0000031E0000}"/>
    <cellStyle name="Normal 8 4 3 4 2 2 2" xfId="17581" xr:uid="{C23EE16D-AA56-49FC-9BB2-EFE3FD52BC77}"/>
    <cellStyle name="Normal 8 4 3 4 2 2 3" xfId="26028" xr:uid="{F5166EDF-744E-43BA-AF3A-A97E47EE3046}"/>
    <cellStyle name="Normal 8 4 3 4 2 2 4" xfId="34475" xr:uid="{2C39712D-0F68-47B9-BCCF-019793CDCC51}"/>
    <cellStyle name="Normal 8 4 3 4 2 3" xfId="13364" xr:uid="{35ECC693-53DB-4072-B116-38326D472748}"/>
    <cellStyle name="Normal 8 4 3 4 2 4" xfId="21811" xr:uid="{0AAE1C4B-42EB-4402-B27A-8052F97938AD}"/>
    <cellStyle name="Normal 8 4 3 4 2 5" xfId="30258" xr:uid="{14BC0AB7-1006-4E31-A6AE-DCAE817D94F3}"/>
    <cellStyle name="Normal 8 4 3 4 3" xfId="6110" xr:uid="{00000000-0005-0000-0000-0000041E0000}"/>
    <cellStyle name="Normal 8 4 3 4 3 2" xfId="15436" xr:uid="{57E9E3FD-19F4-45FD-90D1-265F87ADFC11}"/>
    <cellStyle name="Normal 8 4 3 4 3 3" xfId="23883" xr:uid="{8B2A5AD3-457A-4B00-9F0C-0DBE030ED3F9}"/>
    <cellStyle name="Normal 8 4 3 4 3 4" xfId="32330" xr:uid="{1F96F4B0-87FE-43E2-82C5-30593B465060}"/>
    <cellStyle name="Normal 8 4 3 4 4" xfId="11219" xr:uid="{8A67D645-BDC8-4F1E-9FB8-64246FAD1178}"/>
    <cellStyle name="Normal 8 4 3 4 5" xfId="19666" xr:uid="{059F817D-8F05-4943-BD42-C930AFC7D3BE}"/>
    <cellStyle name="Normal 8 4 3 4 6" xfId="28113" xr:uid="{5E7681CC-906F-4E3E-985B-9D5DC9C40F33}"/>
    <cellStyle name="Normal 8 4 3 5" xfId="2217" xr:uid="{00000000-0005-0000-0000-0000051E0000}"/>
    <cellStyle name="Normal 8 4 3 5 2" xfId="4446" xr:uid="{00000000-0005-0000-0000-0000061E0000}"/>
    <cellStyle name="Normal 8 4 3 5 2 2" xfId="8668" xr:uid="{00000000-0005-0000-0000-0000071E0000}"/>
    <cellStyle name="Normal 8 4 3 5 2 2 2" xfId="17994" xr:uid="{644C1485-CFB2-44D7-B866-5C28DB21F5CC}"/>
    <cellStyle name="Normal 8 4 3 5 2 2 3" xfId="26441" xr:uid="{9C673A2B-9133-435D-A815-43FFC9CED413}"/>
    <cellStyle name="Normal 8 4 3 5 2 2 4" xfId="34888" xr:uid="{33B62FC1-D795-4DD2-8D0A-E0180EE59A47}"/>
    <cellStyle name="Normal 8 4 3 5 2 3" xfId="13777" xr:uid="{3CAC10FC-1F1E-424D-AF24-94C4638D4B1F}"/>
    <cellStyle name="Normal 8 4 3 5 2 4" xfId="22224" xr:uid="{CE5605B2-82F8-4447-862E-458B54366D03}"/>
    <cellStyle name="Normal 8 4 3 5 2 5" xfId="30671" xr:uid="{2E18FCE4-BEEB-43A3-AE68-FBDFC73A1879}"/>
    <cellStyle name="Normal 8 4 3 5 3" xfId="6523" xr:uid="{00000000-0005-0000-0000-0000081E0000}"/>
    <cellStyle name="Normal 8 4 3 5 3 2" xfId="15849" xr:uid="{DB2CF69A-A6C6-4053-9004-BAEDB4DBED54}"/>
    <cellStyle name="Normal 8 4 3 5 3 3" xfId="24296" xr:uid="{0A52888A-364A-4611-B57C-04D5F1944B3A}"/>
    <cellStyle name="Normal 8 4 3 5 3 4" xfId="32743" xr:uid="{88677FFE-D0D5-4B9F-8A00-3F6AD9E6C5E0}"/>
    <cellStyle name="Normal 8 4 3 5 4" xfId="11632" xr:uid="{ECD40101-B14A-4B75-AF51-A03FA73ACB37}"/>
    <cellStyle name="Normal 8 4 3 5 5" xfId="20079" xr:uid="{8A74D795-8DB8-4316-BCDA-4E94ECB199CD}"/>
    <cellStyle name="Normal 8 4 3 5 6" xfId="28526" xr:uid="{F712292D-FFB0-4454-8617-0ABF24403885}"/>
    <cellStyle name="Normal 8 4 3 6" xfId="2653" xr:uid="{00000000-0005-0000-0000-0000091E0000}"/>
    <cellStyle name="Normal 8 4 3 6 2" xfId="6936" xr:uid="{00000000-0005-0000-0000-00000A1E0000}"/>
    <cellStyle name="Normal 8 4 3 6 2 2" xfId="16262" xr:uid="{80E97617-7131-49CD-8E86-DF34093BF6B1}"/>
    <cellStyle name="Normal 8 4 3 6 2 3" xfId="24709" xr:uid="{D3D04DC8-E7D6-4D7B-8584-96E41904D74F}"/>
    <cellStyle name="Normal 8 4 3 6 2 4" xfId="33156" xr:uid="{05F78025-A3C8-48E5-99DB-6774548C38BA}"/>
    <cellStyle name="Normal 8 4 3 6 3" xfId="12045" xr:uid="{E927415D-C157-4B8A-9637-F6CD2B86C1B0}"/>
    <cellStyle name="Normal 8 4 3 6 4" xfId="20492" xr:uid="{C8173CE5-D56C-4557-B314-D6E0FAD299B4}"/>
    <cellStyle name="Normal 8 4 3 6 5" xfId="28939" xr:uid="{FABA6B66-F79B-4702-B000-CA116987EC96}"/>
    <cellStyle name="Normal 8 4 3 7" xfId="4871" xr:uid="{00000000-0005-0000-0000-00000B1E0000}"/>
    <cellStyle name="Normal 8 4 3 7 2" xfId="14197" xr:uid="{79334A12-F9BE-4E15-8A2E-14A3FB0EF27D}"/>
    <cellStyle name="Normal 8 4 3 7 3" xfId="22644" xr:uid="{244405A1-0DE9-420D-869B-5AD16904F12F}"/>
    <cellStyle name="Normal 8 4 3 7 4" xfId="31091" xr:uid="{C2391CCC-224E-4793-B4A2-6E6C37B5B189}"/>
    <cellStyle name="Normal 8 4 3 8" xfId="9041" xr:uid="{3EA15F1E-D38A-4BB8-BEC6-98D9A94BB79B}"/>
    <cellStyle name="Normal 8 4 3 9" xfId="9980" xr:uid="{AADCFA2E-EA82-4DF4-852D-4114F551E166}"/>
    <cellStyle name="Normal 8 4 4" xfId="970" xr:uid="{00000000-0005-0000-0000-00000C1E0000}"/>
    <cellStyle name="Normal 8 4 4 2" xfId="3204" xr:uid="{00000000-0005-0000-0000-00000D1E0000}"/>
    <cellStyle name="Normal 8 4 4 2 2" xfId="7426" xr:uid="{00000000-0005-0000-0000-00000E1E0000}"/>
    <cellStyle name="Normal 8 4 4 2 2 2" xfId="16752" xr:uid="{E6749EB4-BA63-4C5C-AD66-B093DEA61F86}"/>
    <cellStyle name="Normal 8 4 4 2 2 3" xfId="25199" xr:uid="{D4D6BACC-9CCE-4869-81B2-9E088CD15883}"/>
    <cellStyle name="Normal 8 4 4 2 2 4" xfId="33646" xr:uid="{58F62ACF-7794-4970-ACF8-01F7BD45ADDF}"/>
    <cellStyle name="Normal 8 4 4 2 3" xfId="12535" xr:uid="{8B7127C4-384A-47F4-8C77-91A63076245C}"/>
    <cellStyle name="Normal 8 4 4 2 4" xfId="20982" xr:uid="{C5678500-3827-47B8-9D45-3C5B0053A7A1}"/>
    <cellStyle name="Normal 8 4 4 2 5" xfId="29429" xr:uid="{25662175-6391-484E-90C6-792001BF3FC9}"/>
    <cellStyle name="Normal 8 4 4 3" xfId="5281" xr:uid="{00000000-0005-0000-0000-00000F1E0000}"/>
    <cellStyle name="Normal 8 4 4 3 2" xfId="14607" xr:uid="{CC1A7A92-4323-49DA-B27B-44F5F924A10C}"/>
    <cellStyle name="Normal 8 4 4 3 3" xfId="23054" xr:uid="{39C4D9BB-C58E-4E11-A5B5-CC30BCD08A1A}"/>
    <cellStyle name="Normal 8 4 4 3 4" xfId="31501" xr:uid="{D306BA82-1331-4224-AF9D-D6E05AF63DF5}"/>
    <cellStyle name="Normal 8 4 4 4" xfId="9259" xr:uid="{45904BAA-3C39-482B-A2B6-0FB84C0B889C}"/>
    <cellStyle name="Normal 8 4 4 5" xfId="10390" xr:uid="{6C75121D-24B4-45BE-8E2A-0050C7FB020F}"/>
    <cellStyle name="Normal 8 4 4 6" xfId="18837" xr:uid="{4F3B5CA6-49CC-4A7F-B9CA-B04D4D7EF08E}"/>
    <cellStyle name="Normal 8 4 4 7" xfId="27284" xr:uid="{98B4C48F-2159-4263-9019-B0A175C4581A}"/>
    <cellStyle name="Normal 8 4 5" xfId="1387" xr:uid="{00000000-0005-0000-0000-0000101E0000}"/>
    <cellStyle name="Normal 8 4 5 2" xfId="3617" xr:uid="{00000000-0005-0000-0000-0000111E0000}"/>
    <cellStyle name="Normal 8 4 5 2 2" xfId="7839" xr:uid="{00000000-0005-0000-0000-0000121E0000}"/>
    <cellStyle name="Normal 8 4 5 2 2 2" xfId="17165" xr:uid="{FE17964B-DB4B-4B02-A8B1-1C1048E33326}"/>
    <cellStyle name="Normal 8 4 5 2 2 3" xfId="25612" xr:uid="{822C242D-583A-478E-AADF-5242C1BF8539}"/>
    <cellStyle name="Normal 8 4 5 2 2 4" xfId="34059" xr:uid="{B0BA10D2-632B-45B2-9DBA-CFF5845EFC04}"/>
    <cellStyle name="Normal 8 4 5 2 3" xfId="12948" xr:uid="{E5FFF164-FE6D-4AE6-87C2-0E23E8A7E12E}"/>
    <cellStyle name="Normal 8 4 5 2 4" xfId="21395" xr:uid="{3BF158BD-28FE-488E-84D7-3E031DF42CC6}"/>
    <cellStyle name="Normal 8 4 5 2 5" xfId="29842" xr:uid="{8C07A374-EA44-4A9C-9BEE-37DA5CDAA64D}"/>
    <cellStyle name="Normal 8 4 5 3" xfId="5694" xr:uid="{00000000-0005-0000-0000-0000131E0000}"/>
    <cellStyle name="Normal 8 4 5 3 2" xfId="15020" xr:uid="{EFAD5945-3DC0-49CA-AC15-BF97EE215C15}"/>
    <cellStyle name="Normal 8 4 5 3 3" xfId="23467" xr:uid="{A1B4FE89-F956-4987-A7B3-932217ECBA23}"/>
    <cellStyle name="Normal 8 4 5 3 4" xfId="31914" xr:uid="{3C95DDDC-80AB-4FFE-A83A-5358103531A8}"/>
    <cellStyle name="Normal 8 4 5 4" xfId="10803" xr:uid="{8E75F5E1-7C05-4877-A085-220DA37682E4}"/>
    <cellStyle name="Normal 8 4 5 5" xfId="19250" xr:uid="{066BE1AC-B07C-4288-B423-BBBA7BEB96B3}"/>
    <cellStyle name="Normal 8 4 5 6" xfId="27697" xr:uid="{93895D06-A02E-4064-95DB-D871FA6D4E1A}"/>
    <cellStyle name="Normal 8 4 6" xfId="1800" xr:uid="{00000000-0005-0000-0000-0000141E0000}"/>
    <cellStyle name="Normal 8 4 6 2" xfId="4030" xr:uid="{00000000-0005-0000-0000-0000151E0000}"/>
    <cellStyle name="Normal 8 4 6 2 2" xfId="8252" xr:uid="{00000000-0005-0000-0000-0000161E0000}"/>
    <cellStyle name="Normal 8 4 6 2 2 2" xfId="17578" xr:uid="{05416B44-7FAE-4F34-AE6E-2F36A9F616E7}"/>
    <cellStyle name="Normal 8 4 6 2 2 3" xfId="26025" xr:uid="{CBCF5457-B1C2-40C8-A1DF-B54AC107F37B}"/>
    <cellStyle name="Normal 8 4 6 2 2 4" xfId="34472" xr:uid="{942C14F4-F8A0-46AD-8681-D7A7BEDE59B2}"/>
    <cellStyle name="Normal 8 4 6 2 3" xfId="13361" xr:uid="{B9D66578-E399-40DF-9163-89C729E5B108}"/>
    <cellStyle name="Normal 8 4 6 2 4" xfId="21808" xr:uid="{4871F7B5-B1EC-4F08-A506-5EAFCDA3B1B9}"/>
    <cellStyle name="Normal 8 4 6 2 5" xfId="30255" xr:uid="{DDB7F54D-EE0E-49F5-9765-A01B010BDB0C}"/>
    <cellStyle name="Normal 8 4 6 3" xfId="6107" xr:uid="{00000000-0005-0000-0000-0000171E0000}"/>
    <cellStyle name="Normal 8 4 6 3 2" xfId="15433" xr:uid="{ECBAD1CD-1D37-46F0-8719-0A48EC1F52F4}"/>
    <cellStyle name="Normal 8 4 6 3 3" xfId="23880" xr:uid="{4E41221E-DF65-46A4-AB99-28F56FC1EA74}"/>
    <cellStyle name="Normal 8 4 6 3 4" xfId="32327" xr:uid="{0F4659A6-7BC4-4409-899A-883F41C4EC3F}"/>
    <cellStyle name="Normal 8 4 6 4" xfId="11216" xr:uid="{8955C40E-3732-4932-BCEC-3DF2F61597AA}"/>
    <cellStyle name="Normal 8 4 6 5" xfId="19663" xr:uid="{717355F8-9DE7-4D5D-8586-DA488CDBD2E1}"/>
    <cellStyle name="Normal 8 4 6 6" xfId="28110" xr:uid="{E1E63372-E7A0-4211-A99A-AC7038DB6FB5}"/>
    <cellStyle name="Normal 8 4 7" xfId="2214" xr:uid="{00000000-0005-0000-0000-0000181E0000}"/>
    <cellStyle name="Normal 8 4 7 2" xfId="4443" xr:uid="{00000000-0005-0000-0000-0000191E0000}"/>
    <cellStyle name="Normal 8 4 7 2 2" xfId="8665" xr:uid="{00000000-0005-0000-0000-00001A1E0000}"/>
    <cellStyle name="Normal 8 4 7 2 2 2" xfId="17991" xr:uid="{1929368E-CF9D-4632-8C7E-07D445BDDF79}"/>
    <cellStyle name="Normal 8 4 7 2 2 3" xfId="26438" xr:uid="{EB2751C3-0A6E-472B-A40A-26F1714CB2DA}"/>
    <cellStyle name="Normal 8 4 7 2 2 4" xfId="34885" xr:uid="{0108B9EF-EC6D-4924-9430-9E15A3A22591}"/>
    <cellStyle name="Normal 8 4 7 2 3" xfId="13774" xr:uid="{09E6463C-4070-49A2-B64B-7E0EEAE2D1F9}"/>
    <cellStyle name="Normal 8 4 7 2 4" xfId="22221" xr:uid="{0212565F-C628-4E15-9BBC-1572F792D079}"/>
    <cellStyle name="Normal 8 4 7 2 5" xfId="30668" xr:uid="{420980FE-943F-4879-9488-E8B00C6BF8C1}"/>
    <cellStyle name="Normal 8 4 7 3" xfId="6520" xr:uid="{00000000-0005-0000-0000-00001B1E0000}"/>
    <cellStyle name="Normal 8 4 7 3 2" xfId="15846" xr:uid="{CF9E458C-A1A9-41D0-B67D-8727C5B0AF17}"/>
    <cellStyle name="Normal 8 4 7 3 3" xfId="24293" xr:uid="{0103EF10-BCE6-49C6-9415-AF959BA1624A}"/>
    <cellStyle name="Normal 8 4 7 3 4" xfId="32740" xr:uid="{811A7F1F-82BB-4A19-9C40-9FC03AAD1B15}"/>
    <cellStyle name="Normal 8 4 7 4" xfId="11629" xr:uid="{864DDC1A-0CA8-45DB-94C6-7BF805781E6E}"/>
    <cellStyle name="Normal 8 4 7 5" xfId="20076" xr:uid="{930D5CC0-16E0-4177-ADAE-97876230D112}"/>
    <cellStyle name="Normal 8 4 7 6" xfId="28523" xr:uid="{E4830295-82B9-4369-A7D6-2689DECC82B2}"/>
    <cellStyle name="Normal 8 4 8" xfId="2650" xr:uid="{00000000-0005-0000-0000-00001C1E0000}"/>
    <cellStyle name="Normal 8 4 8 2" xfId="6933" xr:uid="{00000000-0005-0000-0000-00001D1E0000}"/>
    <cellStyle name="Normal 8 4 8 2 2" xfId="16259" xr:uid="{50FCBCFE-1FE1-4AF7-A53D-909193CDAB46}"/>
    <cellStyle name="Normal 8 4 8 2 3" xfId="24706" xr:uid="{7B87BC88-6B32-411A-AAE9-C4BF27C2D6C3}"/>
    <cellStyle name="Normal 8 4 8 2 4" xfId="33153" xr:uid="{00AB6ECB-1962-4F9E-92F9-CA5C14BD0A6C}"/>
    <cellStyle name="Normal 8 4 8 3" xfId="12042" xr:uid="{5270B2F7-2802-44E9-8D94-1BC314205150}"/>
    <cellStyle name="Normal 8 4 8 4" xfId="20489" xr:uid="{9B71FD9E-9F1C-4CC6-A2FC-2A5194F9BF54}"/>
    <cellStyle name="Normal 8 4 8 5" xfId="28936" xr:uid="{8A7569C8-6431-4B90-BC7C-7B9A946F8869}"/>
    <cellStyle name="Normal 8 4 9" xfId="4868" xr:uid="{00000000-0005-0000-0000-00001E1E0000}"/>
    <cellStyle name="Normal 8 4 9 2" xfId="14194" xr:uid="{B2BBE065-3973-4895-8183-36DE8918ECCE}"/>
    <cellStyle name="Normal 8 4 9 3" xfId="22641" xr:uid="{8B472433-8EFD-409D-8B31-8FB0783F3804}"/>
    <cellStyle name="Normal 8 4 9 4" xfId="31088" xr:uid="{743AD970-C90F-41BF-AE16-EC1F26A4FF99}"/>
    <cellStyle name="Normal 8 5" xfId="507" xr:uid="{00000000-0005-0000-0000-00001F1E0000}"/>
    <cellStyle name="Normal 8 5 10" xfId="9981" xr:uid="{F5160C84-DAA9-473B-8E2B-7496D10C51D2}"/>
    <cellStyle name="Normal 8 5 11" xfId="18428" xr:uid="{D91E7F5A-BFC9-47A2-9FA1-D6C8FACD024F}"/>
    <cellStyle name="Normal 8 5 12" xfId="26875" xr:uid="{BF7D0B02-0646-4E83-915D-363E50BB693B}"/>
    <cellStyle name="Normal 8 5 2" xfId="508" xr:uid="{00000000-0005-0000-0000-0000201E0000}"/>
    <cellStyle name="Normal 8 5 2 10" xfId="18429" xr:uid="{C90FF96D-A9D9-4380-B923-DD5B6233F520}"/>
    <cellStyle name="Normal 8 5 2 11" xfId="26876" xr:uid="{A8989467-6279-43C1-9A29-29C98F867ABE}"/>
    <cellStyle name="Normal 8 5 2 2" xfId="975" xr:uid="{00000000-0005-0000-0000-0000211E0000}"/>
    <cellStyle name="Normal 8 5 2 2 2" xfId="3209" xr:uid="{00000000-0005-0000-0000-0000221E0000}"/>
    <cellStyle name="Normal 8 5 2 2 2 2" xfId="7431" xr:uid="{00000000-0005-0000-0000-0000231E0000}"/>
    <cellStyle name="Normal 8 5 2 2 2 2 2" xfId="16757" xr:uid="{C7E03C12-EE1F-4AD7-AF23-83F86D4352E6}"/>
    <cellStyle name="Normal 8 5 2 2 2 2 3" xfId="25204" xr:uid="{8C6E595C-C975-4FCF-87C3-1AF64F6F8DC6}"/>
    <cellStyle name="Normal 8 5 2 2 2 2 4" xfId="33651" xr:uid="{5DB7F5B5-F345-4344-A402-7310182AA3C5}"/>
    <cellStyle name="Normal 8 5 2 2 2 3" xfId="12540" xr:uid="{D41FBE55-DA9C-4AAB-94DC-CBCA37399F8D}"/>
    <cellStyle name="Normal 8 5 2 2 2 4" xfId="20987" xr:uid="{BB7E658E-0D03-4477-BCBC-8E45649623D2}"/>
    <cellStyle name="Normal 8 5 2 2 2 5" xfId="29434" xr:uid="{FC232C92-28B8-49B0-9C9E-7F89399E7409}"/>
    <cellStyle name="Normal 8 5 2 2 3" xfId="5286" xr:uid="{00000000-0005-0000-0000-0000241E0000}"/>
    <cellStyle name="Normal 8 5 2 2 3 2" xfId="14612" xr:uid="{26A6399A-9359-4D75-95E7-37FA509873B8}"/>
    <cellStyle name="Normal 8 5 2 2 3 3" xfId="23059" xr:uid="{01663B8C-49BF-4DEB-9928-9C79E207528F}"/>
    <cellStyle name="Normal 8 5 2 2 3 4" xfId="31506" xr:uid="{E83D133B-B57C-4CD4-B968-26024079DE2F}"/>
    <cellStyle name="Normal 8 5 2 2 4" xfId="9477" xr:uid="{62ED1F43-6081-4B0B-94C3-5999D37D11C7}"/>
    <cellStyle name="Normal 8 5 2 2 5" xfId="10395" xr:uid="{337C89AC-89F5-4918-88A2-0902A4A551B3}"/>
    <cellStyle name="Normal 8 5 2 2 6" xfId="18842" xr:uid="{E62B6F39-1AB5-40F1-9C92-D77919CDDB67}"/>
    <cellStyle name="Normal 8 5 2 2 7" xfId="27289" xr:uid="{79FCE186-17D5-4800-9CC7-DDBA59342C73}"/>
    <cellStyle name="Normal 8 5 2 3" xfId="1392" xr:uid="{00000000-0005-0000-0000-0000251E0000}"/>
    <cellStyle name="Normal 8 5 2 3 2" xfId="3622" xr:uid="{00000000-0005-0000-0000-0000261E0000}"/>
    <cellStyle name="Normal 8 5 2 3 2 2" xfId="7844" xr:uid="{00000000-0005-0000-0000-0000271E0000}"/>
    <cellStyle name="Normal 8 5 2 3 2 2 2" xfId="17170" xr:uid="{4BAC8E1B-73CB-45C4-A3D2-85EEF600099E}"/>
    <cellStyle name="Normal 8 5 2 3 2 2 3" xfId="25617" xr:uid="{A1BC6D12-309B-4A50-984F-B50B60C63334}"/>
    <cellStyle name="Normal 8 5 2 3 2 2 4" xfId="34064" xr:uid="{0C079B49-5657-476C-8F8D-63ECD2EEFA9D}"/>
    <cellStyle name="Normal 8 5 2 3 2 3" xfId="12953" xr:uid="{60954C4C-A7FE-45AF-AE47-45325BF4BD54}"/>
    <cellStyle name="Normal 8 5 2 3 2 4" xfId="21400" xr:uid="{ED43E410-8D03-47BA-964F-07E5615B6A7D}"/>
    <cellStyle name="Normal 8 5 2 3 2 5" xfId="29847" xr:uid="{65FCE453-E1DC-4F20-8FDE-BE8A5C86593B}"/>
    <cellStyle name="Normal 8 5 2 3 3" xfId="5699" xr:uid="{00000000-0005-0000-0000-0000281E0000}"/>
    <cellStyle name="Normal 8 5 2 3 3 2" xfId="15025" xr:uid="{3FA7DC1C-F5E9-4C53-8CB3-12CF6BA32BC8}"/>
    <cellStyle name="Normal 8 5 2 3 3 3" xfId="23472" xr:uid="{46EF1CDA-881B-4198-844D-A92FE92EB1BC}"/>
    <cellStyle name="Normal 8 5 2 3 3 4" xfId="31919" xr:uid="{A0E293B9-0F29-4B8C-8AFE-223187B6A7FB}"/>
    <cellStyle name="Normal 8 5 2 3 4" xfId="10808" xr:uid="{16A4FBFD-DF6C-4AC3-8F6D-FF0C21D689C3}"/>
    <cellStyle name="Normal 8 5 2 3 5" xfId="19255" xr:uid="{66149AAE-5CB0-48CE-AB93-B27D497D7991}"/>
    <cellStyle name="Normal 8 5 2 3 6" xfId="27702" xr:uid="{822613B5-24AE-4B08-8216-F117E57149A2}"/>
    <cellStyle name="Normal 8 5 2 4" xfId="1805" xr:uid="{00000000-0005-0000-0000-0000291E0000}"/>
    <cellStyle name="Normal 8 5 2 4 2" xfId="4035" xr:uid="{00000000-0005-0000-0000-00002A1E0000}"/>
    <cellStyle name="Normal 8 5 2 4 2 2" xfId="8257" xr:uid="{00000000-0005-0000-0000-00002B1E0000}"/>
    <cellStyle name="Normal 8 5 2 4 2 2 2" xfId="17583" xr:uid="{D7660385-0151-43F6-AE0F-D144C53A0C29}"/>
    <cellStyle name="Normal 8 5 2 4 2 2 3" xfId="26030" xr:uid="{09C8E481-72BB-4B92-8310-9AE9C21B1063}"/>
    <cellStyle name="Normal 8 5 2 4 2 2 4" xfId="34477" xr:uid="{6EBE8101-1BE1-40CC-AADC-2FA8AC6C5FAA}"/>
    <cellStyle name="Normal 8 5 2 4 2 3" xfId="13366" xr:uid="{9A0F5B22-C4DC-4E79-80D2-A4657CDF79D5}"/>
    <cellStyle name="Normal 8 5 2 4 2 4" xfId="21813" xr:uid="{97B088EE-38BA-4471-8DFC-050A4B5E2BA5}"/>
    <cellStyle name="Normal 8 5 2 4 2 5" xfId="30260" xr:uid="{A2E27DDC-1270-42BF-B9FA-9ED8DD03B085}"/>
    <cellStyle name="Normal 8 5 2 4 3" xfId="6112" xr:uid="{00000000-0005-0000-0000-00002C1E0000}"/>
    <cellStyle name="Normal 8 5 2 4 3 2" xfId="15438" xr:uid="{206A5D1C-A6B9-482F-8A47-B9D7C05DCB91}"/>
    <cellStyle name="Normal 8 5 2 4 3 3" xfId="23885" xr:uid="{1D980E9F-B7A7-4ECE-8D8A-A7B186C12E2F}"/>
    <cellStyle name="Normal 8 5 2 4 3 4" xfId="32332" xr:uid="{692D58E8-FDEF-4A55-83AC-2C04DFC44696}"/>
    <cellStyle name="Normal 8 5 2 4 4" xfId="11221" xr:uid="{EEE5EFBE-CDAC-4235-9F78-A46A6B006C84}"/>
    <cellStyle name="Normal 8 5 2 4 5" xfId="19668" xr:uid="{1EEF53A6-5630-4B02-822F-8E906F95DF6E}"/>
    <cellStyle name="Normal 8 5 2 4 6" xfId="28115" xr:uid="{95A35199-DCB3-43E0-90AD-C66F5E382693}"/>
    <cellStyle name="Normal 8 5 2 5" xfId="2219" xr:uid="{00000000-0005-0000-0000-00002D1E0000}"/>
    <cellStyle name="Normal 8 5 2 5 2" xfId="4448" xr:uid="{00000000-0005-0000-0000-00002E1E0000}"/>
    <cellStyle name="Normal 8 5 2 5 2 2" xfId="8670" xr:uid="{00000000-0005-0000-0000-00002F1E0000}"/>
    <cellStyle name="Normal 8 5 2 5 2 2 2" xfId="17996" xr:uid="{A200215A-A784-4FFF-8639-2254DBA15C0B}"/>
    <cellStyle name="Normal 8 5 2 5 2 2 3" xfId="26443" xr:uid="{FF09E7D6-BCBC-45B8-98FC-6AAF2041D79D}"/>
    <cellStyle name="Normal 8 5 2 5 2 2 4" xfId="34890" xr:uid="{5BC1E3F6-222E-46D6-9CF5-47E67F465A1F}"/>
    <cellStyle name="Normal 8 5 2 5 2 3" xfId="13779" xr:uid="{CED4D7AC-FF0D-474E-9A76-A1AFB83C674D}"/>
    <cellStyle name="Normal 8 5 2 5 2 4" xfId="22226" xr:uid="{5BB4E8D8-0E69-4BF1-A0B8-CE167EE356D0}"/>
    <cellStyle name="Normal 8 5 2 5 2 5" xfId="30673" xr:uid="{C15BBB7C-9818-4134-96FA-B93594DD9384}"/>
    <cellStyle name="Normal 8 5 2 5 3" xfId="6525" xr:uid="{00000000-0005-0000-0000-0000301E0000}"/>
    <cellStyle name="Normal 8 5 2 5 3 2" xfId="15851" xr:uid="{389A0F5C-7DEF-4EE5-BEDC-B88BBB692369}"/>
    <cellStyle name="Normal 8 5 2 5 3 3" xfId="24298" xr:uid="{E9BA85E3-9A18-483F-B56C-C1A9293DEB67}"/>
    <cellStyle name="Normal 8 5 2 5 3 4" xfId="32745" xr:uid="{6953BA54-F20F-40B1-B19F-F30A1A2780B0}"/>
    <cellStyle name="Normal 8 5 2 5 4" xfId="11634" xr:uid="{AE6103F0-977A-422D-A29C-3F38BEE80EFC}"/>
    <cellStyle name="Normal 8 5 2 5 5" xfId="20081" xr:uid="{15CA59C6-E7C0-4A06-B4BA-E7B51F8D1B35}"/>
    <cellStyle name="Normal 8 5 2 5 6" xfId="28528" xr:uid="{1A49804B-3614-4D0E-9C38-D0D54A0DEE58}"/>
    <cellStyle name="Normal 8 5 2 6" xfId="2655" xr:uid="{00000000-0005-0000-0000-0000311E0000}"/>
    <cellStyle name="Normal 8 5 2 6 2" xfId="6938" xr:uid="{00000000-0005-0000-0000-0000321E0000}"/>
    <cellStyle name="Normal 8 5 2 6 2 2" xfId="16264" xr:uid="{956E80E1-E6EC-434F-9807-EAC39094FFFD}"/>
    <cellStyle name="Normal 8 5 2 6 2 3" xfId="24711" xr:uid="{147A0BFD-072B-4652-90EC-4FEB7B87FB96}"/>
    <cellStyle name="Normal 8 5 2 6 2 4" xfId="33158" xr:uid="{32AA4498-B4C2-446F-97BA-C74980DE83BE}"/>
    <cellStyle name="Normal 8 5 2 6 3" xfId="12047" xr:uid="{42019040-59C5-47B4-BAE5-7B345E00CE15}"/>
    <cellStyle name="Normal 8 5 2 6 4" xfId="20494" xr:uid="{8920A19C-731A-40AE-8658-7557F9F926CC}"/>
    <cellStyle name="Normal 8 5 2 6 5" xfId="28941" xr:uid="{56764750-77CE-453C-AF3D-6E1CF30822EA}"/>
    <cellStyle name="Normal 8 5 2 7" xfId="4873" xr:uid="{00000000-0005-0000-0000-0000331E0000}"/>
    <cellStyle name="Normal 8 5 2 7 2" xfId="14199" xr:uid="{AC255A74-0C3F-4AA8-9884-7F98BC3B2D55}"/>
    <cellStyle name="Normal 8 5 2 7 3" xfId="22646" xr:uid="{67B7B7F7-B4DA-4353-85EF-7C9F83E8CF4B}"/>
    <cellStyle name="Normal 8 5 2 7 4" xfId="31093" xr:uid="{ACB5EE6F-CD32-46B8-A0F6-9122B5EB9A87}"/>
    <cellStyle name="Normal 8 5 2 8" xfId="9052" xr:uid="{D754D15A-EECE-4975-9542-AF3C340304E3}"/>
    <cellStyle name="Normal 8 5 2 9" xfId="9982" xr:uid="{D9D855C1-34B3-4020-8D2A-C83AF524692E}"/>
    <cellStyle name="Normal 8 5 3" xfId="974" xr:uid="{00000000-0005-0000-0000-0000341E0000}"/>
    <cellStyle name="Normal 8 5 3 2" xfId="3208" xr:uid="{00000000-0005-0000-0000-0000351E0000}"/>
    <cellStyle name="Normal 8 5 3 2 2" xfId="7430" xr:uid="{00000000-0005-0000-0000-0000361E0000}"/>
    <cellStyle name="Normal 8 5 3 2 2 2" xfId="16756" xr:uid="{8BCD25A3-031A-47EE-81FD-65E501D08C8C}"/>
    <cellStyle name="Normal 8 5 3 2 2 3" xfId="25203" xr:uid="{5ECB658C-9409-45C5-B6EB-6205DA93B9CA}"/>
    <cellStyle name="Normal 8 5 3 2 2 4" xfId="33650" xr:uid="{B21765F3-F612-4CB7-988A-D85DF4AB62C8}"/>
    <cellStyle name="Normal 8 5 3 2 3" xfId="12539" xr:uid="{2BE30695-E5A5-469A-ACC2-6225D3ECC23B}"/>
    <cellStyle name="Normal 8 5 3 2 4" xfId="20986" xr:uid="{8970DECB-8932-4CA2-BD8E-C15EC97AF1E0}"/>
    <cellStyle name="Normal 8 5 3 2 5" xfId="29433" xr:uid="{1EF79075-E4C0-4FBF-A029-913734430A14}"/>
    <cellStyle name="Normal 8 5 3 3" xfId="5285" xr:uid="{00000000-0005-0000-0000-0000371E0000}"/>
    <cellStyle name="Normal 8 5 3 3 2" xfId="14611" xr:uid="{0AA4B30E-5535-41E7-A3B7-0113C3AE76A1}"/>
    <cellStyle name="Normal 8 5 3 3 3" xfId="23058" xr:uid="{DF6DBC61-D692-4365-8F9F-0FD7F63302B2}"/>
    <cellStyle name="Normal 8 5 3 3 4" xfId="31505" xr:uid="{9094585E-CFD7-48A2-8D16-1B787D5D210F}"/>
    <cellStyle name="Normal 8 5 3 4" xfId="9270" xr:uid="{88F9D262-71F2-4DD2-A7F6-B0DCE74ABD45}"/>
    <cellStyle name="Normal 8 5 3 5" xfId="10394" xr:uid="{3F6CD5FA-A096-46FB-90CE-8A91EDE5F8F2}"/>
    <cellStyle name="Normal 8 5 3 6" xfId="18841" xr:uid="{D60EC1E7-7FA1-4B93-9042-343898755EB1}"/>
    <cellStyle name="Normal 8 5 3 7" xfId="27288" xr:uid="{87938982-9F11-4CA5-8FAF-4C90EA8BC16B}"/>
    <cellStyle name="Normal 8 5 4" xfId="1391" xr:uid="{00000000-0005-0000-0000-0000381E0000}"/>
    <cellStyle name="Normal 8 5 4 2" xfId="3621" xr:uid="{00000000-0005-0000-0000-0000391E0000}"/>
    <cellStyle name="Normal 8 5 4 2 2" xfId="7843" xr:uid="{00000000-0005-0000-0000-00003A1E0000}"/>
    <cellStyle name="Normal 8 5 4 2 2 2" xfId="17169" xr:uid="{F5074325-83DE-47E5-B49C-1C87E3C9505C}"/>
    <cellStyle name="Normal 8 5 4 2 2 3" xfId="25616" xr:uid="{980E7F98-AEB0-437B-8F9B-806D48839353}"/>
    <cellStyle name="Normal 8 5 4 2 2 4" xfId="34063" xr:uid="{75C8D601-1DF8-4770-B571-26767E838624}"/>
    <cellStyle name="Normal 8 5 4 2 3" xfId="12952" xr:uid="{5F8009EC-F21A-4E85-9661-A41AB9B3F9D6}"/>
    <cellStyle name="Normal 8 5 4 2 4" xfId="21399" xr:uid="{8A569429-BC04-4FF2-85BF-AC7D99917779}"/>
    <cellStyle name="Normal 8 5 4 2 5" xfId="29846" xr:uid="{FA36CF90-B311-4C64-A3D0-1F3DF5BABA60}"/>
    <cellStyle name="Normal 8 5 4 3" xfId="5698" xr:uid="{00000000-0005-0000-0000-00003B1E0000}"/>
    <cellStyle name="Normal 8 5 4 3 2" xfId="15024" xr:uid="{9A90B883-52DE-4388-8AD3-F4402ED543FD}"/>
    <cellStyle name="Normal 8 5 4 3 3" xfId="23471" xr:uid="{3A6A6920-7B65-43B2-8A58-C9871A10B125}"/>
    <cellStyle name="Normal 8 5 4 3 4" xfId="31918" xr:uid="{E1FC7F3F-40AC-439D-9971-A7EECBC27C28}"/>
    <cellStyle name="Normal 8 5 4 4" xfId="10807" xr:uid="{ABB8CA96-D820-452F-BF57-A8BA5994AFEE}"/>
    <cellStyle name="Normal 8 5 4 5" xfId="19254" xr:uid="{CC19F2C7-3D5E-4F7E-8E05-F5D83B636D69}"/>
    <cellStyle name="Normal 8 5 4 6" xfId="27701" xr:uid="{B63741D6-9E39-4642-8F81-27FF6AC147B8}"/>
    <cellStyle name="Normal 8 5 5" xfId="1804" xr:uid="{00000000-0005-0000-0000-00003C1E0000}"/>
    <cellStyle name="Normal 8 5 5 2" xfId="4034" xr:uid="{00000000-0005-0000-0000-00003D1E0000}"/>
    <cellStyle name="Normal 8 5 5 2 2" xfId="8256" xr:uid="{00000000-0005-0000-0000-00003E1E0000}"/>
    <cellStyle name="Normal 8 5 5 2 2 2" xfId="17582" xr:uid="{1E8B6011-13E8-4335-AC13-ACAD91E89E05}"/>
    <cellStyle name="Normal 8 5 5 2 2 3" xfId="26029" xr:uid="{8CFA4738-035B-4DD1-8248-C0A641D0B5EE}"/>
    <cellStyle name="Normal 8 5 5 2 2 4" xfId="34476" xr:uid="{A86FFF32-7BD3-4608-BF56-57A3D03BE45D}"/>
    <cellStyle name="Normal 8 5 5 2 3" xfId="13365" xr:uid="{2AE512BA-B569-450A-A30D-CD8E60E1CA93}"/>
    <cellStyle name="Normal 8 5 5 2 4" xfId="21812" xr:uid="{118D6842-9FCF-46C2-BD8B-F985B643FB4C}"/>
    <cellStyle name="Normal 8 5 5 2 5" xfId="30259" xr:uid="{53BD1E2A-5B4D-418C-9B0C-8F0A77006B82}"/>
    <cellStyle name="Normal 8 5 5 3" xfId="6111" xr:uid="{00000000-0005-0000-0000-00003F1E0000}"/>
    <cellStyle name="Normal 8 5 5 3 2" xfId="15437" xr:uid="{8E35965A-7AA6-4585-8C97-CC12E9216D2E}"/>
    <cellStyle name="Normal 8 5 5 3 3" xfId="23884" xr:uid="{A2330FF0-66F1-4E35-918C-FEB8E0B39E1F}"/>
    <cellStyle name="Normal 8 5 5 3 4" xfId="32331" xr:uid="{2931C584-AD55-4711-A971-AE5F6F8E789D}"/>
    <cellStyle name="Normal 8 5 5 4" xfId="11220" xr:uid="{F0907077-19D2-40C8-AA1C-3DFDE164FD9A}"/>
    <cellStyle name="Normal 8 5 5 5" xfId="19667" xr:uid="{1E699CD3-338A-48B4-A7F4-97CC38ADF5C0}"/>
    <cellStyle name="Normal 8 5 5 6" xfId="28114" xr:uid="{53E65DEE-42C5-4F70-BC0D-DF491A14411D}"/>
    <cellStyle name="Normal 8 5 6" xfId="2218" xr:uid="{00000000-0005-0000-0000-0000401E0000}"/>
    <cellStyle name="Normal 8 5 6 2" xfId="4447" xr:uid="{00000000-0005-0000-0000-0000411E0000}"/>
    <cellStyle name="Normal 8 5 6 2 2" xfId="8669" xr:uid="{00000000-0005-0000-0000-0000421E0000}"/>
    <cellStyle name="Normal 8 5 6 2 2 2" xfId="17995" xr:uid="{2F1F4C12-C661-4A0B-88F8-7666D85F4F5E}"/>
    <cellStyle name="Normal 8 5 6 2 2 3" xfId="26442" xr:uid="{A194502C-19A2-4802-B5AE-0C29EB019846}"/>
    <cellStyle name="Normal 8 5 6 2 2 4" xfId="34889" xr:uid="{8314CCBD-220B-4115-9E15-167357A77B90}"/>
    <cellStyle name="Normal 8 5 6 2 3" xfId="13778" xr:uid="{5E16E125-C035-4017-8D44-750E96CFC238}"/>
    <cellStyle name="Normal 8 5 6 2 4" xfId="22225" xr:uid="{EE9B9C72-B172-41E0-A65D-D9C8F308707E}"/>
    <cellStyle name="Normal 8 5 6 2 5" xfId="30672" xr:uid="{36F70404-CB07-4568-88E6-B18971A68F8D}"/>
    <cellStyle name="Normal 8 5 6 3" xfId="6524" xr:uid="{00000000-0005-0000-0000-0000431E0000}"/>
    <cellStyle name="Normal 8 5 6 3 2" xfId="15850" xr:uid="{11651662-B0E9-4146-B0FE-393C5DE1D856}"/>
    <cellStyle name="Normal 8 5 6 3 3" xfId="24297" xr:uid="{59D5577D-3556-4182-A6EA-D511B2FCD3FF}"/>
    <cellStyle name="Normal 8 5 6 3 4" xfId="32744" xr:uid="{32ECEEA3-91FD-4B94-B6FA-026B13C1827C}"/>
    <cellStyle name="Normal 8 5 6 4" xfId="11633" xr:uid="{5AB6C251-E9C9-4ECC-A70A-A9CD79EDA92A}"/>
    <cellStyle name="Normal 8 5 6 5" xfId="20080" xr:uid="{7DC49808-5A27-45AF-B55D-418F129FFBAF}"/>
    <cellStyle name="Normal 8 5 6 6" xfId="28527" xr:uid="{1EB80123-54EA-439E-85F0-F85D8ABF78B0}"/>
    <cellStyle name="Normal 8 5 7" xfId="2654" xr:uid="{00000000-0005-0000-0000-0000441E0000}"/>
    <cellStyle name="Normal 8 5 7 2" xfId="6937" xr:uid="{00000000-0005-0000-0000-0000451E0000}"/>
    <cellStyle name="Normal 8 5 7 2 2" xfId="16263" xr:uid="{6B44676F-867D-4C37-9135-16CB283323DA}"/>
    <cellStyle name="Normal 8 5 7 2 3" xfId="24710" xr:uid="{486DC6B4-9347-4713-8860-40DBD1271A36}"/>
    <cellStyle name="Normal 8 5 7 2 4" xfId="33157" xr:uid="{A6D14B9F-EB7F-429D-B7AF-900037AAA36C}"/>
    <cellStyle name="Normal 8 5 7 3" xfId="12046" xr:uid="{C74C7B95-B2EA-4E94-992A-B6452325E8CA}"/>
    <cellStyle name="Normal 8 5 7 4" xfId="20493" xr:uid="{F81A41C8-F83D-481C-948F-AF6349CC3F9A}"/>
    <cellStyle name="Normal 8 5 7 5" xfId="28940" xr:uid="{157ADCE3-41B3-441A-ADB9-FA99A2A2BB06}"/>
    <cellStyle name="Normal 8 5 8" xfId="4872" xr:uid="{00000000-0005-0000-0000-0000461E0000}"/>
    <cellStyle name="Normal 8 5 8 2" xfId="14198" xr:uid="{2A298DE1-F1A9-4D6A-8662-2085CE18E893}"/>
    <cellStyle name="Normal 8 5 8 3" xfId="22645" xr:uid="{9C547949-12EF-4F9D-9E9D-1B199104CA5B}"/>
    <cellStyle name="Normal 8 5 8 4" xfId="31092" xr:uid="{9E7D6DE8-49EC-4D12-AE14-714040B85D1A}"/>
    <cellStyle name="Normal 8 5 9" xfId="8845" xr:uid="{C8167C67-59BC-42DE-816D-718433EFB28C}"/>
    <cellStyle name="Normal 8 6" xfId="509" xr:uid="{00000000-0005-0000-0000-0000471E0000}"/>
    <cellStyle name="Normal 8 6 10" xfId="18430" xr:uid="{0987653D-9F86-44A9-9103-F3BA866648D9}"/>
    <cellStyle name="Normal 8 6 11" xfId="26877" xr:uid="{F93AA00F-C9E7-41F6-AE1A-CD1ECDAF2E69}"/>
    <cellStyle name="Normal 8 6 2" xfId="976" xr:uid="{00000000-0005-0000-0000-0000481E0000}"/>
    <cellStyle name="Normal 8 6 2 2" xfId="3210" xr:uid="{00000000-0005-0000-0000-0000491E0000}"/>
    <cellStyle name="Normal 8 6 2 2 2" xfId="7432" xr:uid="{00000000-0005-0000-0000-00004A1E0000}"/>
    <cellStyle name="Normal 8 6 2 2 2 2" xfId="16758" xr:uid="{05A3C06D-D9FC-47FE-8142-EAB8487BA3BD}"/>
    <cellStyle name="Normal 8 6 2 2 2 3" xfId="25205" xr:uid="{21EE1BF3-7BF8-48DA-AEE6-0C6D81BEC893}"/>
    <cellStyle name="Normal 8 6 2 2 2 4" xfId="33652" xr:uid="{82FCDE93-0006-493A-98B8-A05F3721D912}"/>
    <cellStyle name="Normal 8 6 2 2 3" xfId="12541" xr:uid="{ACADAB22-F576-4FA9-AB74-FF7B168E3037}"/>
    <cellStyle name="Normal 8 6 2 2 4" xfId="20988" xr:uid="{4ADD4812-01C3-4DFF-9F64-4AA252508AF5}"/>
    <cellStyle name="Normal 8 6 2 2 5" xfId="29435" xr:uid="{A799F21E-020E-4BD8-82FD-939A8606387B}"/>
    <cellStyle name="Normal 8 6 2 3" xfId="5287" xr:uid="{00000000-0005-0000-0000-00004B1E0000}"/>
    <cellStyle name="Normal 8 6 2 3 2" xfId="14613" xr:uid="{C5673D3A-9604-4748-8D5F-CC4BA07162E8}"/>
    <cellStyle name="Normal 8 6 2 3 3" xfId="23060" xr:uid="{0B097232-9C61-407B-B40A-E85FBA13BAFB}"/>
    <cellStyle name="Normal 8 6 2 3 4" xfId="31507" xr:uid="{4EDBACB5-4B37-490F-8ADB-1613183859C7}"/>
    <cellStyle name="Normal 8 6 2 4" xfId="9386" xr:uid="{45A5CE0D-B006-45BB-A53E-22B23F4367E3}"/>
    <cellStyle name="Normal 8 6 2 5" xfId="10396" xr:uid="{A4A37284-B873-4D14-A72B-6B1DA884818A}"/>
    <cellStyle name="Normal 8 6 2 6" xfId="18843" xr:uid="{1E93BA2F-E5E4-4ED2-B5A3-930DA737D27F}"/>
    <cellStyle name="Normal 8 6 2 7" xfId="27290" xr:uid="{08834333-3CD7-4606-B1A9-ED9C862594AA}"/>
    <cellStyle name="Normal 8 6 3" xfId="1393" xr:uid="{00000000-0005-0000-0000-00004C1E0000}"/>
    <cellStyle name="Normal 8 6 3 2" xfId="3623" xr:uid="{00000000-0005-0000-0000-00004D1E0000}"/>
    <cellStyle name="Normal 8 6 3 2 2" xfId="7845" xr:uid="{00000000-0005-0000-0000-00004E1E0000}"/>
    <cellStyle name="Normal 8 6 3 2 2 2" xfId="17171" xr:uid="{A4FC0223-7184-465B-B6D7-5304CA4FF428}"/>
    <cellStyle name="Normal 8 6 3 2 2 3" xfId="25618" xr:uid="{5AD42A2D-7102-4B17-B044-7ACC686F0334}"/>
    <cellStyle name="Normal 8 6 3 2 2 4" xfId="34065" xr:uid="{F3286020-9065-4E97-8230-6012EF3B1890}"/>
    <cellStyle name="Normal 8 6 3 2 3" xfId="12954" xr:uid="{3059C545-3C46-45DB-8FB0-D2FAA5C5610A}"/>
    <cellStyle name="Normal 8 6 3 2 4" xfId="21401" xr:uid="{659D3B4C-F79F-41F6-BE9F-03A4DDA47EED}"/>
    <cellStyle name="Normal 8 6 3 2 5" xfId="29848" xr:uid="{ECCF24E1-49AE-4DED-BF54-B84CF0C2FD86}"/>
    <cellStyle name="Normal 8 6 3 3" xfId="5700" xr:uid="{00000000-0005-0000-0000-00004F1E0000}"/>
    <cellStyle name="Normal 8 6 3 3 2" xfId="15026" xr:uid="{E378331D-BF00-4341-B183-03CDCD570B0D}"/>
    <cellStyle name="Normal 8 6 3 3 3" xfId="23473" xr:uid="{6E3FD3D1-6830-4495-9AC9-83487CD3352C}"/>
    <cellStyle name="Normal 8 6 3 3 4" xfId="31920" xr:uid="{B3180B47-697D-4FE1-B768-C4B3E2CE4503}"/>
    <cellStyle name="Normal 8 6 3 4" xfId="10809" xr:uid="{A205CBFF-F8A9-444E-B06F-2C475430599E}"/>
    <cellStyle name="Normal 8 6 3 5" xfId="19256" xr:uid="{C61042F4-36D6-42B6-BB25-3C302D7F05C6}"/>
    <cellStyle name="Normal 8 6 3 6" xfId="27703" xr:uid="{7B72691C-67E6-4F8C-9368-C617BA3ECC89}"/>
    <cellStyle name="Normal 8 6 4" xfId="1806" xr:uid="{00000000-0005-0000-0000-0000501E0000}"/>
    <cellStyle name="Normal 8 6 4 2" xfId="4036" xr:uid="{00000000-0005-0000-0000-0000511E0000}"/>
    <cellStyle name="Normal 8 6 4 2 2" xfId="8258" xr:uid="{00000000-0005-0000-0000-0000521E0000}"/>
    <cellStyle name="Normal 8 6 4 2 2 2" xfId="17584" xr:uid="{FDF97A59-3A65-455B-8A86-74CCB4FA2FD3}"/>
    <cellStyle name="Normal 8 6 4 2 2 3" xfId="26031" xr:uid="{1A971CE5-17EE-43AD-ACAC-38A4AB03371B}"/>
    <cellStyle name="Normal 8 6 4 2 2 4" xfId="34478" xr:uid="{1B49DB05-8670-42CF-85B7-8A7CA4FCF4F6}"/>
    <cellStyle name="Normal 8 6 4 2 3" xfId="13367" xr:uid="{DF6328C0-3BBD-40DC-A76C-0AF1966072D6}"/>
    <cellStyle name="Normal 8 6 4 2 4" xfId="21814" xr:uid="{44C12BCC-6F86-4794-9843-67783786AE65}"/>
    <cellStyle name="Normal 8 6 4 2 5" xfId="30261" xr:uid="{9B499DD2-6FAB-4EAA-92DF-3953A9714004}"/>
    <cellStyle name="Normal 8 6 4 3" xfId="6113" xr:uid="{00000000-0005-0000-0000-0000531E0000}"/>
    <cellStyle name="Normal 8 6 4 3 2" xfId="15439" xr:uid="{8261D750-BBD4-4DCE-974D-4E96BFEAA5C9}"/>
    <cellStyle name="Normal 8 6 4 3 3" xfId="23886" xr:uid="{11807EBE-6E51-4261-9747-3F52B772489A}"/>
    <cellStyle name="Normal 8 6 4 3 4" xfId="32333" xr:uid="{21C49C67-BA48-4676-ABC0-760D07CA0E20}"/>
    <cellStyle name="Normal 8 6 4 4" xfId="11222" xr:uid="{83AC4B64-93A5-4829-B6D2-F4B9413F85C6}"/>
    <cellStyle name="Normal 8 6 4 5" xfId="19669" xr:uid="{6E40FCA3-CEF3-44B7-8D56-7EEE70290E9D}"/>
    <cellStyle name="Normal 8 6 4 6" xfId="28116" xr:uid="{A3485928-C49D-4534-A988-DFD9554D3F09}"/>
    <cellStyle name="Normal 8 6 5" xfId="2220" xr:uid="{00000000-0005-0000-0000-0000541E0000}"/>
    <cellStyle name="Normal 8 6 5 2" xfId="4449" xr:uid="{00000000-0005-0000-0000-0000551E0000}"/>
    <cellStyle name="Normal 8 6 5 2 2" xfId="8671" xr:uid="{00000000-0005-0000-0000-0000561E0000}"/>
    <cellStyle name="Normal 8 6 5 2 2 2" xfId="17997" xr:uid="{71383A92-B369-4BD2-97D6-6EC20BF2E80F}"/>
    <cellStyle name="Normal 8 6 5 2 2 3" xfId="26444" xr:uid="{0AB9A2EF-93FC-4A09-A8F0-54017C69016A}"/>
    <cellStyle name="Normal 8 6 5 2 2 4" xfId="34891" xr:uid="{571818AA-5D0D-44E9-AD24-75C5EDCF0116}"/>
    <cellStyle name="Normal 8 6 5 2 3" xfId="13780" xr:uid="{72B17887-319A-451F-B05C-110B64E141EB}"/>
    <cellStyle name="Normal 8 6 5 2 4" xfId="22227" xr:uid="{EFA23750-0028-4896-885E-759A5881C260}"/>
    <cellStyle name="Normal 8 6 5 2 5" xfId="30674" xr:uid="{37DDDDF0-2A9E-417C-80D3-92A3B6BBBA7C}"/>
    <cellStyle name="Normal 8 6 5 3" xfId="6526" xr:uid="{00000000-0005-0000-0000-0000571E0000}"/>
    <cellStyle name="Normal 8 6 5 3 2" xfId="15852" xr:uid="{E80D200C-553B-4B2A-9393-A841E985EF95}"/>
    <cellStyle name="Normal 8 6 5 3 3" xfId="24299" xr:uid="{2AD2BD87-E9AB-4282-8DE4-2CD298069BA4}"/>
    <cellStyle name="Normal 8 6 5 3 4" xfId="32746" xr:uid="{511C7A6B-E89D-4E9C-937D-6CDF22680BA8}"/>
    <cellStyle name="Normal 8 6 5 4" xfId="11635" xr:uid="{46E9862F-99C8-4197-A4C1-8E830BFE6C44}"/>
    <cellStyle name="Normal 8 6 5 5" xfId="20082" xr:uid="{5330888D-AF10-45C9-A705-D88B81A5F842}"/>
    <cellStyle name="Normal 8 6 5 6" xfId="28529" xr:uid="{15E668B8-F84A-4B96-B883-EC66AC15CB57}"/>
    <cellStyle name="Normal 8 6 6" xfId="2656" xr:uid="{00000000-0005-0000-0000-0000581E0000}"/>
    <cellStyle name="Normal 8 6 6 2" xfId="6939" xr:uid="{00000000-0005-0000-0000-0000591E0000}"/>
    <cellStyle name="Normal 8 6 6 2 2" xfId="16265" xr:uid="{C646805F-29C0-4F4F-A969-ED1E9AEC6614}"/>
    <cellStyle name="Normal 8 6 6 2 3" xfId="24712" xr:uid="{51026F82-C962-456A-822C-19F52CBF6FE6}"/>
    <cellStyle name="Normal 8 6 6 2 4" xfId="33159" xr:uid="{414CF13C-D8F5-4CDB-9BCF-B1EA32C18BFA}"/>
    <cellStyle name="Normal 8 6 6 3" xfId="12048" xr:uid="{B7EFFC91-CB4A-4E16-82F6-F55F12A1A54D}"/>
    <cellStyle name="Normal 8 6 6 4" xfId="20495" xr:uid="{11DBDE7A-3CD8-49BB-B5D5-850F9AAE5F3B}"/>
    <cellStyle name="Normal 8 6 6 5" xfId="28942" xr:uid="{F3E9CD01-9AA1-4A82-8CB1-DC7185DD7786}"/>
    <cellStyle name="Normal 8 6 7" xfId="4874" xr:uid="{00000000-0005-0000-0000-00005A1E0000}"/>
    <cellStyle name="Normal 8 6 7 2" xfId="14200" xr:uid="{287C0A3B-4D80-4B1E-B91E-5544418AF5D7}"/>
    <cellStyle name="Normal 8 6 7 3" xfId="22647" xr:uid="{9F8897A9-5138-494C-8B29-185B9E6E2890}"/>
    <cellStyle name="Normal 8 6 7 4" xfId="31094" xr:uid="{1317440E-8A00-4105-9679-63C2CBFDDF38}"/>
    <cellStyle name="Normal 8 6 8" xfId="8961" xr:uid="{36060843-7B38-46C3-B2F1-7172ECB11EEE}"/>
    <cellStyle name="Normal 8 6 9" xfId="9983" xr:uid="{B48D0E6B-97BF-46AB-8259-1E2055717982}"/>
    <cellStyle name="Normal 8 7" xfId="945" xr:uid="{00000000-0005-0000-0000-00005B1E0000}"/>
    <cellStyle name="Normal 8 7 2" xfId="3179" xr:uid="{00000000-0005-0000-0000-00005C1E0000}"/>
    <cellStyle name="Normal 8 7 2 2" xfId="7401" xr:uid="{00000000-0005-0000-0000-00005D1E0000}"/>
    <cellStyle name="Normal 8 7 2 2 2" xfId="16727" xr:uid="{2E69CAA2-59AD-4CFA-B15F-DF2206770C63}"/>
    <cellStyle name="Normal 8 7 2 2 3" xfId="25174" xr:uid="{78A01E6D-1013-44F5-98D7-47E6978F5755}"/>
    <cellStyle name="Normal 8 7 2 2 4" xfId="33621" xr:uid="{164DF35F-7F70-4EAC-AC55-64465AEFAF66}"/>
    <cellStyle name="Normal 8 7 2 3" xfId="12510" xr:uid="{B4811F69-CBF5-448C-9592-DA0A2560F36F}"/>
    <cellStyle name="Normal 8 7 2 4" xfId="20957" xr:uid="{F90E4488-8C81-4822-B3AC-E0521F5E2999}"/>
    <cellStyle name="Normal 8 7 2 5" xfId="29404" xr:uid="{BE853F9D-415C-4EE2-8A43-3D1B1B5A54BF}"/>
    <cellStyle name="Normal 8 7 3" xfId="5256" xr:uid="{00000000-0005-0000-0000-00005E1E0000}"/>
    <cellStyle name="Normal 8 7 3 2" xfId="14582" xr:uid="{792E40CC-EDE8-495D-B308-F14D2DEF1082}"/>
    <cellStyle name="Normal 8 7 3 3" xfId="23029" xr:uid="{E848A012-C46B-4D8D-BF85-404B15390EAB}"/>
    <cellStyle name="Normal 8 7 3 4" xfId="31476" xr:uid="{259AB3A5-68BF-4134-A5CC-4D4180A9AE92}"/>
    <cellStyle name="Normal 8 7 4" xfId="9164" xr:uid="{EA2ADDDA-E9AC-4FF8-B08B-61B1D6489A46}"/>
    <cellStyle name="Normal 8 7 5" xfId="10365" xr:uid="{C4B7F3B0-C8D3-400D-8A6C-A1685F4F2E45}"/>
    <cellStyle name="Normal 8 7 6" xfId="18812" xr:uid="{916B7C67-8832-4345-B8EC-B2C3E73AF81C}"/>
    <cellStyle name="Normal 8 7 7" xfId="27259" xr:uid="{9F70C968-65A8-497A-84BD-6DD2E77E8FC8}"/>
    <cellStyle name="Normal 8 8" xfId="1362" xr:uid="{00000000-0005-0000-0000-00005F1E0000}"/>
    <cellStyle name="Normal 8 8 2" xfId="3592" xr:uid="{00000000-0005-0000-0000-0000601E0000}"/>
    <cellStyle name="Normal 8 8 2 2" xfId="7814" xr:uid="{00000000-0005-0000-0000-0000611E0000}"/>
    <cellStyle name="Normal 8 8 2 2 2" xfId="17140" xr:uid="{023EB5AF-4103-49F3-9038-0B76133A5D3B}"/>
    <cellStyle name="Normal 8 8 2 2 3" xfId="25587" xr:uid="{5565408A-947F-4246-85CF-4024606B1A57}"/>
    <cellStyle name="Normal 8 8 2 2 4" xfId="34034" xr:uid="{35275930-DC51-4505-8030-09B9086427A7}"/>
    <cellStyle name="Normal 8 8 2 3" xfId="12923" xr:uid="{842D9311-9AD7-4C04-B509-C18DB9F25020}"/>
    <cellStyle name="Normal 8 8 2 4" xfId="21370" xr:uid="{9E0ABA6C-E68F-4567-A44F-DEC0408688BA}"/>
    <cellStyle name="Normal 8 8 2 5" xfId="29817" xr:uid="{04D89E95-5241-4872-94A8-F71311D7BF8C}"/>
    <cellStyle name="Normal 8 8 3" xfId="5669" xr:uid="{00000000-0005-0000-0000-0000621E0000}"/>
    <cellStyle name="Normal 8 8 3 2" xfId="14995" xr:uid="{E8DE8D37-5882-4252-AFBA-B857541B98AB}"/>
    <cellStyle name="Normal 8 8 3 3" xfId="23442" xr:uid="{337EFD69-AE7A-43BE-8FE7-44DD98A1DD31}"/>
    <cellStyle name="Normal 8 8 3 4" xfId="31889" xr:uid="{E95DAE0F-80F6-474A-BDDA-B68519F1EE6F}"/>
    <cellStyle name="Normal 8 8 4" xfId="10778" xr:uid="{A5A2D258-E1A8-458C-BBD5-795E5BC8709C}"/>
    <cellStyle name="Normal 8 8 5" xfId="19225" xr:uid="{62347213-B257-4762-806C-EC5700839602}"/>
    <cellStyle name="Normal 8 8 6" xfId="27672" xr:uid="{98A0FE40-23DC-4BBD-A145-07EFA503D230}"/>
    <cellStyle name="Normal 8 9" xfId="1775" xr:uid="{00000000-0005-0000-0000-0000631E0000}"/>
    <cellStyle name="Normal 8 9 2" xfId="4005" xr:uid="{00000000-0005-0000-0000-0000641E0000}"/>
    <cellStyle name="Normal 8 9 2 2" xfId="8227" xr:uid="{00000000-0005-0000-0000-0000651E0000}"/>
    <cellStyle name="Normal 8 9 2 2 2" xfId="17553" xr:uid="{22B9F6F6-AB15-4822-B73B-34B03C1577C5}"/>
    <cellStyle name="Normal 8 9 2 2 3" xfId="26000" xr:uid="{35C0AB14-41AE-4781-A771-36A522478576}"/>
    <cellStyle name="Normal 8 9 2 2 4" xfId="34447" xr:uid="{3AF24CAF-C4D1-418D-B3DA-04B0DE2192E4}"/>
    <cellStyle name="Normal 8 9 2 3" xfId="13336" xr:uid="{DDFABB7E-6106-4BC8-8C4B-7EBD43314FC9}"/>
    <cellStyle name="Normal 8 9 2 4" xfId="21783" xr:uid="{8C4E2CCF-E9DC-4728-8E77-862524F1217C}"/>
    <cellStyle name="Normal 8 9 2 5" xfId="30230" xr:uid="{9097D3E0-F45A-41CA-95A5-3F58B31BDF4C}"/>
    <cellStyle name="Normal 8 9 3" xfId="6082" xr:uid="{00000000-0005-0000-0000-0000661E0000}"/>
    <cellStyle name="Normal 8 9 3 2" xfId="15408" xr:uid="{98A2D9EC-9111-4403-85AE-64F2026E0D51}"/>
    <cellStyle name="Normal 8 9 3 3" xfId="23855" xr:uid="{FB4F1660-4EFA-40C1-98EC-E123710D05E2}"/>
    <cellStyle name="Normal 8 9 3 4" xfId="32302" xr:uid="{DA813428-AC36-4B62-8717-7DA28B2FD543}"/>
    <cellStyle name="Normal 8 9 4" xfId="11191" xr:uid="{CB83D76D-6DC1-45DC-B395-3AE23159F609}"/>
    <cellStyle name="Normal 8 9 5" xfId="19638" xr:uid="{46DE5447-A51C-400A-85C0-E1986C8C48D2}"/>
    <cellStyle name="Normal 8 9 6" xfId="28085" xr:uid="{011FA041-7A37-406D-814D-30A05DBF028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16266" xr:uid="{89F62980-68C4-4AA9-9190-311498190B57}"/>
    <cellStyle name="Normal 9 2 10 2 3" xfId="24713" xr:uid="{479F8DA9-7484-4407-81CB-A57C0B51B04D}"/>
    <cellStyle name="Normal 9 2 10 2 4" xfId="33160" xr:uid="{7A9F68D9-801F-4A70-99FB-84F371C6361C}"/>
    <cellStyle name="Normal 9 2 10 3" xfId="12049" xr:uid="{CA38AAA9-4E67-48D5-9361-EE33B3EC0BB3}"/>
    <cellStyle name="Normal 9 2 10 4" xfId="20496" xr:uid="{F10B34DA-7FA2-4C36-B1AF-FCA517ADB0F7}"/>
    <cellStyle name="Normal 9 2 10 5" xfId="28943" xr:uid="{920E04DB-1FDC-4906-ABFE-500EEC0EBD34}"/>
    <cellStyle name="Normal 9 2 11" xfId="4875" xr:uid="{00000000-0005-0000-0000-00006B1E0000}"/>
    <cellStyle name="Normal 9 2 11 2" xfId="14201" xr:uid="{223C58B5-8B8B-4351-A44F-858EB7F4E810}"/>
    <cellStyle name="Normal 9 2 11 3" xfId="22648" xr:uid="{31B21510-C5A4-4A26-818F-97EBE04FC7EC}"/>
    <cellStyle name="Normal 9 2 11 4" xfId="31095" xr:uid="{D9CEE2CF-0B2D-4226-824F-347E8229F54B}"/>
    <cellStyle name="Normal 9 2 12" xfId="8754" xr:uid="{9024D06A-4C5F-4C89-BCDB-29B8C924FF52}"/>
    <cellStyle name="Normal 9 2 13" xfId="9984" xr:uid="{1EEA3D49-4060-4CE3-B9EF-1420FDE909AA}"/>
    <cellStyle name="Normal 9 2 14" xfId="18431" xr:uid="{0A68D7F5-1AD5-4276-8033-D54418774BB2}"/>
    <cellStyle name="Normal 9 2 15" xfId="26878" xr:uid="{145670FB-7DCD-4562-85B9-8DE293549992}"/>
    <cellStyle name="Normal 9 2 2" xfId="512" xr:uid="{00000000-0005-0000-0000-00006C1E0000}"/>
    <cellStyle name="Normal 9 2 2 10" xfId="4876" xr:uid="{00000000-0005-0000-0000-00006D1E0000}"/>
    <cellStyle name="Normal 9 2 2 10 2" xfId="14202" xr:uid="{7654AB38-4960-41D0-99A0-C893055DBD87}"/>
    <cellStyle name="Normal 9 2 2 10 3" xfId="22649" xr:uid="{7ECE380F-D905-498F-9F4D-7FA263E773C6}"/>
    <cellStyle name="Normal 9 2 2 10 4" xfId="31096" xr:uid="{84FF4FED-15AB-4B09-A031-9F5882C5F3D9}"/>
    <cellStyle name="Normal 9 2 2 11" xfId="8785" xr:uid="{3048542E-ED39-45ED-9C91-0140D2CF60D9}"/>
    <cellStyle name="Normal 9 2 2 12" xfId="9985" xr:uid="{A39EAFB1-6155-4B73-BA64-BC7A05E9DB65}"/>
    <cellStyle name="Normal 9 2 2 13" xfId="18432" xr:uid="{B4F24691-6411-4596-963E-72CC8DE7E63B}"/>
    <cellStyle name="Normal 9 2 2 14" xfId="26879" xr:uid="{4489A39B-E9D5-4842-9963-D3275B54B4C5}"/>
    <cellStyle name="Normal 9 2 2 2" xfId="513" xr:uid="{00000000-0005-0000-0000-00006E1E0000}"/>
    <cellStyle name="Normal 9 2 2 2 10" xfId="8839" xr:uid="{3B2DC7F4-4F49-4AE2-9279-EFD4857A149B}"/>
    <cellStyle name="Normal 9 2 2 2 11" xfId="9986" xr:uid="{04143E09-CC6D-497B-A50B-317CDE695483}"/>
    <cellStyle name="Normal 9 2 2 2 12" xfId="18433" xr:uid="{FC87BDBC-1470-4F8C-BE15-737476A56DF3}"/>
    <cellStyle name="Normal 9 2 2 2 13" xfId="26880" xr:uid="{4FB96BDA-39C2-4DC8-9917-C738DF57F5A4}"/>
    <cellStyle name="Normal 9 2 2 2 2" xfId="514" xr:uid="{00000000-0005-0000-0000-00006F1E0000}"/>
    <cellStyle name="Normal 9 2 2 2 2 10" xfId="9987" xr:uid="{0C16AA40-3376-4215-9C06-3F7F57CFA001}"/>
    <cellStyle name="Normal 9 2 2 2 2 11" xfId="18434" xr:uid="{C315A0A0-D3DC-4D7B-AF28-8F18B3EECE05}"/>
    <cellStyle name="Normal 9 2 2 2 2 12" xfId="26881" xr:uid="{B6457C21-C758-4F2A-A91C-055516BE3D7D}"/>
    <cellStyle name="Normal 9 2 2 2 2 2" xfId="515" xr:uid="{00000000-0005-0000-0000-0000701E0000}"/>
    <cellStyle name="Normal 9 2 2 2 2 2 10" xfId="18435" xr:uid="{9B5CAEFA-97A9-445E-9994-D38C2198DA9F}"/>
    <cellStyle name="Normal 9 2 2 2 2 2 11" xfId="26882" xr:uid="{9A810F61-B05B-4420-A233-0D230A17FF1A}"/>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16763" xr:uid="{5B71504F-8933-463A-B1F9-367E62099651}"/>
    <cellStyle name="Normal 9 2 2 2 2 2 2 2 2 3" xfId="25210" xr:uid="{C8B52714-01F8-4EBD-8AEC-FE5E938E6902}"/>
    <cellStyle name="Normal 9 2 2 2 2 2 2 2 2 4" xfId="33657" xr:uid="{92BC38E9-56DE-4CB6-B94F-5671E979D383}"/>
    <cellStyle name="Normal 9 2 2 2 2 2 2 2 3" xfId="12546" xr:uid="{B6AB3314-E88B-49F1-95CB-635C1094FDBA}"/>
    <cellStyle name="Normal 9 2 2 2 2 2 2 2 4" xfId="20993" xr:uid="{E31F1E3D-309B-476D-BA24-21FDE8704C0D}"/>
    <cellStyle name="Normal 9 2 2 2 2 2 2 2 5" xfId="29440" xr:uid="{0E8D73E9-AC64-48C9-95A4-BD46309CCF37}"/>
    <cellStyle name="Normal 9 2 2 2 2 2 2 3" xfId="5292" xr:uid="{00000000-0005-0000-0000-0000741E0000}"/>
    <cellStyle name="Normal 9 2 2 2 2 2 2 3 2" xfId="14618" xr:uid="{C0523490-5FF2-48E4-9489-1B1E410D9239}"/>
    <cellStyle name="Normal 9 2 2 2 2 2 2 3 3" xfId="23065" xr:uid="{D1A6E1F1-9E8E-4B13-BCC9-321D186DF3BF}"/>
    <cellStyle name="Normal 9 2 2 2 2 2 2 3 4" xfId="31512" xr:uid="{4E70C62E-3D69-41D1-A365-4095C998EDB5}"/>
    <cellStyle name="Normal 9 2 2 2 2 2 2 4" xfId="9574" xr:uid="{00EB170D-8A20-4280-B781-E452C3590555}"/>
    <cellStyle name="Normal 9 2 2 2 2 2 2 5" xfId="10401" xr:uid="{2FBA325C-13F3-4D4D-8651-F2E453296363}"/>
    <cellStyle name="Normal 9 2 2 2 2 2 2 6" xfId="18848" xr:uid="{98EFAF73-68AE-40CE-8687-FFD79EE6AA64}"/>
    <cellStyle name="Normal 9 2 2 2 2 2 2 7" xfId="27295" xr:uid="{9E63C921-8644-42B6-8A5A-B49547E2DCB6}"/>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17176" xr:uid="{B4E97419-8339-4582-924D-06098E3DDA6D}"/>
    <cellStyle name="Normal 9 2 2 2 2 2 3 2 2 3" xfId="25623" xr:uid="{3964D512-CB21-4A24-BE96-C089F836B9E0}"/>
    <cellStyle name="Normal 9 2 2 2 2 2 3 2 2 4" xfId="34070" xr:uid="{ABC65406-471B-41C7-BBA8-28DED3CE9F01}"/>
    <cellStyle name="Normal 9 2 2 2 2 2 3 2 3" xfId="12959" xr:uid="{0579DD84-A179-4A70-B1D3-A3A946E9A930}"/>
    <cellStyle name="Normal 9 2 2 2 2 2 3 2 4" xfId="21406" xr:uid="{82F7D3BA-62DE-498C-A4C3-A0BF4063AE18}"/>
    <cellStyle name="Normal 9 2 2 2 2 2 3 2 5" xfId="29853" xr:uid="{BE788705-57A8-4246-BD0D-9BEA96F48AFB}"/>
    <cellStyle name="Normal 9 2 2 2 2 2 3 3" xfId="5705" xr:uid="{00000000-0005-0000-0000-0000781E0000}"/>
    <cellStyle name="Normal 9 2 2 2 2 2 3 3 2" xfId="15031" xr:uid="{0F745CA5-B0ED-4A67-86E4-85E08C95BBE2}"/>
    <cellStyle name="Normal 9 2 2 2 2 2 3 3 3" xfId="23478" xr:uid="{159C71A4-737D-4698-9FF8-5A1D76EAD752}"/>
    <cellStyle name="Normal 9 2 2 2 2 2 3 3 4" xfId="31925" xr:uid="{67CFE005-8271-4D6F-BE3C-676B3856470E}"/>
    <cellStyle name="Normal 9 2 2 2 2 2 3 4" xfId="10814" xr:uid="{6C10F692-247F-4F9B-8D11-1F1488C979D2}"/>
    <cellStyle name="Normal 9 2 2 2 2 2 3 5" xfId="19261" xr:uid="{42161931-1F96-4F96-888C-4DA778BE8CB2}"/>
    <cellStyle name="Normal 9 2 2 2 2 2 3 6" xfId="27708" xr:uid="{A7D1C29F-94B4-4DF4-8420-7CA474E9E5F6}"/>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17589" xr:uid="{CC3DFCA6-0EEA-4839-9A8E-76F5F602619D}"/>
    <cellStyle name="Normal 9 2 2 2 2 2 4 2 2 3" xfId="26036" xr:uid="{906CD92D-B014-4F9D-B7D3-5BD0BB2AF386}"/>
    <cellStyle name="Normal 9 2 2 2 2 2 4 2 2 4" xfId="34483" xr:uid="{4CF3B3F7-EB07-433D-9DAF-CB9E8C23663D}"/>
    <cellStyle name="Normal 9 2 2 2 2 2 4 2 3" xfId="13372" xr:uid="{016B4FA8-BBE9-415D-A0E7-F52AD7B119D9}"/>
    <cellStyle name="Normal 9 2 2 2 2 2 4 2 4" xfId="21819" xr:uid="{2535DCA7-8F5A-41A5-AD99-7D1B28C18DDE}"/>
    <cellStyle name="Normal 9 2 2 2 2 2 4 2 5" xfId="30266" xr:uid="{15B7FD3C-DB26-4086-B1A1-C5FF223F2A30}"/>
    <cellStyle name="Normal 9 2 2 2 2 2 4 3" xfId="6118" xr:uid="{00000000-0005-0000-0000-00007C1E0000}"/>
    <cellStyle name="Normal 9 2 2 2 2 2 4 3 2" xfId="15444" xr:uid="{0D34B028-0693-4FD1-99C7-376632B5E606}"/>
    <cellStyle name="Normal 9 2 2 2 2 2 4 3 3" xfId="23891" xr:uid="{322FF853-5A20-4B82-8FBD-241C5278A2FA}"/>
    <cellStyle name="Normal 9 2 2 2 2 2 4 3 4" xfId="32338" xr:uid="{014F332E-80C0-4BBB-AD3D-6E50D9B5F67D}"/>
    <cellStyle name="Normal 9 2 2 2 2 2 4 4" xfId="11227" xr:uid="{2AE549D2-EC79-4599-88D4-958EDF6BEF19}"/>
    <cellStyle name="Normal 9 2 2 2 2 2 4 5" xfId="19674" xr:uid="{271BC8DE-A748-42B5-8D56-4F70B5536C8D}"/>
    <cellStyle name="Normal 9 2 2 2 2 2 4 6" xfId="28121" xr:uid="{C4D80BB5-5122-4C2D-8BF8-170DCC9D61BC}"/>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18002" xr:uid="{9816EF1E-CB17-4610-B858-9BFC0D3B1367}"/>
    <cellStyle name="Normal 9 2 2 2 2 2 5 2 2 3" xfId="26449" xr:uid="{A6B480A3-E998-45C8-A0A7-4418B085F9B5}"/>
    <cellStyle name="Normal 9 2 2 2 2 2 5 2 2 4" xfId="34896" xr:uid="{420AEFD1-1795-4FC0-B4CE-0197BA5F8F0D}"/>
    <cellStyle name="Normal 9 2 2 2 2 2 5 2 3" xfId="13785" xr:uid="{5104F985-7D1A-4D5C-BDE9-FA5610C0D3DF}"/>
    <cellStyle name="Normal 9 2 2 2 2 2 5 2 4" xfId="22232" xr:uid="{759B3D88-D0AD-4630-98E4-540416BE14AE}"/>
    <cellStyle name="Normal 9 2 2 2 2 2 5 2 5" xfId="30679" xr:uid="{4A805993-9B3A-4A33-BFA2-93E52BA6D744}"/>
    <cellStyle name="Normal 9 2 2 2 2 2 5 3" xfId="6531" xr:uid="{00000000-0005-0000-0000-0000801E0000}"/>
    <cellStyle name="Normal 9 2 2 2 2 2 5 3 2" xfId="15857" xr:uid="{A10CB934-A3C9-47C0-83CF-A5B84E093053}"/>
    <cellStyle name="Normal 9 2 2 2 2 2 5 3 3" xfId="24304" xr:uid="{3DB433C8-D4BD-46D9-84F4-11B17785F88B}"/>
    <cellStyle name="Normal 9 2 2 2 2 2 5 3 4" xfId="32751" xr:uid="{A59C9FF1-BE4E-4336-8B13-C6425F7E4727}"/>
    <cellStyle name="Normal 9 2 2 2 2 2 5 4" xfId="11640" xr:uid="{BC35AA06-C4F9-43C6-9CC7-21869301C889}"/>
    <cellStyle name="Normal 9 2 2 2 2 2 5 5" xfId="20087" xr:uid="{EE43A0F9-242B-4575-A084-76E8AE0700AA}"/>
    <cellStyle name="Normal 9 2 2 2 2 2 5 6" xfId="28534" xr:uid="{DD4BCF7F-AE6A-47A8-962A-F6AE747E97CC}"/>
    <cellStyle name="Normal 9 2 2 2 2 2 6" xfId="2661" xr:uid="{00000000-0005-0000-0000-0000811E0000}"/>
    <cellStyle name="Normal 9 2 2 2 2 2 6 2" xfId="6944" xr:uid="{00000000-0005-0000-0000-0000821E0000}"/>
    <cellStyle name="Normal 9 2 2 2 2 2 6 2 2" xfId="16270" xr:uid="{7E503683-DDDF-4446-AE8A-CF6D9BD40A91}"/>
    <cellStyle name="Normal 9 2 2 2 2 2 6 2 3" xfId="24717" xr:uid="{26700FF4-5AB0-4CA4-930A-979BD329A910}"/>
    <cellStyle name="Normal 9 2 2 2 2 2 6 2 4" xfId="33164" xr:uid="{0B6B11F2-8639-4D30-8334-5AAF7221E98A}"/>
    <cellStyle name="Normal 9 2 2 2 2 2 6 3" xfId="12053" xr:uid="{0AE5F974-6BCD-4475-A37A-F31F4CEF06DB}"/>
    <cellStyle name="Normal 9 2 2 2 2 2 6 4" xfId="20500" xr:uid="{A00EBA85-4BBB-4F3D-B660-D317C9ED6D6B}"/>
    <cellStyle name="Normal 9 2 2 2 2 2 6 5" xfId="28947" xr:uid="{C8C952E0-02F3-44A6-BB5D-9CE3DB4CD1F3}"/>
    <cellStyle name="Normal 9 2 2 2 2 2 7" xfId="4879" xr:uid="{00000000-0005-0000-0000-0000831E0000}"/>
    <cellStyle name="Normal 9 2 2 2 2 2 7 2" xfId="14205" xr:uid="{A408AAEB-0055-44EC-8763-1283B3B3F13B}"/>
    <cellStyle name="Normal 9 2 2 2 2 2 7 3" xfId="22652" xr:uid="{933F30A5-AE4D-416A-82D8-B949B180AF01}"/>
    <cellStyle name="Normal 9 2 2 2 2 2 7 4" xfId="31099" xr:uid="{25E3EEB1-6EA5-4D08-AC23-F1D424456B76}"/>
    <cellStyle name="Normal 9 2 2 2 2 2 8" xfId="9149" xr:uid="{6C0BEC1E-EE3B-4956-830C-8775C93DB46A}"/>
    <cellStyle name="Normal 9 2 2 2 2 2 9" xfId="9988" xr:uid="{2C3C65C2-D284-438B-B0C6-0A71FB4377BD}"/>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16762" xr:uid="{367FFBC8-ECDD-49DC-B42F-480E7C417F85}"/>
    <cellStyle name="Normal 9 2 2 2 2 3 2 2 3" xfId="25209" xr:uid="{74DAAED7-10FE-4975-9F88-28DD4233D9DC}"/>
    <cellStyle name="Normal 9 2 2 2 2 3 2 2 4" xfId="33656" xr:uid="{DF2DADDA-F1E2-4C21-80CD-9ED9E800A8FE}"/>
    <cellStyle name="Normal 9 2 2 2 2 3 2 3" xfId="12545" xr:uid="{6A1D86AC-A885-4A4D-8FB5-1E938FE42BFB}"/>
    <cellStyle name="Normal 9 2 2 2 2 3 2 4" xfId="20992" xr:uid="{CC27648D-C3E6-4F91-BF9D-6A4921F1E081}"/>
    <cellStyle name="Normal 9 2 2 2 2 3 2 5" xfId="29439" xr:uid="{CD3903CB-34B1-4A75-A924-CFE698F9B057}"/>
    <cellStyle name="Normal 9 2 2 2 2 3 3" xfId="5291" xr:uid="{00000000-0005-0000-0000-0000871E0000}"/>
    <cellStyle name="Normal 9 2 2 2 2 3 3 2" xfId="14617" xr:uid="{66275EF6-25C7-4F9F-BBE5-342D8D69E4EE}"/>
    <cellStyle name="Normal 9 2 2 2 2 3 3 3" xfId="23064" xr:uid="{F5CA7480-8547-409A-A0B3-EC6389572978}"/>
    <cellStyle name="Normal 9 2 2 2 2 3 3 4" xfId="31511" xr:uid="{8AF9231F-21F9-4932-BF06-585F7E497A02}"/>
    <cellStyle name="Normal 9 2 2 2 2 3 4" xfId="9367" xr:uid="{4A654E22-020A-4B0F-8753-639C44EA908A}"/>
    <cellStyle name="Normal 9 2 2 2 2 3 5" xfId="10400" xr:uid="{358526D2-81F8-4592-B7D8-9664308A6FF6}"/>
    <cellStyle name="Normal 9 2 2 2 2 3 6" xfId="18847" xr:uid="{E3ABA568-49D4-4248-B8D2-A4332ABACCB6}"/>
    <cellStyle name="Normal 9 2 2 2 2 3 7" xfId="27294" xr:uid="{383E62B8-6E06-4EF2-BA7E-C45CA4E8D639}"/>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17175" xr:uid="{C2F069E2-D235-4597-ACC2-1906DD670258}"/>
    <cellStyle name="Normal 9 2 2 2 2 4 2 2 3" xfId="25622" xr:uid="{60D43604-7CAA-4236-A4C8-179763799C5C}"/>
    <cellStyle name="Normal 9 2 2 2 2 4 2 2 4" xfId="34069" xr:uid="{CC93B86B-4101-4E85-B84A-9B2A1B0F96A9}"/>
    <cellStyle name="Normal 9 2 2 2 2 4 2 3" xfId="12958" xr:uid="{3B268B21-F377-4CE5-AD3B-2C18AE07E0AD}"/>
    <cellStyle name="Normal 9 2 2 2 2 4 2 4" xfId="21405" xr:uid="{308F9B1D-612A-44F6-B09A-47AFD55748FB}"/>
    <cellStyle name="Normal 9 2 2 2 2 4 2 5" xfId="29852" xr:uid="{93D5557E-EB33-4FFD-A031-E38CD1DBBF3A}"/>
    <cellStyle name="Normal 9 2 2 2 2 4 3" xfId="5704" xr:uid="{00000000-0005-0000-0000-00008B1E0000}"/>
    <cellStyle name="Normal 9 2 2 2 2 4 3 2" xfId="15030" xr:uid="{1E2F9675-550D-4B1E-AD99-8FD6B780BD93}"/>
    <cellStyle name="Normal 9 2 2 2 2 4 3 3" xfId="23477" xr:uid="{C44BE426-9449-4D95-B2D7-5F5669D525E3}"/>
    <cellStyle name="Normal 9 2 2 2 2 4 3 4" xfId="31924" xr:uid="{DB790D3C-71E5-4D6F-8A65-B73DCB150D07}"/>
    <cellStyle name="Normal 9 2 2 2 2 4 4" xfId="10813" xr:uid="{32E5D9E3-3379-4A66-9FBA-E953956BDA4B}"/>
    <cellStyle name="Normal 9 2 2 2 2 4 5" xfId="19260" xr:uid="{F277A216-0B8B-4831-AE76-9DBF865FB2AB}"/>
    <cellStyle name="Normal 9 2 2 2 2 4 6" xfId="27707" xr:uid="{96FA5C41-B804-4C71-8B1D-C07BA51406D8}"/>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17588" xr:uid="{E3968EDF-DA15-4C7F-A2B4-19BFDFB41E94}"/>
    <cellStyle name="Normal 9 2 2 2 2 5 2 2 3" xfId="26035" xr:uid="{EB3D3439-ADB7-4589-96D0-15A17A43577F}"/>
    <cellStyle name="Normal 9 2 2 2 2 5 2 2 4" xfId="34482" xr:uid="{4192104B-9B3E-417F-ACCE-674022358CC4}"/>
    <cellStyle name="Normal 9 2 2 2 2 5 2 3" xfId="13371" xr:uid="{7D701354-0D07-4FD6-8BAA-DC294FACEC1F}"/>
    <cellStyle name="Normal 9 2 2 2 2 5 2 4" xfId="21818" xr:uid="{B8DF3640-C282-4FE0-9EBF-66CBD3CC62C1}"/>
    <cellStyle name="Normal 9 2 2 2 2 5 2 5" xfId="30265" xr:uid="{E6692F1D-DE28-4561-ACA7-9998F3E61DFA}"/>
    <cellStyle name="Normal 9 2 2 2 2 5 3" xfId="6117" xr:uid="{00000000-0005-0000-0000-00008F1E0000}"/>
    <cellStyle name="Normal 9 2 2 2 2 5 3 2" xfId="15443" xr:uid="{5F701D3F-13F1-42D6-A4E1-58F3ACC9950A}"/>
    <cellStyle name="Normal 9 2 2 2 2 5 3 3" xfId="23890" xr:uid="{BD4C96B6-F5E5-4A19-B297-A41A7B06955A}"/>
    <cellStyle name="Normal 9 2 2 2 2 5 3 4" xfId="32337" xr:uid="{FC2AA9F7-E84A-42B1-99E3-FF44C51C5379}"/>
    <cellStyle name="Normal 9 2 2 2 2 5 4" xfId="11226" xr:uid="{138CC67B-B71E-4B21-9646-E5137B21EAC6}"/>
    <cellStyle name="Normal 9 2 2 2 2 5 5" xfId="19673" xr:uid="{0CEEA50E-011A-4313-80DD-B7E1D9C5D9AC}"/>
    <cellStyle name="Normal 9 2 2 2 2 5 6" xfId="28120" xr:uid="{717F558D-7793-4381-B7DC-B61FA05BDE39}"/>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18001" xr:uid="{0B6480D7-BDB8-42CD-B2EA-F71405C0B4FE}"/>
    <cellStyle name="Normal 9 2 2 2 2 6 2 2 3" xfId="26448" xr:uid="{70A6BE91-1F56-491D-BD45-D6E4AB8F5750}"/>
    <cellStyle name="Normal 9 2 2 2 2 6 2 2 4" xfId="34895" xr:uid="{FF5C4C54-A6AB-41C5-A90B-4570FB9CCC8B}"/>
    <cellStyle name="Normal 9 2 2 2 2 6 2 3" xfId="13784" xr:uid="{171E121E-4A1F-49BA-9A21-8976D1835E40}"/>
    <cellStyle name="Normal 9 2 2 2 2 6 2 4" xfId="22231" xr:uid="{9EF1B3E1-2825-4960-A3C3-F76242F080AB}"/>
    <cellStyle name="Normal 9 2 2 2 2 6 2 5" xfId="30678" xr:uid="{4D63D0A7-A67E-4E15-898B-D99635440F8C}"/>
    <cellStyle name="Normal 9 2 2 2 2 6 3" xfId="6530" xr:uid="{00000000-0005-0000-0000-0000931E0000}"/>
    <cellStyle name="Normal 9 2 2 2 2 6 3 2" xfId="15856" xr:uid="{0918EB4E-1E4A-47E1-A2C5-2926733CF294}"/>
    <cellStyle name="Normal 9 2 2 2 2 6 3 3" xfId="24303" xr:uid="{157D7309-2995-4156-892B-EE70DE952EF0}"/>
    <cellStyle name="Normal 9 2 2 2 2 6 3 4" xfId="32750" xr:uid="{93B37F8D-4859-4002-B03C-421FD4F698FB}"/>
    <cellStyle name="Normal 9 2 2 2 2 6 4" xfId="11639" xr:uid="{E7503F4F-D238-4EEB-9EB3-6A44E6C13CD5}"/>
    <cellStyle name="Normal 9 2 2 2 2 6 5" xfId="20086" xr:uid="{C9D76D25-4906-44EA-A8F6-3E4A772DB3C8}"/>
    <cellStyle name="Normal 9 2 2 2 2 6 6" xfId="28533" xr:uid="{1353BDF1-8A79-419E-85AD-51A89AC0849E}"/>
    <cellStyle name="Normal 9 2 2 2 2 7" xfId="2660" xr:uid="{00000000-0005-0000-0000-0000941E0000}"/>
    <cellStyle name="Normal 9 2 2 2 2 7 2" xfId="6943" xr:uid="{00000000-0005-0000-0000-0000951E0000}"/>
    <cellStyle name="Normal 9 2 2 2 2 7 2 2" xfId="16269" xr:uid="{A9027910-A17A-480E-8568-8C5F300325C2}"/>
    <cellStyle name="Normal 9 2 2 2 2 7 2 3" xfId="24716" xr:uid="{9A4DC9C7-3173-424E-AF39-4EB88CA3AC93}"/>
    <cellStyle name="Normal 9 2 2 2 2 7 2 4" xfId="33163" xr:uid="{3607D540-2E18-43E6-93A0-A9F0545BB075}"/>
    <cellStyle name="Normal 9 2 2 2 2 7 3" xfId="12052" xr:uid="{29A5AAB0-0A96-464F-AD4A-68472ED8734A}"/>
    <cellStyle name="Normal 9 2 2 2 2 7 4" xfId="20499" xr:uid="{A1856946-181C-4FED-A721-41789A2E3B6B}"/>
    <cellStyle name="Normal 9 2 2 2 2 7 5" xfId="28946" xr:uid="{8523CD32-B14E-4720-8DBA-0663F253651F}"/>
    <cellStyle name="Normal 9 2 2 2 2 8" xfId="4878" xr:uid="{00000000-0005-0000-0000-0000961E0000}"/>
    <cellStyle name="Normal 9 2 2 2 2 8 2" xfId="14204" xr:uid="{A6BCE964-18B7-4094-A868-97798BEF604C}"/>
    <cellStyle name="Normal 9 2 2 2 2 8 3" xfId="22651" xr:uid="{61D1A7A9-252E-4476-8110-34BFE444902E}"/>
    <cellStyle name="Normal 9 2 2 2 2 8 4" xfId="31098" xr:uid="{7372FD4A-D92E-4565-93CA-8205ECD4078B}"/>
    <cellStyle name="Normal 9 2 2 2 2 9" xfId="8942" xr:uid="{0DE8A022-819C-4D6A-B102-31C1C7F429A5}"/>
    <cellStyle name="Normal 9 2 2 2 3" xfId="516" xr:uid="{00000000-0005-0000-0000-0000971E0000}"/>
    <cellStyle name="Normal 9 2 2 2 3 10" xfId="18436" xr:uid="{CEF1B9ED-0347-41D3-8FB7-2B629742BE6F}"/>
    <cellStyle name="Normal 9 2 2 2 3 11" xfId="26883" xr:uid="{7603ABF7-890E-41AA-BD77-3560146E6071}"/>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16764" xr:uid="{4132AD34-9856-4FBE-AEAA-0F8834F8062D}"/>
    <cellStyle name="Normal 9 2 2 2 3 2 2 2 3" xfId="25211" xr:uid="{5443C57F-9F84-46D6-A09E-FCA5EA2F03AD}"/>
    <cellStyle name="Normal 9 2 2 2 3 2 2 2 4" xfId="33658" xr:uid="{015D4021-1205-41B8-AE67-FB8B0E0EF3D8}"/>
    <cellStyle name="Normal 9 2 2 2 3 2 2 3" xfId="12547" xr:uid="{D26F5F60-5E55-49FA-BCEE-262290D66892}"/>
    <cellStyle name="Normal 9 2 2 2 3 2 2 4" xfId="20994" xr:uid="{DAAAB375-8DB1-4A6E-A506-A93B0244965C}"/>
    <cellStyle name="Normal 9 2 2 2 3 2 2 5" xfId="29441" xr:uid="{32C67799-C1B4-4666-A8AB-BF8ED03AABF0}"/>
    <cellStyle name="Normal 9 2 2 2 3 2 3" xfId="5293" xr:uid="{00000000-0005-0000-0000-00009B1E0000}"/>
    <cellStyle name="Normal 9 2 2 2 3 2 3 2" xfId="14619" xr:uid="{68A99B66-0EF8-44E3-8D3D-C582AC41C2B1}"/>
    <cellStyle name="Normal 9 2 2 2 3 2 3 3" xfId="23066" xr:uid="{124F61B1-4664-4ABF-A0D0-A1F032FCCE3E}"/>
    <cellStyle name="Normal 9 2 2 2 3 2 3 4" xfId="31513" xr:uid="{0DDEB22F-EBF8-4776-AA34-09D6C874E3A9}"/>
    <cellStyle name="Normal 9 2 2 2 3 2 4" xfId="9471" xr:uid="{E472D827-532E-42C0-B781-9E63FEBCFCF5}"/>
    <cellStyle name="Normal 9 2 2 2 3 2 5" xfId="10402" xr:uid="{00F2485A-761E-4436-8DAD-7A2DE562B8BB}"/>
    <cellStyle name="Normal 9 2 2 2 3 2 6" xfId="18849" xr:uid="{990641C0-8744-4578-B6F7-A940377AFCD6}"/>
    <cellStyle name="Normal 9 2 2 2 3 2 7" xfId="27296" xr:uid="{AA499F0E-857A-48C1-83E9-CF7C02FA311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17177" xr:uid="{2CEF8B82-255C-47BD-A2E3-75D7B56A7A2C}"/>
    <cellStyle name="Normal 9 2 2 2 3 3 2 2 3" xfId="25624" xr:uid="{A9D85881-CC1F-4F9A-B2B9-9C87A2435A3A}"/>
    <cellStyle name="Normal 9 2 2 2 3 3 2 2 4" xfId="34071" xr:uid="{E83ED5BB-3C04-43B4-BA78-2791E2C7C52E}"/>
    <cellStyle name="Normal 9 2 2 2 3 3 2 3" xfId="12960" xr:uid="{7FEF784B-2ABB-4854-B261-CFBC0AE619B6}"/>
    <cellStyle name="Normal 9 2 2 2 3 3 2 4" xfId="21407" xr:uid="{06825F0E-5AC1-4A1D-8679-2A604799C1F3}"/>
    <cellStyle name="Normal 9 2 2 2 3 3 2 5" xfId="29854" xr:uid="{4E71CD81-98B9-41CD-BED2-7799AED8F829}"/>
    <cellStyle name="Normal 9 2 2 2 3 3 3" xfId="5706" xr:uid="{00000000-0005-0000-0000-00009F1E0000}"/>
    <cellStyle name="Normal 9 2 2 2 3 3 3 2" xfId="15032" xr:uid="{963C6EFB-2D77-4EF2-926F-7DE86C5812F8}"/>
    <cellStyle name="Normal 9 2 2 2 3 3 3 3" xfId="23479" xr:uid="{0E0B2049-D9CD-4571-A5C8-9E5F1FB186AF}"/>
    <cellStyle name="Normal 9 2 2 2 3 3 3 4" xfId="31926" xr:uid="{F8C2637F-1C72-4CA0-8D7B-45EDB7875479}"/>
    <cellStyle name="Normal 9 2 2 2 3 3 4" xfId="10815" xr:uid="{85E4D6F6-38A2-4DCF-AB3C-B72EACDFB7AA}"/>
    <cellStyle name="Normal 9 2 2 2 3 3 5" xfId="19262" xr:uid="{3CDCC573-AE60-42B4-A4CA-DBF19D835C41}"/>
    <cellStyle name="Normal 9 2 2 2 3 3 6" xfId="27709" xr:uid="{6AAB8DBA-28AB-43CD-A8A3-D8051C9C1DA4}"/>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17590" xr:uid="{FBCE2FFA-B8F9-4EB8-9956-D8FB9F95920A}"/>
    <cellStyle name="Normal 9 2 2 2 3 4 2 2 3" xfId="26037" xr:uid="{0CBD826B-B1B8-4AD1-B781-83383FF5DFFC}"/>
    <cellStyle name="Normal 9 2 2 2 3 4 2 2 4" xfId="34484" xr:uid="{F4472BD4-7BF5-4D87-BC34-30B3F7909BB2}"/>
    <cellStyle name="Normal 9 2 2 2 3 4 2 3" xfId="13373" xr:uid="{A328084A-04DC-495B-8700-E26641C47637}"/>
    <cellStyle name="Normal 9 2 2 2 3 4 2 4" xfId="21820" xr:uid="{92DA3087-4D64-4AE0-9D8C-01073EA8CE4C}"/>
    <cellStyle name="Normal 9 2 2 2 3 4 2 5" xfId="30267" xr:uid="{2198BDB1-13C9-47C1-8789-40A3DB923718}"/>
    <cellStyle name="Normal 9 2 2 2 3 4 3" xfId="6119" xr:uid="{00000000-0005-0000-0000-0000A31E0000}"/>
    <cellStyle name="Normal 9 2 2 2 3 4 3 2" xfId="15445" xr:uid="{D5C274E8-0EE9-4345-88F0-A67DA08C8E3B}"/>
    <cellStyle name="Normal 9 2 2 2 3 4 3 3" xfId="23892" xr:uid="{F5CF7E7C-1695-4122-B824-BA2BEA44A97E}"/>
    <cellStyle name="Normal 9 2 2 2 3 4 3 4" xfId="32339" xr:uid="{09C1BEBF-8191-4F2B-A902-E62279284359}"/>
    <cellStyle name="Normal 9 2 2 2 3 4 4" xfId="11228" xr:uid="{F30891E6-73AD-4DE0-B297-7F179385F5FE}"/>
    <cellStyle name="Normal 9 2 2 2 3 4 5" xfId="19675" xr:uid="{75913B46-5C7F-4999-9BC0-F6B7F17F2B9E}"/>
    <cellStyle name="Normal 9 2 2 2 3 4 6" xfId="28122" xr:uid="{1D66E4D3-4DD5-460C-A4B2-0EF2F29AD945}"/>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18003" xr:uid="{01536A66-7266-41FE-BBE8-7DAD1BC961EA}"/>
    <cellStyle name="Normal 9 2 2 2 3 5 2 2 3" xfId="26450" xr:uid="{92D52FEE-4C39-4B75-8ED9-50C53B0B25B0}"/>
    <cellStyle name="Normal 9 2 2 2 3 5 2 2 4" xfId="34897" xr:uid="{E5B69AF4-7618-4C76-BCE7-18831B766B81}"/>
    <cellStyle name="Normal 9 2 2 2 3 5 2 3" xfId="13786" xr:uid="{6CCF5837-2D7F-49C1-B0EA-E1F0879907BC}"/>
    <cellStyle name="Normal 9 2 2 2 3 5 2 4" xfId="22233" xr:uid="{C6B93714-1E04-4808-8DBF-A80A8B989748}"/>
    <cellStyle name="Normal 9 2 2 2 3 5 2 5" xfId="30680" xr:uid="{4EA4200D-3EBC-428F-9BE6-BB17029CA2EB}"/>
    <cellStyle name="Normal 9 2 2 2 3 5 3" xfId="6532" xr:uid="{00000000-0005-0000-0000-0000A71E0000}"/>
    <cellStyle name="Normal 9 2 2 2 3 5 3 2" xfId="15858" xr:uid="{2BF2448C-1C29-44CD-82E5-E55E015540E9}"/>
    <cellStyle name="Normal 9 2 2 2 3 5 3 3" xfId="24305" xr:uid="{538D4653-CBAA-4D5C-88C2-83307DA26A31}"/>
    <cellStyle name="Normal 9 2 2 2 3 5 3 4" xfId="32752" xr:uid="{C1C5CD91-16D2-48E8-BB6D-59D0C92D69E4}"/>
    <cellStyle name="Normal 9 2 2 2 3 5 4" xfId="11641" xr:uid="{C258D306-BA56-400E-89F0-F18AAD3A1963}"/>
    <cellStyle name="Normal 9 2 2 2 3 5 5" xfId="20088" xr:uid="{698D3991-03BC-49C8-95E9-B578D85BE0CA}"/>
    <cellStyle name="Normal 9 2 2 2 3 5 6" xfId="28535" xr:uid="{618C9046-49FC-4CD0-BFED-9B2C64AE04E6}"/>
    <cellStyle name="Normal 9 2 2 2 3 6" xfId="2662" xr:uid="{00000000-0005-0000-0000-0000A81E0000}"/>
    <cellStyle name="Normal 9 2 2 2 3 6 2" xfId="6945" xr:uid="{00000000-0005-0000-0000-0000A91E0000}"/>
    <cellStyle name="Normal 9 2 2 2 3 6 2 2" xfId="16271" xr:uid="{DC1EF264-9F5A-4B8B-B5C5-3AE13D08AECD}"/>
    <cellStyle name="Normal 9 2 2 2 3 6 2 3" xfId="24718" xr:uid="{210EC87F-EEF3-4178-B153-E2F039271FBC}"/>
    <cellStyle name="Normal 9 2 2 2 3 6 2 4" xfId="33165" xr:uid="{8B342179-050D-4073-A2F6-FABDEF516014}"/>
    <cellStyle name="Normal 9 2 2 2 3 6 3" xfId="12054" xr:uid="{B5C13D54-4A38-4F6D-A804-0DAAE0A95254}"/>
    <cellStyle name="Normal 9 2 2 2 3 6 4" xfId="20501" xr:uid="{81234565-DF45-451F-ADA3-1DDA0CB46D21}"/>
    <cellStyle name="Normal 9 2 2 2 3 6 5" xfId="28948" xr:uid="{6730AD71-F979-415D-967A-609BE76DE7D6}"/>
    <cellStyle name="Normal 9 2 2 2 3 7" xfId="4880" xr:uid="{00000000-0005-0000-0000-0000AA1E0000}"/>
    <cellStyle name="Normal 9 2 2 2 3 7 2" xfId="14206" xr:uid="{7AE8F282-A983-4F0D-ABB4-1911205207DE}"/>
    <cellStyle name="Normal 9 2 2 2 3 7 3" xfId="22653" xr:uid="{7EAE4A4B-D55D-4C0F-BE86-42E96E485322}"/>
    <cellStyle name="Normal 9 2 2 2 3 7 4" xfId="31100" xr:uid="{D110CFEA-4981-40A1-B6F3-FAE87598AF03}"/>
    <cellStyle name="Normal 9 2 2 2 3 8" xfId="9046" xr:uid="{6B7E07C7-E90B-4AE9-8FE8-76EF28E8FC85}"/>
    <cellStyle name="Normal 9 2 2 2 3 9" xfId="9989" xr:uid="{D559F57E-E6CB-4FE6-811E-B1A188394D51}"/>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16761" xr:uid="{9C2282A2-A4F2-4604-BDE7-E418D2B4E44B}"/>
    <cellStyle name="Normal 9 2 2 2 4 2 2 3" xfId="25208" xr:uid="{04073612-8533-44BF-A0AF-4B09558286E5}"/>
    <cellStyle name="Normal 9 2 2 2 4 2 2 4" xfId="33655" xr:uid="{1C2DA4C3-4F49-4658-9BC2-1474AC126BBE}"/>
    <cellStyle name="Normal 9 2 2 2 4 2 3" xfId="12544" xr:uid="{81D54B33-3A56-4A77-838A-8A9524107492}"/>
    <cellStyle name="Normal 9 2 2 2 4 2 4" xfId="20991" xr:uid="{265E8ED9-B197-4329-8B93-9AB16B5B7A3C}"/>
    <cellStyle name="Normal 9 2 2 2 4 2 5" xfId="29438" xr:uid="{19D197DD-430E-49B2-A2E0-56A4EA2EC1D0}"/>
    <cellStyle name="Normal 9 2 2 2 4 3" xfId="5290" xr:uid="{00000000-0005-0000-0000-0000AE1E0000}"/>
    <cellStyle name="Normal 9 2 2 2 4 3 2" xfId="14616" xr:uid="{BBF8EF64-526B-4AE2-BE2C-46A2EDD363C5}"/>
    <cellStyle name="Normal 9 2 2 2 4 3 3" xfId="23063" xr:uid="{F0D964FB-6BD8-4A65-89D9-065D8D11FD70}"/>
    <cellStyle name="Normal 9 2 2 2 4 3 4" xfId="31510" xr:uid="{C0D5C657-DD44-4CFD-A498-5C737A6083C4}"/>
    <cellStyle name="Normal 9 2 2 2 4 4" xfId="9264" xr:uid="{0137E036-48D9-4B3B-9B73-0002A19DDE9E}"/>
    <cellStyle name="Normal 9 2 2 2 4 5" xfId="10399" xr:uid="{4D225A62-CA0F-49A2-B3CE-8AAF2DFBAB38}"/>
    <cellStyle name="Normal 9 2 2 2 4 6" xfId="18846" xr:uid="{3510B3FF-1C5D-4D99-B000-A6A0E75B1B7A}"/>
    <cellStyle name="Normal 9 2 2 2 4 7" xfId="27293" xr:uid="{16927DA2-7136-4C63-9DB9-96A6E0C59B64}"/>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17174" xr:uid="{F83EB96D-CCFE-4895-AB77-6ECAC1028660}"/>
    <cellStyle name="Normal 9 2 2 2 5 2 2 3" xfId="25621" xr:uid="{63B0AFED-8013-4E6D-9A17-DBFA3A764060}"/>
    <cellStyle name="Normal 9 2 2 2 5 2 2 4" xfId="34068" xr:uid="{2CE7752E-FC4D-4081-BF98-7C9D5903D639}"/>
    <cellStyle name="Normal 9 2 2 2 5 2 3" xfId="12957" xr:uid="{1F45129E-22ED-4FC0-9720-89E166366BF2}"/>
    <cellStyle name="Normal 9 2 2 2 5 2 4" xfId="21404" xr:uid="{311E972C-DD30-4A50-A44B-CA40F49638F3}"/>
    <cellStyle name="Normal 9 2 2 2 5 2 5" xfId="29851" xr:uid="{FEAB8301-FFE9-4838-88D2-6BFE0B47854C}"/>
    <cellStyle name="Normal 9 2 2 2 5 3" xfId="5703" xr:uid="{00000000-0005-0000-0000-0000B21E0000}"/>
    <cellStyle name="Normal 9 2 2 2 5 3 2" xfId="15029" xr:uid="{F37BE18E-BDD3-47AE-80C9-D4C7001266D2}"/>
    <cellStyle name="Normal 9 2 2 2 5 3 3" xfId="23476" xr:uid="{74AD7427-0702-4042-B35C-E19CB6B0B8CB}"/>
    <cellStyle name="Normal 9 2 2 2 5 3 4" xfId="31923" xr:uid="{74AA3907-1295-42D0-B71A-593C52620FD3}"/>
    <cellStyle name="Normal 9 2 2 2 5 4" xfId="10812" xr:uid="{01C6C9BB-2097-4B32-BCAA-0C72F527F41C}"/>
    <cellStyle name="Normal 9 2 2 2 5 5" xfId="19259" xr:uid="{A01ED3CA-2B44-4876-9E49-789366942092}"/>
    <cellStyle name="Normal 9 2 2 2 5 6" xfId="27706" xr:uid="{D448B31D-57C5-4BD9-826B-8DFBEE8F0376}"/>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17587" xr:uid="{CE48930B-5738-40AF-A6C2-C289F4C00F2A}"/>
    <cellStyle name="Normal 9 2 2 2 6 2 2 3" xfId="26034" xr:uid="{68C35D9E-2E17-4CCA-9D2B-530DF26CD58B}"/>
    <cellStyle name="Normal 9 2 2 2 6 2 2 4" xfId="34481" xr:uid="{5DD052CF-94CC-43C1-80C7-A86DB1AE1692}"/>
    <cellStyle name="Normal 9 2 2 2 6 2 3" xfId="13370" xr:uid="{55C52F77-5623-4330-956B-B1B63050C2DE}"/>
    <cellStyle name="Normal 9 2 2 2 6 2 4" xfId="21817" xr:uid="{AAB540E8-659A-4822-8B7C-EAD33A1F5F88}"/>
    <cellStyle name="Normal 9 2 2 2 6 2 5" xfId="30264" xr:uid="{F09BCA61-632B-4BBB-B3A2-34A71A81F0E9}"/>
    <cellStyle name="Normal 9 2 2 2 6 3" xfId="6116" xr:uid="{00000000-0005-0000-0000-0000B61E0000}"/>
    <cellStyle name="Normal 9 2 2 2 6 3 2" xfId="15442" xr:uid="{C4B7732E-3B79-4703-B0C7-E9FC61391C1C}"/>
    <cellStyle name="Normal 9 2 2 2 6 3 3" xfId="23889" xr:uid="{237A9570-7743-4606-A405-3EFE7DC5A5F6}"/>
    <cellStyle name="Normal 9 2 2 2 6 3 4" xfId="32336" xr:uid="{48D9B54B-B1B6-4E4A-BE1D-B4D27FEABADE}"/>
    <cellStyle name="Normal 9 2 2 2 6 4" xfId="11225" xr:uid="{425BC3CF-E60A-4425-8A69-E71769FF7C38}"/>
    <cellStyle name="Normal 9 2 2 2 6 5" xfId="19672" xr:uid="{8434F937-69F8-4262-8ED5-E1C5C1A95C0A}"/>
    <cellStyle name="Normal 9 2 2 2 6 6" xfId="28119" xr:uid="{0647486B-292F-408A-BD0A-E7A2596FD324}"/>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18000" xr:uid="{0E42E1F8-6406-4B60-BDAD-9A793FA14D82}"/>
    <cellStyle name="Normal 9 2 2 2 7 2 2 3" xfId="26447" xr:uid="{9496878D-E665-4F14-A6D6-90D09297996D}"/>
    <cellStyle name="Normal 9 2 2 2 7 2 2 4" xfId="34894" xr:uid="{8E6029CF-BA64-4286-9296-9C2A0D8845C9}"/>
    <cellStyle name="Normal 9 2 2 2 7 2 3" xfId="13783" xr:uid="{1D09A097-6DD8-4C92-BA30-12338F05EA8F}"/>
    <cellStyle name="Normal 9 2 2 2 7 2 4" xfId="22230" xr:uid="{585F0BDF-F762-487F-9BD9-125ACDFF4FFB}"/>
    <cellStyle name="Normal 9 2 2 2 7 2 5" xfId="30677" xr:uid="{23418173-E0A2-4266-A0CE-16DAB913A8AE}"/>
    <cellStyle name="Normal 9 2 2 2 7 3" xfId="6529" xr:uid="{00000000-0005-0000-0000-0000BA1E0000}"/>
    <cellStyle name="Normal 9 2 2 2 7 3 2" xfId="15855" xr:uid="{9D7994EA-0D41-4F0D-917B-29B756E06BF2}"/>
    <cellStyle name="Normal 9 2 2 2 7 3 3" xfId="24302" xr:uid="{5888B67F-B12D-4B97-9977-0AE98D1CBF2D}"/>
    <cellStyle name="Normal 9 2 2 2 7 3 4" xfId="32749" xr:uid="{B9594B83-1DF2-457A-B147-78C667332884}"/>
    <cellStyle name="Normal 9 2 2 2 7 4" xfId="11638" xr:uid="{D803DF2C-4D67-4B59-A592-738D8D42F73B}"/>
    <cellStyle name="Normal 9 2 2 2 7 5" xfId="20085" xr:uid="{4B0B98F8-7D12-4B6E-8DCD-8B74E565BDF5}"/>
    <cellStyle name="Normal 9 2 2 2 7 6" xfId="28532" xr:uid="{109824DC-D0F2-4E80-AC62-99790B11734D}"/>
    <cellStyle name="Normal 9 2 2 2 8" xfId="2659" xr:uid="{00000000-0005-0000-0000-0000BB1E0000}"/>
    <cellStyle name="Normal 9 2 2 2 8 2" xfId="6942" xr:uid="{00000000-0005-0000-0000-0000BC1E0000}"/>
    <cellStyle name="Normal 9 2 2 2 8 2 2" xfId="16268" xr:uid="{2FB2435F-D59F-4AC5-9839-47B9C18090CA}"/>
    <cellStyle name="Normal 9 2 2 2 8 2 3" xfId="24715" xr:uid="{27E9A8F8-E031-4A57-A8C2-BAD29E8A02D2}"/>
    <cellStyle name="Normal 9 2 2 2 8 2 4" xfId="33162" xr:uid="{C897E96A-A0C6-463B-8499-E19A023C3807}"/>
    <cellStyle name="Normal 9 2 2 2 8 3" xfId="12051" xr:uid="{21851358-AF93-4563-A3A1-04ECBE04ABD0}"/>
    <cellStyle name="Normal 9 2 2 2 8 4" xfId="20498" xr:uid="{CF12A1B5-E576-467B-BDE6-FB8F7FAA69C0}"/>
    <cellStyle name="Normal 9 2 2 2 8 5" xfId="28945" xr:uid="{B720B325-0E75-4544-A340-B8DE3ECAD0C9}"/>
    <cellStyle name="Normal 9 2 2 2 9" xfId="4877" xr:uid="{00000000-0005-0000-0000-0000BD1E0000}"/>
    <cellStyle name="Normal 9 2 2 2 9 2" xfId="14203" xr:uid="{77D8DEE2-AAEB-469B-8A1A-43DAF216FF05}"/>
    <cellStyle name="Normal 9 2 2 2 9 3" xfId="22650" xr:uid="{D28AE382-1257-4450-8C5E-435A66D2C48D}"/>
    <cellStyle name="Normal 9 2 2 2 9 4" xfId="31097" xr:uid="{5714E9BA-58E2-418A-91FD-94B99CF3A43E}"/>
    <cellStyle name="Normal 9 2 2 3" xfId="517" xr:uid="{00000000-0005-0000-0000-0000BE1E0000}"/>
    <cellStyle name="Normal 9 2 2 3 10" xfId="9990" xr:uid="{FFBC8679-C780-4B2E-806B-D5DD52D2568F}"/>
    <cellStyle name="Normal 9 2 2 3 11" xfId="18437" xr:uid="{0B45B37D-59BE-478C-8100-46BAEE5027E6}"/>
    <cellStyle name="Normal 9 2 2 3 12" xfId="26884" xr:uid="{28139E4C-A7A2-41D2-84A2-ABC901E06A2F}"/>
    <cellStyle name="Normal 9 2 2 3 2" xfId="518" xr:uid="{00000000-0005-0000-0000-0000BF1E0000}"/>
    <cellStyle name="Normal 9 2 2 3 2 10" xfId="18438" xr:uid="{2C98B940-FC33-435F-9BED-BEC190FF771D}"/>
    <cellStyle name="Normal 9 2 2 3 2 11" xfId="26885" xr:uid="{6EE5221B-10FB-4F4A-BF49-FC8117081EDD}"/>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16766" xr:uid="{A190A206-4EC7-4912-B269-6732837E4491}"/>
    <cellStyle name="Normal 9 2 2 3 2 2 2 2 3" xfId="25213" xr:uid="{AF385F41-02DE-430F-92E4-047C7108635C}"/>
    <cellStyle name="Normal 9 2 2 3 2 2 2 2 4" xfId="33660" xr:uid="{BC5E5951-37F7-4565-8F9B-11F04A35E8BE}"/>
    <cellStyle name="Normal 9 2 2 3 2 2 2 3" xfId="12549" xr:uid="{9DF79BBE-A824-41DC-845C-057A58DC066B}"/>
    <cellStyle name="Normal 9 2 2 3 2 2 2 4" xfId="20996" xr:uid="{BB8F1DF9-8582-4D81-945F-0161B9974958}"/>
    <cellStyle name="Normal 9 2 2 3 2 2 2 5" xfId="29443" xr:uid="{4BF2D979-5516-4511-A76A-5E6A23AE3CE1}"/>
    <cellStyle name="Normal 9 2 2 3 2 2 3" xfId="5295" xr:uid="{00000000-0005-0000-0000-0000C31E0000}"/>
    <cellStyle name="Normal 9 2 2 3 2 2 3 2" xfId="14621" xr:uid="{BF4E417C-D949-4F6F-B736-B3FF0CF7A0BF}"/>
    <cellStyle name="Normal 9 2 2 3 2 2 3 3" xfId="23068" xr:uid="{1024E316-E7EB-43DA-B740-DED4B689CF3E}"/>
    <cellStyle name="Normal 9 2 2 3 2 2 3 4" xfId="31515" xr:uid="{12A78419-4C2F-4D71-BD5F-5734E5DC908A}"/>
    <cellStyle name="Normal 9 2 2 3 2 2 4" xfId="9520" xr:uid="{57CFBD10-691F-4DF8-8020-B75E98FF60DD}"/>
    <cellStyle name="Normal 9 2 2 3 2 2 5" xfId="10404" xr:uid="{930E0157-947C-4585-B918-95A476E7847A}"/>
    <cellStyle name="Normal 9 2 2 3 2 2 6" xfId="18851" xr:uid="{E2B64CBD-F8DE-4C9F-8246-1B8BD6A46292}"/>
    <cellStyle name="Normal 9 2 2 3 2 2 7" xfId="27298" xr:uid="{4DB52793-3EF6-4D0D-BD80-6966C0DB1636}"/>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17179" xr:uid="{B1DB9B15-C190-4C90-A3F0-0BF62021B988}"/>
    <cellStyle name="Normal 9 2 2 3 2 3 2 2 3" xfId="25626" xr:uid="{672656F8-305D-4C81-B2DB-7C58D1E4DE65}"/>
    <cellStyle name="Normal 9 2 2 3 2 3 2 2 4" xfId="34073" xr:uid="{266183F1-7DE2-43D1-80AA-18E1C8DA1052}"/>
    <cellStyle name="Normal 9 2 2 3 2 3 2 3" xfId="12962" xr:uid="{39A455B7-B552-49BB-8A36-9B7D4A7418E9}"/>
    <cellStyle name="Normal 9 2 2 3 2 3 2 4" xfId="21409" xr:uid="{FCE084AD-CFF0-4026-B308-0B0DF5384F78}"/>
    <cellStyle name="Normal 9 2 2 3 2 3 2 5" xfId="29856" xr:uid="{12AFE6D3-54D0-447E-BCD2-BC5E622DA3A4}"/>
    <cellStyle name="Normal 9 2 2 3 2 3 3" xfId="5708" xr:uid="{00000000-0005-0000-0000-0000C71E0000}"/>
    <cellStyle name="Normal 9 2 2 3 2 3 3 2" xfId="15034" xr:uid="{B599E6C6-F433-42AE-864A-0BA17DEF9FF3}"/>
    <cellStyle name="Normal 9 2 2 3 2 3 3 3" xfId="23481" xr:uid="{6225002B-523A-4B89-BB2E-9BBC19BB4B01}"/>
    <cellStyle name="Normal 9 2 2 3 2 3 3 4" xfId="31928" xr:uid="{17A2FB0C-A7DB-4F34-AA96-C8D220064A42}"/>
    <cellStyle name="Normal 9 2 2 3 2 3 4" xfId="10817" xr:uid="{6CDCB438-A6B4-4662-8D2F-118744F9FE95}"/>
    <cellStyle name="Normal 9 2 2 3 2 3 5" xfId="19264" xr:uid="{52019DB2-2A14-4CCA-8521-A87B67983408}"/>
    <cellStyle name="Normal 9 2 2 3 2 3 6" xfId="27711" xr:uid="{34C517E9-3C1B-4126-AEE2-43930849C5CD}"/>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17592" xr:uid="{7F474D23-AB5B-4B70-AF77-3D31BAC6EE13}"/>
    <cellStyle name="Normal 9 2 2 3 2 4 2 2 3" xfId="26039" xr:uid="{7037EEB7-6C52-4108-98F4-4B91EAD7E213}"/>
    <cellStyle name="Normal 9 2 2 3 2 4 2 2 4" xfId="34486" xr:uid="{89D33558-7551-481E-A10C-682D297EA949}"/>
    <cellStyle name="Normal 9 2 2 3 2 4 2 3" xfId="13375" xr:uid="{35DACF27-C302-447F-BDDC-BEF0543DFB2B}"/>
    <cellStyle name="Normal 9 2 2 3 2 4 2 4" xfId="21822" xr:uid="{207D92E1-E59D-458D-B243-CC495C6980B8}"/>
    <cellStyle name="Normal 9 2 2 3 2 4 2 5" xfId="30269" xr:uid="{BD448849-AFBC-470A-B046-446094F33B76}"/>
    <cellStyle name="Normal 9 2 2 3 2 4 3" xfId="6121" xr:uid="{00000000-0005-0000-0000-0000CB1E0000}"/>
    <cellStyle name="Normal 9 2 2 3 2 4 3 2" xfId="15447" xr:uid="{EF3DDC76-202F-423E-A478-F079A3264AD7}"/>
    <cellStyle name="Normal 9 2 2 3 2 4 3 3" xfId="23894" xr:uid="{17B25000-7C5B-49B1-B395-3E8A2447C938}"/>
    <cellStyle name="Normal 9 2 2 3 2 4 3 4" xfId="32341" xr:uid="{E4B149EC-D3C4-4552-82DD-BD492925194A}"/>
    <cellStyle name="Normal 9 2 2 3 2 4 4" xfId="11230" xr:uid="{7C338802-EE20-43CD-90FE-DE4B2F680805}"/>
    <cellStyle name="Normal 9 2 2 3 2 4 5" xfId="19677" xr:uid="{2C53DACD-0241-4335-ADAE-D405CCFFCD7B}"/>
    <cellStyle name="Normal 9 2 2 3 2 4 6" xfId="28124" xr:uid="{DDDCE487-7081-45C9-B186-7EBA7F3B2CB4}"/>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18005" xr:uid="{E62137D7-99F6-4889-ADE7-B1007A7BC02B}"/>
    <cellStyle name="Normal 9 2 2 3 2 5 2 2 3" xfId="26452" xr:uid="{943607AB-C3A7-4956-BA12-6C0B0B6EFA6E}"/>
    <cellStyle name="Normal 9 2 2 3 2 5 2 2 4" xfId="34899" xr:uid="{5F36FEBA-609C-4E0B-8527-2CE6722D273F}"/>
    <cellStyle name="Normal 9 2 2 3 2 5 2 3" xfId="13788" xr:uid="{DC795740-455E-4C43-B57E-1B51FFCF984F}"/>
    <cellStyle name="Normal 9 2 2 3 2 5 2 4" xfId="22235" xr:uid="{083C4745-31B6-4C80-B2E8-4FFB9DB04F80}"/>
    <cellStyle name="Normal 9 2 2 3 2 5 2 5" xfId="30682" xr:uid="{0E5EE243-3519-44FE-887E-A9EB20890190}"/>
    <cellStyle name="Normal 9 2 2 3 2 5 3" xfId="6534" xr:uid="{00000000-0005-0000-0000-0000CF1E0000}"/>
    <cellStyle name="Normal 9 2 2 3 2 5 3 2" xfId="15860" xr:uid="{561C4AAA-5716-433C-B65F-AC23C4792D87}"/>
    <cellStyle name="Normal 9 2 2 3 2 5 3 3" xfId="24307" xr:uid="{B9B37B01-8973-4F19-98A2-85DED496F01D}"/>
    <cellStyle name="Normal 9 2 2 3 2 5 3 4" xfId="32754" xr:uid="{FF8995FC-E8BB-43F3-98FA-22B1B4A146E3}"/>
    <cellStyle name="Normal 9 2 2 3 2 5 4" xfId="11643" xr:uid="{34DD2E5C-13BF-4B8B-9E7E-0FE4CB8F5952}"/>
    <cellStyle name="Normal 9 2 2 3 2 5 5" xfId="20090" xr:uid="{E2F31480-467C-4E34-8BDF-C7CD41622183}"/>
    <cellStyle name="Normal 9 2 2 3 2 5 6" xfId="28537" xr:uid="{853DD401-74B9-4898-9042-3679CDC813FF}"/>
    <cellStyle name="Normal 9 2 2 3 2 6" xfId="2664" xr:uid="{00000000-0005-0000-0000-0000D01E0000}"/>
    <cellStyle name="Normal 9 2 2 3 2 6 2" xfId="6947" xr:uid="{00000000-0005-0000-0000-0000D11E0000}"/>
    <cellStyle name="Normal 9 2 2 3 2 6 2 2" xfId="16273" xr:uid="{BF573807-0DB6-4892-82EB-CFA6A0537B94}"/>
    <cellStyle name="Normal 9 2 2 3 2 6 2 3" xfId="24720" xr:uid="{075DF620-8CC6-4748-9850-47BDA45E94CF}"/>
    <cellStyle name="Normal 9 2 2 3 2 6 2 4" xfId="33167" xr:uid="{B857EBC4-BD73-4EF5-90EF-554EB64C9420}"/>
    <cellStyle name="Normal 9 2 2 3 2 6 3" xfId="12056" xr:uid="{BEF99837-F82C-46B2-BEF1-32C39A3DAE9F}"/>
    <cellStyle name="Normal 9 2 2 3 2 6 4" xfId="20503" xr:uid="{167BB2B5-F556-4582-A72D-ECDEF14231C9}"/>
    <cellStyle name="Normal 9 2 2 3 2 6 5" xfId="28950" xr:uid="{7AE51989-A8DC-4EB4-AC01-8F7FDD3818BB}"/>
    <cellStyle name="Normal 9 2 2 3 2 7" xfId="4882" xr:uid="{00000000-0005-0000-0000-0000D21E0000}"/>
    <cellStyle name="Normal 9 2 2 3 2 7 2" xfId="14208" xr:uid="{620E7CAB-9411-45F8-9E5B-AEB0E7711855}"/>
    <cellStyle name="Normal 9 2 2 3 2 7 3" xfId="22655" xr:uid="{5ACCCC7A-823C-43BF-B35D-20E95D8BF3D0}"/>
    <cellStyle name="Normal 9 2 2 3 2 7 4" xfId="31102" xr:uid="{6D5AD3DD-72B9-458E-A3AE-FC722EFFB6BE}"/>
    <cellStyle name="Normal 9 2 2 3 2 8" xfId="9095" xr:uid="{D95088B7-D227-4E97-A9B9-DA61436DD386}"/>
    <cellStyle name="Normal 9 2 2 3 2 9" xfId="9991" xr:uid="{588C1898-ACB4-4A70-95FA-C54722B65F28}"/>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16765" xr:uid="{CA35CB10-2A42-4D43-B605-632D474A2C61}"/>
    <cellStyle name="Normal 9 2 2 3 3 2 2 3" xfId="25212" xr:uid="{5BBBF2FC-2433-45E2-B2E9-F81841B63399}"/>
    <cellStyle name="Normal 9 2 2 3 3 2 2 4" xfId="33659" xr:uid="{6212C7FC-975D-4E25-B41A-1604495BDBD0}"/>
    <cellStyle name="Normal 9 2 2 3 3 2 3" xfId="12548" xr:uid="{FFAEB6C9-3CA2-47D5-BFF6-05E7CAE15991}"/>
    <cellStyle name="Normal 9 2 2 3 3 2 4" xfId="20995" xr:uid="{586F3224-DF90-4A6C-B505-228AF2083BF7}"/>
    <cellStyle name="Normal 9 2 2 3 3 2 5" xfId="29442" xr:uid="{04D45D17-4400-4494-9583-820458B572E0}"/>
    <cellStyle name="Normal 9 2 2 3 3 3" xfId="5294" xr:uid="{00000000-0005-0000-0000-0000D61E0000}"/>
    <cellStyle name="Normal 9 2 2 3 3 3 2" xfId="14620" xr:uid="{2A137057-61C1-44AE-B856-BC03C978D9C6}"/>
    <cellStyle name="Normal 9 2 2 3 3 3 3" xfId="23067" xr:uid="{A5D66984-51A8-4DCF-BFDE-D1885C8958E3}"/>
    <cellStyle name="Normal 9 2 2 3 3 3 4" xfId="31514" xr:uid="{A01F00B0-698A-420C-9416-02B9D75D0A6D}"/>
    <cellStyle name="Normal 9 2 2 3 3 4" xfId="9313" xr:uid="{FDDC600D-FDDD-4FFC-9820-DFD7E0768F33}"/>
    <cellStyle name="Normal 9 2 2 3 3 5" xfId="10403" xr:uid="{201E29E8-D61B-4B95-90C4-27FD2CC4A15F}"/>
    <cellStyle name="Normal 9 2 2 3 3 6" xfId="18850" xr:uid="{4A85B240-7EAA-4771-B04A-0A7E6463815B}"/>
    <cellStyle name="Normal 9 2 2 3 3 7" xfId="27297" xr:uid="{F43E9C30-BA34-4EFB-A152-0B89C917402E}"/>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17178" xr:uid="{52CE01B9-A39A-4AFA-85AB-74685E31257E}"/>
    <cellStyle name="Normal 9 2 2 3 4 2 2 3" xfId="25625" xr:uid="{C5CD6E5E-384E-4753-B430-D65CD35723FC}"/>
    <cellStyle name="Normal 9 2 2 3 4 2 2 4" xfId="34072" xr:uid="{9666165B-408F-4B19-BE78-85A113CE44F0}"/>
    <cellStyle name="Normal 9 2 2 3 4 2 3" xfId="12961" xr:uid="{E13912B3-6C86-4C56-8961-C4DF7D453EA4}"/>
    <cellStyle name="Normal 9 2 2 3 4 2 4" xfId="21408" xr:uid="{62B71344-975F-4966-A800-016998B9B550}"/>
    <cellStyle name="Normal 9 2 2 3 4 2 5" xfId="29855" xr:uid="{B8CEBEA5-6844-49CC-8F78-6C2093AF34A8}"/>
    <cellStyle name="Normal 9 2 2 3 4 3" xfId="5707" xr:uid="{00000000-0005-0000-0000-0000DA1E0000}"/>
    <cellStyle name="Normal 9 2 2 3 4 3 2" xfId="15033" xr:uid="{9D7B35C8-F5DF-4E30-8582-3B70BCBE3F90}"/>
    <cellStyle name="Normal 9 2 2 3 4 3 3" xfId="23480" xr:uid="{BB8879BE-2047-4956-923F-38F007A4B9D0}"/>
    <cellStyle name="Normal 9 2 2 3 4 3 4" xfId="31927" xr:uid="{647E8A51-2560-48EB-A9F0-AA233908D099}"/>
    <cellStyle name="Normal 9 2 2 3 4 4" xfId="10816" xr:uid="{05C2862C-208C-4834-B985-7DA7F3BE2A54}"/>
    <cellStyle name="Normal 9 2 2 3 4 5" xfId="19263" xr:uid="{1A54CD7E-76E8-4D02-9EF7-4F59C17428EA}"/>
    <cellStyle name="Normal 9 2 2 3 4 6" xfId="27710" xr:uid="{8E47267E-1FCC-4020-B28A-4279448DB130}"/>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17591" xr:uid="{2E87C7DD-64DF-4064-A637-F28F10BEF63F}"/>
    <cellStyle name="Normal 9 2 2 3 5 2 2 3" xfId="26038" xr:uid="{94554465-5C3A-4A6E-BE51-091C8231660C}"/>
    <cellStyle name="Normal 9 2 2 3 5 2 2 4" xfId="34485" xr:uid="{64C34841-2A7C-4648-A117-29A326117EDE}"/>
    <cellStyle name="Normal 9 2 2 3 5 2 3" xfId="13374" xr:uid="{DF4669A2-6AD2-45EB-AC60-8ED832EAF964}"/>
    <cellStyle name="Normal 9 2 2 3 5 2 4" xfId="21821" xr:uid="{9BD634B9-69C8-4E0F-BA97-EC0A110D8617}"/>
    <cellStyle name="Normal 9 2 2 3 5 2 5" xfId="30268" xr:uid="{FC6F413E-11F2-4346-823F-90121F43AD51}"/>
    <cellStyle name="Normal 9 2 2 3 5 3" xfId="6120" xr:uid="{00000000-0005-0000-0000-0000DE1E0000}"/>
    <cellStyle name="Normal 9 2 2 3 5 3 2" xfId="15446" xr:uid="{F82588D4-914B-469F-A1E4-89598D6F4D03}"/>
    <cellStyle name="Normal 9 2 2 3 5 3 3" xfId="23893" xr:uid="{FA767960-D6E8-46D9-9D6E-A00A9443DD55}"/>
    <cellStyle name="Normal 9 2 2 3 5 3 4" xfId="32340" xr:uid="{EC87815B-2E49-4248-A618-D1D89B7481DD}"/>
    <cellStyle name="Normal 9 2 2 3 5 4" xfId="11229" xr:uid="{6175A84D-7808-478A-B710-E72E2D6F7D1B}"/>
    <cellStyle name="Normal 9 2 2 3 5 5" xfId="19676" xr:uid="{EEB78444-B226-49B0-93E7-A718617A2433}"/>
    <cellStyle name="Normal 9 2 2 3 5 6" xfId="28123" xr:uid="{FAB610C6-8C9D-45AB-A4B7-DEA8256564AA}"/>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18004" xr:uid="{96D8BCE0-D5AE-4108-AC69-9F655B6C44C6}"/>
    <cellStyle name="Normal 9 2 2 3 6 2 2 3" xfId="26451" xr:uid="{337E567C-0584-48BC-A198-8B49555CCA44}"/>
    <cellStyle name="Normal 9 2 2 3 6 2 2 4" xfId="34898" xr:uid="{2F7EAB0D-3E87-456A-A8D8-557E12A77FF0}"/>
    <cellStyle name="Normal 9 2 2 3 6 2 3" xfId="13787" xr:uid="{A8E37DE3-2029-46B1-A1BD-DBB86A3271F5}"/>
    <cellStyle name="Normal 9 2 2 3 6 2 4" xfId="22234" xr:uid="{34E8C226-7DDC-4545-8AEC-905BC6920E42}"/>
    <cellStyle name="Normal 9 2 2 3 6 2 5" xfId="30681" xr:uid="{275CD5B4-7612-4133-BE93-09A307D61164}"/>
    <cellStyle name="Normal 9 2 2 3 6 3" xfId="6533" xr:uid="{00000000-0005-0000-0000-0000E21E0000}"/>
    <cellStyle name="Normal 9 2 2 3 6 3 2" xfId="15859" xr:uid="{7CF73737-1559-496E-BFA7-9005FB387BFE}"/>
    <cellStyle name="Normal 9 2 2 3 6 3 3" xfId="24306" xr:uid="{75012756-456F-40BC-922F-ACEC903DE280}"/>
    <cellStyle name="Normal 9 2 2 3 6 3 4" xfId="32753" xr:uid="{FAE10F8A-A342-4C10-9E95-990759929637}"/>
    <cellStyle name="Normal 9 2 2 3 6 4" xfId="11642" xr:uid="{19A15D8C-4962-43F1-8B7E-E0609E37A22A}"/>
    <cellStyle name="Normal 9 2 2 3 6 5" xfId="20089" xr:uid="{2ED1744C-8F28-4AAE-8FC8-2DEC5431030D}"/>
    <cellStyle name="Normal 9 2 2 3 6 6" xfId="28536" xr:uid="{6D1B3AAB-1F82-469A-89BB-D2E3638218F4}"/>
    <cellStyle name="Normal 9 2 2 3 7" xfId="2663" xr:uid="{00000000-0005-0000-0000-0000E31E0000}"/>
    <cellStyle name="Normal 9 2 2 3 7 2" xfId="6946" xr:uid="{00000000-0005-0000-0000-0000E41E0000}"/>
    <cellStyle name="Normal 9 2 2 3 7 2 2" xfId="16272" xr:uid="{085B9B6B-F8C0-4EE3-B2B9-1D364073AAF0}"/>
    <cellStyle name="Normal 9 2 2 3 7 2 3" xfId="24719" xr:uid="{2F1187D5-7632-437E-9814-220579DBA84B}"/>
    <cellStyle name="Normal 9 2 2 3 7 2 4" xfId="33166" xr:uid="{72580426-6D3F-4CFC-9C94-E54FA1BAD7EF}"/>
    <cellStyle name="Normal 9 2 2 3 7 3" xfId="12055" xr:uid="{EF681A99-2815-4208-8D78-90C276DF810F}"/>
    <cellStyle name="Normal 9 2 2 3 7 4" xfId="20502" xr:uid="{FE5DD8B8-7074-40E6-A727-1B1347AC0B29}"/>
    <cellStyle name="Normal 9 2 2 3 7 5" xfId="28949" xr:uid="{5D3343BA-D55B-4A7F-85FB-157E6BE3A92A}"/>
    <cellStyle name="Normal 9 2 2 3 8" xfId="4881" xr:uid="{00000000-0005-0000-0000-0000E51E0000}"/>
    <cellStyle name="Normal 9 2 2 3 8 2" xfId="14207" xr:uid="{758C82D1-DA23-43BE-8668-C878D995AE56}"/>
    <cellStyle name="Normal 9 2 2 3 8 3" xfId="22654" xr:uid="{89E3412D-8653-4536-A6CE-80633FB943F8}"/>
    <cellStyle name="Normal 9 2 2 3 8 4" xfId="31101" xr:uid="{1D566159-C921-4BD1-B7D4-74933AD0A4DD}"/>
    <cellStyle name="Normal 9 2 2 3 9" xfId="8888" xr:uid="{47457178-62A7-4ACA-95A1-433BF4FD3D65}"/>
    <cellStyle name="Normal 9 2 2 4" xfId="519" xr:uid="{00000000-0005-0000-0000-0000E61E0000}"/>
    <cellStyle name="Normal 9 2 2 4 10" xfId="18439" xr:uid="{D2D82A9A-5B82-495E-B542-AFF43FEBC78C}"/>
    <cellStyle name="Normal 9 2 2 4 11" xfId="26886" xr:uid="{894DED15-53AF-4D1C-8D79-38ECA6E50C47}"/>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16767" xr:uid="{E1B2AA97-824A-4A6A-8DEB-F7ADE0D898B0}"/>
    <cellStyle name="Normal 9 2 2 4 2 2 2 3" xfId="25214" xr:uid="{E6DD2817-13BE-403B-A77A-35CBCD5C8115}"/>
    <cellStyle name="Normal 9 2 2 4 2 2 2 4" xfId="33661" xr:uid="{EE1A8B89-9205-4766-A7AB-30F89B7130BB}"/>
    <cellStyle name="Normal 9 2 2 4 2 2 3" xfId="12550" xr:uid="{E37EA4A7-96FB-4014-9171-DFF7D0937C17}"/>
    <cellStyle name="Normal 9 2 2 4 2 2 4" xfId="20997" xr:uid="{01109A80-F90B-44AB-9F9A-FE6838B524EE}"/>
    <cellStyle name="Normal 9 2 2 4 2 2 5" xfId="29444" xr:uid="{4F8D7E8B-264B-461B-9AC2-903063EBFA1E}"/>
    <cellStyle name="Normal 9 2 2 4 2 3" xfId="5296" xr:uid="{00000000-0005-0000-0000-0000EA1E0000}"/>
    <cellStyle name="Normal 9 2 2 4 2 3 2" xfId="14622" xr:uid="{30DD760E-88C7-4033-80E1-2079D121184C}"/>
    <cellStyle name="Normal 9 2 2 4 2 3 3" xfId="23069" xr:uid="{89861140-AC48-4D69-B0AB-2757F7D6181A}"/>
    <cellStyle name="Normal 9 2 2 4 2 3 4" xfId="31516" xr:uid="{7CC83AE7-066D-46F1-994A-1D283C708B11}"/>
    <cellStyle name="Normal 9 2 2 4 2 4" xfId="9417" xr:uid="{FDB8A679-B5B8-4E9B-808D-E68F6CA01958}"/>
    <cellStyle name="Normal 9 2 2 4 2 5" xfId="10405" xr:uid="{FD6466A0-F66F-4FC7-8241-0470A862785F}"/>
    <cellStyle name="Normal 9 2 2 4 2 6" xfId="18852" xr:uid="{9A370F0F-2192-4758-858B-7280F737E463}"/>
    <cellStyle name="Normal 9 2 2 4 2 7" xfId="27299" xr:uid="{B8649819-28B0-48C8-99E9-068E3178C569}"/>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17180" xr:uid="{83D37EC0-D70D-4E44-A223-1D9EC315D56D}"/>
    <cellStyle name="Normal 9 2 2 4 3 2 2 3" xfId="25627" xr:uid="{791B638A-39F0-4825-A2C1-9ED93F4CDC62}"/>
    <cellStyle name="Normal 9 2 2 4 3 2 2 4" xfId="34074" xr:uid="{A0B439D7-7C1C-42B5-B5D8-38396820D800}"/>
    <cellStyle name="Normal 9 2 2 4 3 2 3" xfId="12963" xr:uid="{EEBB26FE-9797-47C5-9DCC-FD02A7A951BF}"/>
    <cellStyle name="Normal 9 2 2 4 3 2 4" xfId="21410" xr:uid="{27CDC89D-275E-4974-A1B5-7D96D7F933EE}"/>
    <cellStyle name="Normal 9 2 2 4 3 2 5" xfId="29857" xr:uid="{7D05AB98-351A-4CB3-9B84-5F6D10863764}"/>
    <cellStyle name="Normal 9 2 2 4 3 3" xfId="5709" xr:uid="{00000000-0005-0000-0000-0000EE1E0000}"/>
    <cellStyle name="Normal 9 2 2 4 3 3 2" xfId="15035" xr:uid="{F22E26EB-C91D-4773-ABC9-F3631B1D69BF}"/>
    <cellStyle name="Normal 9 2 2 4 3 3 3" xfId="23482" xr:uid="{33F6392E-8F37-4745-856B-A91704A436B3}"/>
    <cellStyle name="Normal 9 2 2 4 3 3 4" xfId="31929" xr:uid="{88826EEE-D5CC-418A-BD11-F7BB31A226F2}"/>
    <cellStyle name="Normal 9 2 2 4 3 4" xfId="10818" xr:uid="{A009EF90-F9BC-4948-831B-6C52288AFAA0}"/>
    <cellStyle name="Normal 9 2 2 4 3 5" xfId="19265" xr:uid="{BDF81BE5-6444-4365-BC46-6DCD72B8F0E9}"/>
    <cellStyle name="Normal 9 2 2 4 3 6" xfId="27712" xr:uid="{610E8E48-384B-401A-B078-EE340626F808}"/>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17593" xr:uid="{385377AD-16D1-47CA-A4C9-D5BAB1EA78CE}"/>
    <cellStyle name="Normal 9 2 2 4 4 2 2 3" xfId="26040" xr:uid="{DBABBFB6-889D-4827-9775-2B5F06B104FA}"/>
    <cellStyle name="Normal 9 2 2 4 4 2 2 4" xfId="34487" xr:uid="{4B7D3B2D-CB4A-4714-A839-BB9CE9482E85}"/>
    <cellStyle name="Normal 9 2 2 4 4 2 3" xfId="13376" xr:uid="{63061D4E-3E14-4753-81F8-FB20914BDC53}"/>
    <cellStyle name="Normal 9 2 2 4 4 2 4" xfId="21823" xr:uid="{EF4D463C-8598-45F0-A022-2A80E19E838B}"/>
    <cellStyle name="Normal 9 2 2 4 4 2 5" xfId="30270" xr:uid="{9F68D5B3-3D90-4D43-8E6C-4765524BF1D7}"/>
    <cellStyle name="Normal 9 2 2 4 4 3" xfId="6122" xr:uid="{00000000-0005-0000-0000-0000F21E0000}"/>
    <cellStyle name="Normal 9 2 2 4 4 3 2" xfId="15448" xr:uid="{D2DEFCE1-5368-4B26-9E0A-B43B89A66123}"/>
    <cellStyle name="Normal 9 2 2 4 4 3 3" xfId="23895" xr:uid="{4794FB11-2D17-488B-8769-A4613511B0B0}"/>
    <cellStyle name="Normal 9 2 2 4 4 3 4" xfId="32342" xr:uid="{DADE31D9-06C4-4047-A000-B70246516ED1}"/>
    <cellStyle name="Normal 9 2 2 4 4 4" xfId="11231" xr:uid="{9B370CB2-D1BB-439F-93D5-57E9FC28658C}"/>
    <cellStyle name="Normal 9 2 2 4 4 5" xfId="19678" xr:uid="{9A93650D-19AB-450B-BFAF-0FB8CF1B4349}"/>
    <cellStyle name="Normal 9 2 2 4 4 6" xfId="28125" xr:uid="{AF6D30DA-3F8A-4ED1-B690-D784653E7DBD}"/>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18006" xr:uid="{79DD9C2F-8313-41C6-A75F-BC923BF18681}"/>
    <cellStyle name="Normal 9 2 2 4 5 2 2 3" xfId="26453" xr:uid="{B4AEBC3F-5182-4F28-8D7A-3749BCBFA07B}"/>
    <cellStyle name="Normal 9 2 2 4 5 2 2 4" xfId="34900" xr:uid="{0A269714-E597-49F2-9B11-C95432273350}"/>
    <cellStyle name="Normal 9 2 2 4 5 2 3" xfId="13789" xr:uid="{5E05623A-C68D-421D-A8AE-00798544A3DE}"/>
    <cellStyle name="Normal 9 2 2 4 5 2 4" xfId="22236" xr:uid="{B68237CE-1B1B-4779-9BB9-EF2E3B0939FF}"/>
    <cellStyle name="Normal 9 2 2 4 5 2 5" xfId="30683" xr:uid="{B441E336-A3BB-4D06-8309-6190BFD6B8ED}"/>
    <cellStyle name="Normal 9 2 2 4 5 3" xfId="6535" xr:uid="{00000000-0005-0000-0000-0000F61E0000}"/>
    <cellStyle name="Normal 9 2 2 4 5 3 2" xfId="15861" xr:uid="{01F122A2-168C-4EAE-91C2-0AB2A82297E4}"/>
    <cellStyle name="Normal 9 2 2 4 5 3 3" xfId="24308" xr:uid="{811CFFBF-7C88-4571-8729-FFDC742DC25E}"/>
    <cellStyle name="Normal 9 2 2 4 5 3 4" xfId="32755" xr:uid="{3E9DB693-77F0-4DED-9857-03F04E9C3E6E}"/>
    <cellStyle name="Normal 9 2 2 4 5 4" xfId="11644" xr:uid="{468F6132-6F88-4D48-931E-FE80889FE3A5}"/>
    <cellStyle name="Normal 9 2 2 4 5 5" xfId="20091" xr:uid="{AAEF31C3-C661-4416-9FC3-56DD51683D2A}"/>
    <cellStyle name="Normal 9 2 2 4 5 6" xfId="28538" xr:uid="{5838535B-B9C4-405F-82E5-7B997714E0CC}"/>
    <cellStyle name="Normal 9 2 2 4 6" xfId="2665" xr:uid="{00000000-0005-0000-0000-0000F71E0000}"/>
    <cellStyle name="Normal 9 2 2 4 6 2" xfId="6948" xr:uid="{00000000-0005-0000-0000-0000F81E0000}"/>
    <cellStyle name="Normal 9 2 2 4 6 2 2" xfId="16274" xr:uid="{68A300FA-A938-42DE-9939-3DD0E66BBE0B}"/>
    <cellStyle name="Normal 9 2 2 4 6 2 3" xfId="24721" xr:uid="{28DD3EFC-37D5-4DC7-BE42-3B42074FB857}"/>
    <cellStyle name="Normal 9 2 2 4 6 2 4" xfId="33168" xr:uid="{C0E4554D-E61A-4541-96B0-5CFBAC9D7CCC}"/>
    <cellStyle name="Normal 9 2 2 4 6 3" xfId="12057" xr:uid="{54489690-9D6A-4628-903E-13F10BDC5C26}"/>
    <cellStyle name="Normal 9 2 2 4 6 4" xfId="20504" xr:uid="{972B9E22-EB90-454B-AC78-55A0C0217684}"/>
    <cellStyle name="Normal 9 2 2 4 6 5" xfId="28951" xr:uid="{7967C4D9-1AEB-4F68-865E-9E0A317519F2}"/>
    <cellStyle name="Normal 9 2 2 4 7" xfId="4883" xr:uid="{00000000-0005-0000-0000-0000F91E0000}"/>
    <cellStyle name="Normal 9 2 2 4 7 2" xfId="14209" xr:uid="{04EC9188-A880-446B-803A-AE0F61534A3B}"/>
    <cellStyle name="Normal 9 2 2 4 7 3" xfId="22656" xr:uid="{F4203832-6EAC-4EAB-8D76-EEA0E4D30340}"/>
    <cellStyle name="Normal 9 2 2 4 7 4" xfId="31103" xr:uid="{B618E6C8-FEF9-4C8E-83D7-73FE58A4F79F}"/>
    <cellStyle name="Normal 9 2 2 4 8" xfId="8992" xr:uid="{8AFFF8AD-8552-4B33-AAFF-7DACAE25085E}"/>
    <cellStyle name="Normal 9 2 2 4 9" xfId="9992" xr:uid="{14F0E8E7-9B6C-4913-BD40-982B14A7B782}"/>
    <cellStyle name="Normal 9 2 2 5" xfId="979" xr:uid="{00000000-0005-0000-0000-0000FA1E0000}"/>
    <cellStyle name="Normal 9 2 2 5 2" xfId="3212" xr:uid="{00000000-0005-0000-0000-0000FB1E0000}"/>
    <cellStyle name="Normal 9 2 2 5 2 2" xfId="7434" xr:uid="{00000000-0005-0000-0000-0000FC1E0000}"/>
    <cellStyle name="Normal 9 2 2 5 2 2 2" xfId="16760" xr:uid="{9328031A-C082-453C-8963-44848E9FA928}"/>
    <cellStyle name="Normal 9 2 2 5 2 2 3" xfId="25207" xr:uid="{DE9F1168-AB4C-4E11-A954-46814B277651}"/>
    <cellStyle name="Normal 9 2 2 5 2 2 4" xfId="33654" xr:uid="{6D145304-9CEE-4D0A-A4A8-F1E7773D8E49}"/>
    <cellStyle name="Normal 9 2 2 5 2 3" xfId="12543" xr:uid="{83055D65-FE09-4942-BD09-992778ADAA83}"/>
    <cellStyle name="Normal 9 2 2 5 2 4" xfId="20990" xr:uid="{DB05D872-7D3B-4A23-9481-C875B116EA01}"/>
    <cellStyle name="Normal 9 2 2 5 2 5" xfId="29437" xr:uid="{7F745B3D-A347-4EE0-8833-B036099E8BFB}"/>
    <cellStyle name="Normal 9 2 2 5 3" xfId="5289" xr:uid="{00000000-0005-0000-0000-0000FD1E0000}"/>
    <cellStyle name="Normal 9 2 2 5 3 2" xfId="14615" xr:uid="{8A372E52-0B39-4DAA-9B0F-55A873D23C2F}"/>
    <cellStyle name="Normal 9 2 2 5 3 3" xfId="23062" xr:uid="{62C872E9-41A8-4B95-BF36-BE90AA063D78}"/>
    <cellStyle name="Normal 9 2 2 5 3 4" xfId="31509" xr:uid="{26CE3A50-57CE-487C-B8C4-41B08786F13E}"/>
    <cellStyle name="Normal 9 2 2 5 4" xfId="9209" xr:uid="{66E66B93-842C-41D8-A807-A065C03CFEBD}"/>
    <cellStyle name="Normal 9 2 2 5 5" xfId="10398" xr:uid="{CDE00E54-511D-44F1-9AC4-DCD07EACCF41}"/>
    <cellStyle name="Normal 9 2 2 5 6" xfId="18845" xr:uid="{87E4F1F7-9D31-4D54-96F3-9A10DE166E8F}"/>
    <cellStyle name="Normal 9 2 2 5 7" xfId="27292" xr:uid="{40693E7D-0964-4C90-BF9C-F6015D26041F}"/>
    <cellStyle name="Normal 9 2 2 6" xfId="1395" xr:uid="{00000000-0005-0000-0000-0000FE1E0000}"/>
    <cellStyle name="Normal 9 2 2 6 2" xfId="3625" xr:uid="{00000000-0005-0000-0000-0000FF1E0000}"/>
    <cellStyle name="Normal 9 2 2 6 2 2" xfId="7847" xr:uid="{00000000-0005-0000-0000-0000001F0000}"/>
    <cellStyle name="Normal 9 2 2 6 2 2 2" xfId="17173" xr:uid="{67C1126B-D76B-4A47-93CC-C2D6E212EC9E}"/>
    <cellStyle name="Normal 9 2 2 6 2 2 3" xfId="25620" xr:uid="{4B56E8CB-6B34-4E0E-ADE7-AF3C77293705}"/>
    <cellStyle name="Normal 9 2 2 6 2 2 4" xfId="34067" xr:uid="{BDF37E10-39E5-4770-AA89-A65F7071E474}"/>
    <cellStyle name="Normal 9 2 2 6 2 3" xfId="12956" xr:uid="{E129CF08-AD90-454C-8C4E-5075F66402DE}"/>
    <cellStyle name="Normal 9 2 2 6 2 4" xfId="21403" xr:uid="{FF3CAE17-4C40-407B-8ED1-165CBA979F34}"/>
    <cellStyle name="Normal 9 2 2 6 2 5" xfId="29850" xr:uid="{52ABE9DB-E758-4E6B-B0AB-1368C3E4AB65}"/>
    <cellStyle name="Normal 9 2 2 6 3" xfId="5702" xr:uid="{00000000-0005-0000-0000-0000011F0000}"/>
    <cellStyle name="Normal 9 2 2 6 3 2" xfId="15028" xr:uid="{F34C0285-E8D0-42E3-BD9A-B3C7D5851F3B}"/>
    <cellStyle name="Normal 9 2 2 6 3 3" xfId="23475" xr:uid="{70879674-2063-4A1D-9FC3-6F86B26DC058}"/>
    <cellStyle name="Normal 9 2 2 6 3 4" xfId="31922" xr:uid="{575C105D-0150-45CA-A31B-DB196C9FE743}"/>
    <cellStyle name="Normal 9 2 2 6 4" xfId="10811" xr:uid="{78CC5AE0-E234-4930-BD58-6BB56A8265B6}"/>
    <cellStyle name="Normal 9 2 2 6 5" xfId="19258" xr:uid="{601AA520-5AF9-4379-894B-8EE202A2783A}"/>
    <cellStyle name="Normal 9 2 2 6 6" xfId="27705" xr:uid="{9FBD196B-0456-4701-A6C8-EA62176176E3}"/>
    <cellStyle name="Normal 9 2 2 7" xfId="1808" xr:uid="{00000000-0005-0000-0000-0000021F0000}"/>
    <cellStyle name="Normal 9 2 2 7 2" xfId="4038" xr:uid="{00000000-0005-0000-0000-0000031F0000}"/>
    <cellStyle name="Normal 9 2 2 7 2 2" xfId="8260" xr:uid="{00000000-0005-0000-0000-0000041F0000}"/>
    <cellStyle name="Normal 9 2 2 7 2 2 2" xfId="17586" xr:uid="{21E847B6-C795-4781-8F40-EDCD4879C787}"/>
    <cellStyle name="Normal 9 2 2 7 2 2 3" xfId="26033" xr:uid="{6DE4EDFB-3C1B-44D4-AAD9-72AD9DF650DD}"/>
    <cellStyle name="Normal 9 2 2 7 2 2 4" xfId="34480" xr:uid="{CB624528-63B8-48EF-85DE-80F9CC1C1132}"/>
    <cellStyle name="Normal 9 2 2 7 2 3" xfId="13369" xr:uid="{315E3491-78C0-4E47-B16F-EE3398E11DF7}"/>
    <cellStyle name="Normal 9 2 2 7 2 4" xfId="21816" xr:uid="{12DCEF0D-1DB5-4B3A-B93C-927A6399EA8E}"/>
    <cellStyle name="Normal 9 2 2 7 2 5" xfId="30263" xr:uid="{7A729A4C-56CB-4911-8EBE-403F40B7931C}"/>
    <cellStyle name="Normal 9 2 2 7 3" xfId="6115" xr:uid="{00000000-0005-0000-0000-0000051F0000}"/>
    <cellStyle name="Normal 9 2 2 7 3 2" xfId="15441" xr:uid="{3F568BC1-B4BB-4650-862C-E23D548B2908}"/>
    <cellStyle name="Normal 9 2 2 7 3 3" xfId="23888" xr:uid="{25708791-6E82-413D-9C24-A91CECE180C7}"/>
    <cellStyle name="Normal 9 2 2 7 3 4" xfId="32335" xr:uid="{AD579EAC-0019-4481-8DD8-891543585C2A}"/>
    <cellStyle name="Normal 9 2 2 7 4" xfId="11224" xr:uid="{D6530DF2-6267-4BCA-8EB7-1D71CBC2390E}"/>
    <cellStyle name="Normal 9 2 2 7 5" xfId="19671" xr:uid="{5EF5CD42-286E-440E-962B-1CC0E366336B}"/>
    <cellStyle name="Normal 9 2 2 7 6" xfId="28118" xr:uid="{938DF54D-2043-4ED2-80EC-CB2271F1352E}"/>
    <cellStyle name="Normal 9 2 2 8" xfId="2222" xr:uid="{00000000-0005-0000-0000-0000061F0000}"/>
    <cellStyle name="Normal 9 2 2 8 2" xfId="4451" xr:uid="{00000000-0005-0000-0000-0000071F0000}"/>
    <cellStyle name="Normal 9 2 2 8 2 2" xfId="8673" xr:uid="{00000000-0005-0000-0000-0000081F0000}"/>
    <cellStyle name="Normal 9 2 2 8 2 2 2" xfId="17999" xr:uid="{ECDC68AC-8F2B-4686-B0A8-82F7FE0BDFF8}"/>
    <cellStyle name="Normal 9 2 2 8 2 2 3" xfId="26446" xr:uid="{2195B89E-E40D-44AA-B319-29D3DF7104B3}"/>
    <cellStyle name="Normal 9 2 2 8 2 2 4" xfId="34893" xr:uid="{C540D910-0BD5-47ED-AF12-B49EF1D056F4}"/>
    <cellStyle name="Normal 9 2 2 8 2 3" xfId="13782" xr:uid="{577B79BA-C392-4143-8541-7A65127CFFB7}"/>
    <cellStyle name="Normal 9 2 2 8 2 4" xfId="22229" xr:uid="{170A9546-8878-4C2A-A8EA-E82C9504236C}"/>
    <cellStyle name="Normal 9 2 2 8 2 5" xfId="30676" xr:uid="{54282A9B-B4D0-492B-851A-00A7690896B1}"/>
    <cellStyle name="Normal 9 2 2 8 3" xfId="6528" xr:uid="{00000000-0005-0000-0000-0000091F0000}"/>
    <cellStyle name="Normal 9 2 2 8 3 2" xfId="15854" xr:uid="{0CC585A9-D048-49CB-95C6-608DCC5C1D86}"/>
    <cellStyle name="Normal 9 2 2 8 3 3" xfId="24301" xr:uid="{D02D879B-BB52-4874-8EB0-1BC0C2755AED}"/>
    <cellStyle name="Normal 9 2 2 8 3 4" xfId="32748" xr:uid="{271BB7B2-1F5F-41C1-B31A-153DE91709D8}"/>
    <cellStyle name="Normal 9 2 2 8 4" xfId="11637" xr:uid="{1BA1C5B4-49ED-4C60-99E6-EC7912452956}"/>
    <cellStyle name="Normal 9 2 2 8 5" xfId="20084" xr:uid="{4FB0461E-C550-45C5-BB7E-29F0E0FB6502}"/>
    <cellStyle name="Normal 9 2 2 8 6" xfId="28531" xr:uid="{B32A5732-CEEA-405F-8BB4-77FC7071F75A}"/>
    <cellStyle name="Normal 9 2 2 9" xfId="2658" xr:uid="{00000000-0005-0000-0000-00000A1F0000}"/>
    <cellStyle name="Normal 9 2 2 9 2" xfId="6941" xr:uid="{00000000-0005-0000-0000-00000B1F0000}"/>
    <cellStyle name="Normal 9 2 2 9 2 2" xfId="16267" xr:uid="{7A30227B-46C3-4477-B230-BCCAC8D00D3B}"/>
    <cellStyle name="Normal 9 2 2 9 2 3" xfId="24714" xr:uid="{E900159B-9607-4170-B488-7B997671B3A9}"/>
    <cellStyle name="Normal 9 2 2 9 2 4" xfId="33161" xr:uid="{BA872DFB-1C94-4670-9489-2BEB7F4F5AD3}"/>
    <cellStyle name="Normal 9 2 2 9 3" xfId="12050" xr:uid="{E1F8FA33-0B2A-4366-ACF3-48CCED6E28DF}"/>
    <cellStyle name="Normal 9 2 2 9 4" xfId="20497" xr:uid="{7A655D99-7C84-4816-84BD-298B8C94C299}"/>
    <cellStyle name="Normal 9 2 2 9 5" xfId="28944" xr:uid="{7B498739-CB90-4C37-BE45-7F81FAB285E7}"/>
    <cellStyle name="Normal 9 2 3" xfId="520" xr:uid="{00000000-0005-0000-0000-00000C1F0000}"/>
    <cellStyle name="Normal 9 2 3 10" xfId="8838" xr:uid="{3F59BADF-95CF-4831-9CE1-8ACBDD585DF1}"/>
    <cellStyle name="Normal 9 2 3 11" xfId="9993" xr:uid="{370E8518-1BE2-4ED4-AFFB-A564266EFBE6}"/>
    <cellStyle name="Normal 9 2 3 12" xfId="18440" xr:uid="{F227B340-9BDD-4EE3-B47B-27A7A9FE2BA8}"/>
    <cellStyle name="Normal 9 2 3 13" xfId="26887" xr:uid="{F4066ECA-0C2E-4F55-A4C3-AC056555D3C5}"/>
    <cellStyle name="Normal 9 2 3 2" xfId="521" xr:uid="{00000000-0005-0000-0000-00000D1F0000}"/>
    <cellStyle name="Normal 9 2 3 2 10" xfId="9994" xr:uid="{847BE4A1-BF1B-4C41-AF4E-E2D7F11D4B12}"/>
    <cellStyle name="Normal 9 2 3 2 11" xfId="18441" xr:uid="{741A97D3-3F9B-43C2-812C-6D3F3D2A8C9E}"/>
    <cellStyle name="Normal 9 2 3 2 12" xfId="26888" xr:uid="{4F846E53-73D9-453D-B1DD-5794949E0705}"/>
    <cellStyle name="Normal 9 2 3 2 2" xfId="522" xr:uid="{00000000-0005-0000-0000-00000E1F0000}"/>
    <cellStyle name="Normal 9 2 3 2 2 10" xfId="18442" xr:uid="{8EAE327C-406D-4314-9FA5-8D63E0AF96C0}"/>
    <cellStyle name="Normal 9 2 3 2 2 11" xfId="26889" xr:uid="{141645FF-6EA4-4A90-AF41-9B7F410813EE}"/>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16770" xr:uid="{DE817F01-67BF-4636-9018-98297AF5F8C5}"/>
    <cellStyle name="Normal 9 2 3 2 2 2 2 2 3" xfId="25217" xr:uid="{B877EB14-5AA6-40F4-9D9B-1357030039BC}"/>
    <cellStyle name="Normal 9 2 3 2 2 2 2 2 4" xfId="33664" xr:uid="{8A4012AD-8722-4AE8-92D5-E069D3D2E3C1}"/>
    <cellStyle name="Normal 9 2 3 2 2 2 2 3" xfId="12553" xr:uid="{482F1CD9-2F61-469B-B603-FE88FA108267}"/>
    <cellStyle name="Normal 9 2 3 2 2 2 2 4" xfId="21000" xr:uid="{B6C0329D-3BB7-4B65-9520-1A21F0341F1E}"/>
    <cellStyle name="Normal 9 2 3 2 2 2 2 5" xfId="29447" xr:uid="{B5D22FB0-A2DA-4249-BEAE-7ED8EF773E0A}"/>
    <cellStyle name="Normal 9 2 3 2 2 2 3" xfId="5299" xr:uid="{00000000-0005-0000-0000-0000121F0000}"/>
    <cellStyle name="Normal 9 2 3 2 2 2 3 2" xfId="14625" xr:uid="{5FB00DA2-68F8-490E-9269-EE98F85DD0BE}"/>
    <cellStyle name="Normal 9 2 3 2 2 2 3 3" xfId="23072" xr:uid="{0CB2E98D-C6F9-4B7D-AB91-6220B27E1856}"/>
    <cellStyle name="Normal 9 2 3 2 2 2 3 4" xfId="31519" xr:uid="{F18872C1-D597-4F8B-B50E-3CBA054BB09A}"/>
    <cellStyle name="Normal 9 2 3 2 2 2 4" xfId="9573" xr:uid="{376F8566-2407-40B8-9531-D3E757BE7A23}"/>
    <cellStyle name="Normal 9 2 3 2 2 2 5" xfId="10408" xr:uid="{627A57EA-7ED5-4DDB-8857-047D468F7EC1}"/>
    <cellStyle name="Normal 9 2 3 2 2 2 6" xfId="18855" xr:uid="{283432E1-2D67-42AF-A5BA-0DF496F5BF1B}"/>
    <cellStyle name="Normal 9 2 3 2 2 2 7" xfId="27302" xr:uid="{3313039D-02F6-43AB-920D-2EC7F224BDC9}"/>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17183" xr:uid="{C98B4386-BBFB-434C-B864-5587F27B3217}"/>
    <cellStyle name="Normal 9 2 3 2 2 3 2 2 3" xfId="25630" xr:uid="{87B5FF59-CD3B-4CA2-B5F0-3CEBF9F8CFA6}"/>
    <cellStyle name="Normal 9 2 3 2 2 3 2 2 4" xfId="34077" xr:uid="{AD4F2F0D-1732-4AAC-ABD7-B8BDBA70352B}"/>
    <cellStyle name="Normal 9 2 3 2 2 3 2 3" xfId="12966" xr:uid="{7D7C115F-C584-4E12-972D-EDC9DD8146CB}"/>
    <cellStyle name="Normal 9 2 3 2 2 3 2 4" xfId="21413" xr:uid="{1F5B2807-CEA2-4837-A561-226FA4C62208}"/>
    <cellStyle name="Normal 9 2 3 2 2 3 2 5" xfId="29860" xr:uid="{011837A1-9F8A-4684-B182-48ED5FB7CE06}"/>
    <cellStyle name="Normal 9 2 3 2 2 3 3" xfId="5712" xr:uid="{00000000-0005-0000-0000-0000161F0000}"/>
    <cellStyle name="Normal 9 2 3 2 2 3 3 2" xfId="15038" xr:uid="{F886E521-4554-4609-990C-D910AD812C7E}"/>
    <cellStyle name="Normal 9 2 3 2 2 3 3 3" xfId="23485" xr:uid="{80BC75EA-5DB7-4BE8-AE99-406D30CEB98E}"/>
    <cellStyle name="Normal 9 2 3 2 2 3 3 4" xfId="31932" xr:uid="{CE188726-6B23-4402-9620-B26443338A28}"/>
    <cellStyle name="Normal 9 2 3 2 2 3 4" xfId="10821" xr:uid="{4C820371-AA42-48FA-815A-EB0F671CC102}"/>
    <cellStyle name="Normal 9 2 3 2 2 3 5" xfId="19268" xr:uid="{55FA9BCC-F21D-435C-80E5-AEBB959050A2}"/>
    <cellStyle name="Normal 9 2 3 2 2 3 6" xfId="27715" xr:uid="{F0405EA9-F79B-4A87-AA24-B75ADA346C03}"/>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17596" xr:uid="{FD8EA70D-095F-474E-8B81-F98D4FCBDD68}"/>
    <cellStyle name="Normal 9 2 3 2 2 4 2 2 3" xfId="26043" xr:uid="{B6D524CA-B2FF-4600-9B7B-9A9437CB4477}"/>
    <cellStyle name="Normal 9 2 3 2 2 4 2 2 4" xfId="34490" xr:uid="{8614F87F-5D48-4FEA-AF0F-557A2BBC82C3}"/>
    <cellStyle name="Normal 9 2 3 2 2 4 2 3" xfId="13379" xr:uid="{5148CA7B-F82D-4758-8E67-B25766A8ADBB}"/>
    <cellStyle name="Normal 9 2 3 2 2 4 2 4" xfId="21826" xr:uid="{297BE7AB-FD1D-4785-822E-09F5E2E23FF8}"/>
    <cellStyle name="Normal 9 2 3 2 2 4 2 5" xfId="30273" xr:uid="{D20CF9E3-399F-47CA-B0F3-96ACA1829678}"/>
    <cellStyle name="Normal 9 2 3 2 2 4 3" xfId="6125" xr:uid="{00000000-0005-0000-0000-00001A1F0000}"/>
    <cellStyle name="Normal 9 2 3 2 2 4 3 2" xfId="15451" xr:uid="{C8248CD6-E51E-4EF7-97C8-CBBC454AD58A}"/>
    <cellStyle name="Normal 9 2 3 2 2 4 3 3" xfId="23898" xr:uid="{D53B5520-902A-437E-B379-C3DAAE1F66BE}"/>
    <cellStyle name="Normal 9 2 3 2 2 4 3 4" xfId="32345" xr:uid="{B84E2757-D836-4EAE-9129-D24C7BA62A5F}"/>
    <cellStyle name="Normal 9 2 3 2 2 4 4" xfId="11234" xr:uid="{2BACD7FC-AA03-4AFD-AB2F-E6ACD627C95A}"/>
    <cellStyle name="Normal 9 2 3 2 2 4 5" xfId="19681" xr:uid="{6D1354C5-0385-4765-942B-87C3175C0056}"/>
    <cellStyle name="Normal 9 2 3 2 2 4 6" xfId="28128" xr:uid="{2FCB77D4-C5B7-4A73-A356-535D54F0A639}"/>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18009" xr:uid="{099DA108-06E3-4F63-A245-8755DBDD7FF9}"/>
    <cellStyle name="Normal 9 2 3 2 2 5 2 2 3" xfId="26456" xr:uid="{3B0EBF9F-2132-4FFA-B449-2729AD8C79C1}"/>
    <cellStyle name="Normal 9 2 3 2 2 5 2 2 4" xfId="34903" xr:uid="{F99C75C2-0393-4B9F-A362-74F607D3A501}"/>
    <cellStyle name="Normal 9 2 3 2 2 5 2 3" xfId="13792" xr:uid="{F553D9F5-7CC6-4B6A-A399-FE71CD2E1693}"/>
    <cellStyle name="Normal 9 2 3 2 2 5 2 4" xfId="22239" xr:uid="{EEAB5D5A-276E-487E-84E2-3022EF857A33}"/>
    <cellStyle name="Normal 9 2 3 2 2 5 2 5" xfId="30686" xr:uid="{6B76C2AE-D092-4B3B-B97A-4628D843436D}"/>
    <cellStyle name="Normal 9 2 3 2 2 5 3" xfId="6538" xr:uid="{00000000-0005-0000-0000-00001E1F0000}"/>
    <cellStyle name="Normal 9 2 3 2 2 5 3 2" xfId="15864" xr:uid="{BFD50934-BF8A-4258-BCF6-793D5D001223}"/>
    <cellStyle name="Normal 9 2 3 2 2 5 3 3" xfId="24311" xr:uid="{A8B81B31-950F-449D-BA69-BC3CFB10243B}"/>
    <cellStyle name="Normal 9 2 3 2 2 5 3 4" xfId="32758" xr:uid="{5BD0AE6C-227B-480D-9265-5F52C65A6FE8}"/>
    <cellStyle name="Normal 9 2 3 2 2 5 4" xfId="11647" xr:uid="{80576419-C0A6-4300-B44F-33086480B64F}"/>
    <cellStyle name="Normal 9 2 3 2 2 5 5" xfId="20094" xr:uid="{427817B2-EB38-4A70-B541-D1A5B8C982CA}"/>
    <cellStyle name="Normal 9 2 3 2 2 5 6" xfId="28541" xr:uid="{420C2FB0-B352-4823-A465-22CFA05B6BD0}"/>
    <cellStyle name="Normal 9 2 3 2 2 6" xfId="2668" xr:uid="{00000000-0005-0000-0000-00001F1F0000}"/>
    <cellStyle name="Normal 9 2 3 2 2 6 2" xfId="6951" xr:uid="{00000000-0005-0000-0000-0000201F0000}"/>
    <cellStyle name="Normal 9 2 3 2 2 6 2 2" xfId="16277" xr:uid="{DD2F377C-07CE-41F6-8D47-F76E5A4B4124}"/>
    <cellStyle name="Normal 9 2 3 2 2 6 2 3" xfId="24724" xr:uid="{48453D9C-B4E1-4F54-A922-5EEDAEDF7ECA}"/>
    <cellStyle name="Normal 9 2 3 2 2 6 2 4" xfId="33171" xr:uid="{82AD4CFA-1817-4767-91CB-6C45B0D46E08}"/>
    <cellStyle name="Normal 9 2 3 2 2 6 3" xfId="12060" xr:uid="{248168A6-A70E-430B-AE22-2E605D4EC21D}"/>
    <cellStyle name="Normal 9 2 3 2 2 6 4" xfId="20507" xr:uid="{43E71726-BD6B-47AD-A51F-836D4F74C582}"/>
    <cellStyle name="Normal 9 2 3 2 2 6 5" xfId="28954" xr:uid="{6540510C-A10C-48AE-A9C4-EE4C63330E18}"/>
    <cellStyle name="Normal 9 2 3 2 2 7" xfId="4886" xr:uid="{00000000-0005-0000-0000-0000211F0000}"/>
    <cellStyle name="Normal 9 2 3 2 2 7 2" xfId="14212" xr:uid="{6CE90063-10BB-4729-AEBD-66F537B0D32D}"/>
    <cellStyle name="Normal 9 2 3 2 2 7 3" xfId="22659" xr:uid="{4F3E076C-98C2-4C3E-9E65-F2FB52D1B824}"/>
    <cellStyle name="Normal 9 2 3 2 2 7 4" xfId="31106" xr:uid="{BBD7F2CC-E4B0-43A8-A7F2-6AC679094FA8}"/>
    <cellStyle name="Normal 9 2 3 2 2 8" xfId="9148" xr:uid="{E1A2F3F0-C8EA-47FA-BB37-18F117041A87}"/>
    <cellStyle name="Normal 9 2 3 2 2 9" xfId="9995" xr:uid="{B353BC43-CF13-406C-A8E8-90D33764B9F8}"/>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16769" xr:uid="{CC9ABE29-D164-4734-9FAA-7CD1A49746FC}"/>
    <cellStyle name="Normal 9 2 3 2 3 2 2 3" xfId="25216" xr:uid="{990CBB42-078B-4BCA-B8AE-5CF6092CA66F}"/>
    <cellStyle name="Normal 9 2 3 2 3 2 2 4" xfId="33663" xr:uid="{252C2341-B87D-4534-B623-DE7B7671910C}"/>
    <cellStyle name="Normal 9 2 3 2 3 2 3" xfId="12552" xr:uid="{226D19DF-8C1C-41F6-8E14-231F78BEEA0E}"/>
    <cellStyle name="Normal 9 2 3 2 3 2 4" xfId="20999" xr:uid="{275377EA-B06E-4EB1-AA9F-EB33C556900E}"/>
    <cellStyle name="Normal 9 2 3 2 3 2 5" xfId="29446" xr:uid="{77D705FF-0473-4E9D-BDCD-AED522C5BE4F}"/>
    <cellStyle name="Normal 9 2 3 2 3 3" xfId="5298" xr:uid="{00000000-0005-0000-0000-0000251F0000}"/>
    <cellStyle name="Normal 9 2 3 2 3 3 2" xfId="14624" xr:uid="{F1ABE24C-B32F-4564-9E28-D27459113560}"/>
    <cellStyle name="Normal 9 2 3 2 3 3 3" xfId="23071" xr:uid="{08154D05-DE46-4DE0-A84F-0290DD24030E}"/>
    <cellStyle name="Normal 9 2 3 2 3 3 4" xfId="31518" xr:uid="{FB62C79C-99CA-4690-A729-1027F8E96329}"/>
    <cellStyle name="Normal 9 2 3 2 3 4" xfId="9366" xr:uid="{136A6B94-9CAA-4F6C-B09D-7385900FCA38}"/>
    <cellStyle name="Normal 9 2 3 2 3 5" xfId="10407" xr:uid="{6FC696F2-071A-4B68-8C85-F9790F250063}"/>
    <cellStyle name="Normal 9 2 3 2 3 6" xfId="18854" xr:uid="{241B8F1C-79AA-4F8C-91E1-4E3CF6277822}"/>
    <cellStyle name="Normal 9 2 3 2 3 7" xfId="27301" xr:uid="{452D9921-D627-4BA1-A761-3ABD59B13530}"/>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17182" xr:uid="{60E5C0A6-EAA0-42AD-87BA-A17D9DD55C1A}"/>
    <cellStyle name="Normal 9 2 3 2 4 2 2 3" xfId="25629" xr:uid="{6FEBC46C-01ED-4FE9-9034-EB8C4DD71BA3}"/>
    <cellStyle name="Normal 9 2 3 2 4 2 2 4" xfId="34076" xr:uid="{A83E90A2-C3D6-424E-81A5-CF753180C80A}"/>
    <cellStyle name="Normal 9 2 3 2 4 2 3" xfId="12965" xr:uid="{B359D36A-B369-4123-8661-CD5B5DD9CE7F}"/>
    <cellStyle name="Normal 9 2 3 2 4 2 4" xfId="21412" xr:uid="{6CAB7F40-33F3-462D-B56F-02F5CCC2AF42}"/>
    <cellStyle name="Normal 9 2 3 2 4 2 5" xfId="29859" xr:uid="{915E9C50-695D-4703-B1FF-270665AD6A44}"/>
    <cellStyle name="Normal 9 2 3 2 4 3" xfId="5711" xr:uid="{00000000-0005-0000-0000-0000291F0000}"/>
    <cellStyle name="Normal 9 2 3 2 4 3 2" xfId="15037" xr:uid="{66DAF512-E88E-4E05-886A-828B03739437}"/>
    <cellStyle name="Normal 9 2 3 2 4 3 3" xfId="23484" xr:uid="{9804E695-6D56-4C4C-9E65-5256037D2DCC}"/>
    <cellStyle name="Normal 9 2 3 2 4 3 4" xfId="31931" xr:uid="{68CD074B-F5BA-4BE6-825C-DF40C413824A}"/>
    <cellStyle name="Normal 9 2 3 2 4 4" xfId="10820" xr:uid="{A98A21E3-F161-4B6C-8E4A-3A84719FA5ED}"/>
    <cellStyle name="Normal 9 2 3 2 4 5" xfId="19267" xr:uid="{ACE695C9-F6A3-47BE-A721-A008B0C9B22A}"/>
    <cellStyle name="Normal 9 2 3 2 4 6" xfId="27714" xr:uid="{56BA2BA5-98E3-4037-B723-C6CCB2F57724}"/>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17595" xr:uid="{2AAC39E8-485C-4FC9-A256-77017047AB50}"/>
    <cellStyle name="Normal 9 2 3 2 5 2 2 3" xfId="26042" xr:uid="{F4BBC5FC-044C-4387-A05C-6FF056C9C796}"/>
    <cellStyle name="Normal 9 2 3 2 5 2 2 4" xfId="34489" xr:uid="{20B55B65-F65A-4959-ADA7-77C30FA60DE9}"/>
    <cellStyle name="Normal 9 2 3 2 5 2 3" xfId="13378" xr:uid="{3D9814B3-2241-46F0-BA45-5EE22DFAE35A}"/>
    <cellStyle name="Normal 9 2 3 2 5 2 4" xfId="21825" xr:uid="{614664C5-4ACD-438F-9E7E-D6048FF52697}"/>
    <cellStyle name="Normal 9 2 3 2 5 2 5" xfId="30272" xr:uid="{8DAC52F0-8241-4B5D-91CF-B4D3851D8D7D}"/>
    <cellStyle name="Normal 9 2 3 2 5 3" xfId="6124" xr:uid="{00000000-0005-0000-0000-00002D1F0000}"/>
    <cellStyle name="Normal 9 2 3 2 5 3 2" xfId="15450" xr:uid="{9FF9E887-2F5A-4531-A4C0-38E8A37E6656}"/>
    <cellStyle name="Normal 9 2 3 2 5 3 3" xfId="23897" xr:uid="{A97BAAB2-0541-48ED-9BCA-1199D4B5E5FB}"/>
    <cellStyle name="Normal 9 2 3 2 5 3 4" xfId="32344" xr:uid="{355BA636-4E5F-4D5D-B732-6A72905B311E}"/>
    <cellStyle name="Normal 9 2 3 2 5 4" xfId="11233" xr:uid="{04DE43C2-8759-4FB5-8D1A-E65276F80034}"/>
    <cellStyle name="Normal 9 2 3 2 5 5" xfId="19680" xr:uid="{09A0E8E0-5AAB-44F1-80F4-3FC530F9966E}"/>
    <cellStyle name="Normal 9 2 3 2 5 6" xfId="28127" xr:uid="{47174FFC-E8B8-44ED-B26D-B6E919332A46}"/>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18008" xr:uid="{455D4AE0-77B4-48AA-B11F-62B41D48B050}"/>
    <cellStyle name="Normal 9 2 3 2 6 2 2 3" xfId="26455" xr:uid="{7EED0565-C4ED-493D-B8D8-3808275FCD72}"/>
    <cellStyle name="Normal 9 2 3 2 6 2 2 4" xfId="34902" xr:uid="{809EC196-CC27-4434-942E-6B982020047F}"/>
    <cellStyle name="Normal 9 2 3 2 6 2 3" xfId="13791" xr:uid="{653B4ABC-4EBB-49DE-9AE1-8E1C93A8F1CF}"/>
    <cellStyle name="Normal 9 2 3 2 6 2 4" xfId="22238" xr:uid="{334CF2B3-3CD4-4600-8D2D-3EDF3B643785}"/>
    <cellStyle name="Normal 9 2 3 2 6 2 5" xfId="30685" xr:uid="{1760FAFE-A416-406D-853D-7B451E69BFB7}"/>
    <cellStyle name="Normal 9 2 3 2 6 3" xfId="6537" xr:uid="{00000000-0005-0000-0000-0000311F0000}"/>
    <cellStyle name="Normal 9 2 3 2 6 3 2" xfId="15863" xr:uid="{5F92398F-819C-4791-B8CA-5C4E7021C6C6}"/>
    <cellStyle name="Normal 9 2 3 2 6 3 3" xfId="24310" xr:uid="{6F61517B-0C4E-4663-958D-14AFE7FF8342}"/>
    <cellStyle name="Normal 9 2 3 2 6 3 4" xfId="32757" xr:uid="{62A8588B-C33D-45AC-9C97-E391C820180C}"/>
    <cellStyle name="Normal 9 2 3 2 6 4" xfId="11646" xr:uid="{F9062604-9F52-4CE9-9B02-77AB2FD63825}"/>
    <cellStyle name="Normal 9 2 3 2 6 5" xfId="20093" xr:uid="{A955721D-7E2B-4C9D-BAEC-D96E356BF2B1}"/>
    <cellStyle name="Normal 9 2 3 2 6 6" xfId="28540" xr:uid="{87319DFC-3FA3-4615-BAD8-511578FE64D6}"/>
    <cellStyle name="Normal 9 2 3 2 7" xfId="2667" xr:uid="{00000000-0005-0000-0000-0000321F0000}"/>
    <cellStyle name="Normal 9 2 3 2 7 2" xfId="6950" xr:uid="{00000000-0005-0000-0000-0000331F0000}"/>
    <cellStyle name="Normal 9 2 3 2 7 2 2" xfId="16276" xr:uid="{127D6424-0539-4A4F-B1FC-BCE83C063A62}"/>
    <cellStyle name="Normal 9 2 3 2 7 2 3" xfId="24723" xr:uid="{A595822F-4476-4B31-A341-0041E33E4AE3}"/>
    <cellStyle name="Normal 9 2 3 2 7 2 4" xfId="33170" xr:uid="{F41EF21B-EC72-4A53-935A-20D20758ABBC}"/>
    <cellStyle name="Normal 9 2 3 2 7 3" xfId="12059" xr:uid="{AACE3E75-022F-43C5-A68B-19CE9DEAA1F9}"/>
    <cellStyle name="Normal 9 2 3 2 7 4" xfId="20506" xr:uid="{B28D8F71-003B-4D9B-B96C-BED580A3761E}"/>
    <cellStyle name="Normal 9 2 3 2 7 5" xfId="28953" xr:uid="{3510AAF6-A38E-45E0-9509-3D25AA225579}"/>
    <cellStyle name="Normal 9 2 3 2 8" xfId="4885" xr:uid="{00000000-0005-0000-0000-0000341F0000}"/>
    <cellStyle name="Normal 9 2 3 2 8 2" xfId="14211" xr:uid="{830FB1BB-6A99-4A9E-B982-08D1ED6280A7}"/>
    <cellStyle name="Normal 9 2 3 2 8 3" xfId="22658" xr:uid="{38CA9815-C011-41C8-9EBB-A58C38C998F3}"/>
    <cellStyle name="Normal 9 2 3 2 8 4" xfId="31105" xr:uid="{959ED2CF-FF8E-4655-8A7B-1427EAC48117}"/>
    <cellStyle name="Normal 9 2 3 2 9" xfId="8941" xr:uid="{DDA1E375-E708-45D0-9119-207D493A75BA}"/>
    <cellStyle name="Normal 9 2 3 3" xfId="523" xr:uid="{00000000-0005-0000-0000-0000351F0000}"/>
    <cellStyle name="Normal 9 2 3 3 10" xfId="18443" xr:uid="{748D6ADF-0DE2-4A75-9843-BE3C53FB715E}"/>
    <cellStyle name="Normal 9 2 3 3 11" xfId="26890" xr:uid="{D78C1F30-B925-48F5-BA6A-6CE2EBCDF1CF}"/>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16771" xr:uid="{8198D42B-C2BE-41DD-83F4-3E929FDA8F1E}"/>
    <cellStyle name="Normal 9 2 3 3 2 2 2 3" xfId="25218" xr:uid="{C2AD9BE9-A132-4C8A-8D7A-2B02947B30FF}"/>
    <cellStyle name="Normal 9 2 3 3 2 2 2 4" xfId="33665" xr:uid="{3FA9FFC2-D05E-4A28-886B-54C6F29F06E0}"/>
    <cellStyle name="Normal 9 2 3 3 2 2 3" xfId="12554" xr:uid="{64B0DAED-5284-43BC-B820-94708FE5A098}"/>
    <cellStyle name="Normal 9 2 3 3 2 2 4" xfId="21001" xr:uid="{CDD8121A-C939-4289-98C9-36146081A3D3}"/>
    <cellStyle name="Normal 9 2 3 3 2 2 5" xfId="29448" xr:uid="{F89A7232-C439-44D1-A283-E29916FEDC2B}"/>
    <cellStyle name="Normal 9 2 3 3 2 3" xfId="5300" xr:uid="{00000000-0005-0000-0000-0000391F0000}"/>
    <cellStyle name="Normal 9 2 3 3 2 3 2" xfId="14626" xr:uid="{6712D15B-0AC1-473C-9665-7365434C870A}"/>
    <cellStyle name="Normal 9 2 3 3 2 3 3" xfId="23073" xr:uid="{9D180040-7B7D-4B3E-8D77-7255F79BFBCE}"/>
    <cellStyle name="Normal 9 2 3 3 2 3 4" xfId="31520" xr:uid="{8F2B0F65-9CCC-4D92-BB38-8EB4FCF5D19C}"/>
    <cellStyle name="Normal 9 2 3 3 2 4" xfId="9470" xr:uid="{B46EA5E7-4A9D-405A-94B0-2C155F0DE1F1}"/>
    <cellStyle name="Normal 9 2 3 3 2 5" xfId="10409" xr:uid="{DFF1795D-8599-414F-9739-9CB5F897E5C7}"/>
    <cellStyle name="Normal 9 2 3 3 2 6" xfId="18856" xr:uid="{4131FE57-2462-4320-A0FF-FF8A7554D1FB}"/>
    <cellStyle name="Normal 9 2 3 3 2 7" xfId="27303" xr:uid="{5747368C-E732-472A-8B3F-5585171FD544}"/>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17184" xr:uid="{9BF4516A-1ECD-4411-A109-272AE6076746}"/>
    <cellStyle name="Normal 9 2 3 3 3 2 2 3" xfId="25631" xr:uid="{71F0A20E-6062-47CB-A54D-B7566D55AA3A}"/>
    <cellStyle name="Normal 9 2 3 3 3 2 2 4" xfId="34078" xr:uid="{182F3779-733E-4643-8E3C-779C18F875BC}"/>
    <cellStyle name="Normal 9 2 3 3 3 2 3" xfId="12967" xr:uid="{22CE6902-465C-4D6D-A048-E7A0519850B7}"/>
    <cellStyle name="Normal 9 2 3 3 3 2 4" xfId="21414" xr:uid="{F6CDD8AF-58B4-4835-830D-20A7977504B1}"/>
    <cellStyle name="Normal 9 2 3 3 3 2 5" xfId="29861" xr:uid="{521D5AE6-D0F5-4B24-B74B-405B44E03778}"/>
    <cellStyle name="Normal 9 2 3 3 3 3" xfId="5713" xr:uid="{00000000-0005-0000-0000-00003D1F0000}"/>
    <cellStyle name="Normal 9 2 3 3 3 3 2" xfId="15039" xr:uid="{D6DE3561-2624-4E52-A929-BB1495A15B20}"/>
    <cellStyle name="Normal 9 2 3 3 3 3 3" xfId="23486" xr:uid="{76BC8143-6AD1-444C-949F-1F9A45631D1D}"/>
    <cellStyle name="Normal 9 2 3 3 3 3 4" xfId="31933" xr:uid="{9C366857-E098-44FF-83D5-730F073BBF28}"/>
    <cellStyle name="Normal 9 2 3 3 3 4" xfId="10822" xr:uid="{F9291287-5E50-488F-B358-161E1A733A78}"/>
    <cellStyle name="Normal 9 2 3 3 3 5" xfId="19269" xr:uid="{9528E8CB-5059-4D91-9356-8FFB8044C06E}"/>
    <cellStyle name="Normal 9 2 3 3 3 6" xfId="27716" xr:uid="{46606CE5-3E1D-410A-9817-B56112A607CA}"/>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17597" xr:uid="{A62C33D1-E343-4DD7-BFD4-476277D7F9B2}"/>
    <cellStyle name="Normal 9 2 3 3 4 2 2 3" xfId="26044" xr:uid="{78C86689-9B47-48DD-81E5-3BFA80DEC5B6}"/>
    <cellStyle name="Normal 9 2 3 3 4 2 2 4" xfId="34491" xr:uid="{6E1DD8A0-2E1D-4485-A55E-41FB4DE66136}"/>
    <cellStyle name="Normal 9 2 3 3 4 2 3" xfId="13380" xr:uid="{B448AC0C-CBA6-4AE6-82E5-4E48A9C6E05C}"/>
    <cellStyle name="Normal 9 2 3 3 4 2 4" xfId="21827" xr:uid="{1B6EA4FD-A71A-4679-82BA-51B97486CBD0}"/>
    <cellStyle name="Normal 9 2 3 3 4 2 5" xfId="30274" xr:uid="{CA784119-F680-471F-876C-9CFBB56BB9D2}"/>
    <cellStyle name="Normal 9 2 3 3 4 3" xfId="6126" xr:uid="{00000000-0005-0000-0000-0000411F0000}"/>
    <cellStyle name="Normal 9 2 3 3 4 3 2" xfId="15452" xr:uid="{FFA56F07-4530-4B41-90D3-693F7923FE4A}"/>
    <cellStyle name="Normal 9 2 3 3 4 3 3" xfId="23899" xr:uid="{31B0B51C-D261-45D8-905B-BE1878286458}"/>
    <cellStyle name="Normal 9 2 3 3 4 3 4" xfId="32346" xr:uid="{454204AC-179E-4F23-AB57-DBB632CA0B2A}"/>
    <cellStyle name="Normal 9 2 3 3 4 4" xfId="11235" xr:uid="{97C40375-B5DB-4121-B991-529C1FD7F639}"/>
    <cellStyle name="Normal 9 2 3 3 4 5" xfId="19682" xr:uid="{018C175C-D04B-44D0-92F3-9096BEBF7055}"/>
    <cellStyle name="Normal 9 2 3 3 4 6" xfId="28129" xr:uid="{B7BF38F0-2F0E-4BC5-A421-CCB666EC68C9}"/>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18010" xr:uid="{3AC62741-46F2-4C04-8EB7-C9AAAF108716}"/>
    <cellStyle name="Normal 9 2 3 3 5 2 2 3" xfId="26457" xr:uid="{F7C51976-07C6-41E8-B51D-84E2939CF729}"/>
    <cellStyle name="Normal 9 2 3 3 5 2 2 4" xfId="34904" xr:uid="{669405CC-D242-4E56-84BE-22D75590A40D}"/>
    <cellStyle name="Normal 9 2 3 3 5 2 3" xfId="13793" xr:uid="{16B7C3CE-4F52-4C31-91BE-460CD94A4AB9}"/>
    <cellStyle name="Normal 9 2 3 3 5 2 4" xfId="22240" xr:uid="{690F5D49-BE3E-4E70-BE0F-532AE4E47856}"/>
    <cellStyle name="Normal 9 2 3 3 5 2 5" xfId="30687" xr:uid="{6CDA9261-100B-44A8-AE0D-5630B1EF1293}"/>
    <cellStyle name="Normal 9 2 3 3 5 3" xfId="6539" xr:uid="{00000000-0005-0000-0000-0000451F0000}"/>
    <cellStyle name="Normal 9 2 3 3 5 3 2" xfId="15865" xr:uid="{C560BDD3-6AAA-4FB2-948A-B14178F01B96}"/>
    <cellStyle name="Normal 9 2 3 3 5 3 3" xfId="24312" xr:uid="{BA7773CC-3254-4608-9C93-58156B4FFFAD}"/>
    <cellStyle name="Normal 9 2 3 3 5 3 4" xfId="32759" xr:uid="{C7024A3B-8AEB-4F05-9411-FC7CDA4873E3}"/>
    <cellStyle name="Normal 9 2 3 3 5 4" xfId="11648" xr:uid="{49876CEB-5ADD-419F-A4B3-991498E83830}"/>
    <cellStyle name="Normal 9 2 3 3 5 5" xfId="20095" xr:uid="{06300E6D-CF9C-4188-9F22-F62E2B592255}"/>
    <cellStyle name="Normal 9 2 3 3 5 6" xfId="28542" xr:uid="{E413FE33-9DBC-4577-A15E-AC0CE4924170}"/>
    <cellStyle name="Normal 9 2 3 3 6" xfId="2669" xr:uid="{00000000-0005-0000-0000-0000461F0000}"/>
    <cellStyle name="Normal 9 2 3 3 6 2" xfId="6952" xr:uid="{00000000-0005-0000-0000-0000471F0000}"/>
    <cellStyle name="Normal 9 2 3 3 6 2 2" xfId="16278" xr:uid="{89A06E06-D1CE-4869-8FCC-7B2F756C01E2}"/>
    <cellStyle name="Normal 9 2 3 3 6 2 3" xfId="24725" xr:uid="{4C802D31-1158-48C8-BEA2-271A5267D6B8}"/>
    <cellStyle name="Normal 9 2 3 3 6 2 4" xfId="33172" xr:uid="{6CD0572C-995F-430D-81F6-55F90760CD51}"/>
    <cellStyle name="Normal 9 2 3 3 6 3" xfId="12061" xr:uid="{6C126E9D-9E4C-4F94-995B-10C580AE9739}"/>
    <cellStyle name="Normal 9 2 3 3 6 4" xfId="20508" xr:uid="{E7BCD0B8-46FC-42C8-9368-535617408A64}"/>
    <cellStyle name="Normal 9 2 3 3 6 5" xfId="28955" xr:uid="{A355A907-EE6E-4E43-9EF0-C6F974E45526}"/>
    <cellStyle name="Normal 9 2 3 3 7" xfId="4887" xr:uid="{00000000-0005-0000-0000-0000481F0000}"/>
    <cellStyle name="Normal 9 2 3 3 7 2" xfId="14213" xr:uid="{31AE7257-D304-4E58-BF4B-E395F746C6C0}"/>
    <cellStyle name="Normal 9 2 3 3 7 3" xfId="22660" xr:uid="{ADC95526-A016-4766-94CB-6ECCB9B8CF41}"/>
    <cellStyle name="Normal 9 2 3 3 7 4" xfId="31107" xr:uid="{061C8B73-AB8F-4623-A0D2-42BE2EFC07F5}"/>
    <cellStyle name="Normal 9 2 3 3 8" xfId="9045" xr:uid="{CD23D75F-FCE1-471A-A55A-DAC6FB15D069}"/>
    <cellStyle name="Normal 9 2 3 3 9" xfId="9996" xr:uid="{8E9344C3-E113-41F3-BD54-DA0989BA28A1}"/>
    <cellStyle name="Normal 9 2 3 4" xfId="987" xr:uid="{00000000-0005-0000-0000-0000491F0000}"/>
    <cellStyle name="Normal 9 2 3 4 2" xfId="3220" xr:uid="{00000000-0005-0000-0000-00004A1F0000}"/>
    <cellStyle name="Normal 9 2 3 4 2 2" xfId="7442" xr:uid="{00000000-0005-0000-0000-00004B1F0000}"/>
    <cellStyle name="Normal 9 2 3 4 2 2 2" xfId="16768" xr:uid="{39B5731C-4B3E-45DB-B0DD-E16237C82823}"/>
    <cellStyle name="Normal 9 2 3 4 2 2 3" xfId="25215" xr:uid="{E3E25675-6ECA-4D9F-88E3-E9045220172C}"/>
    <cellStyle name="Normal 9 2 3 4 2 2 4" xfId="33662" xr:uid="{3AE1EC59-F5C1-4E3E-8F2C-926112AFC59C}"/>
    <cellStyle name="Normal 9 2 3 4 2 3" xfId="12551" xr:uid="{E587CD63-51FC-495E-88C8-737728E4441A}"/>
    <cellStyle name="Normal 9 2 3 4 2 4" xfId="20998" xr:uid="{65158BC7-21E1-45E1-9D79-0B9982D22B89}"/>
    <cellStyle name="Normal 9 2 3 4 2 5" xfId="29445" xr:uid="{31E5465C-2A1D-4018-8EE1-A55537C70252}"/>
    <cellStyle name="Normal 9 2 3 4 3" xfId="5297" xr:uid="{00000000-0005-0000-0000-00004C1F0000}"/>
    <cellStyle name="Normal 9 2 3 4 3 2" xfId="14623" xr:uid="{6D67F147-67D9-4382-A45E-AE4A7EF30054}"/>
    <cellStyle name="Normal 9 2 3 4 3 3" xfId="23070" xr:uid="{61A650CE-A283-4EED-B108-BF625DF2D743}"/>
    <cellStyle name="Normal 9 2 3 4 3 4" xfId="31517" xr:uid="{164475E3-7B52-42EA-BBED-E83AC0674D15}"/>
    <cellStyle name="Normal 9 2 3 4 4" xfId="9263" xr:uid="{8E7B719A-F76B-4A2B-A5A7-1A883FD6976F}"/>
    <cellStyle name="Normal 9 2 3 4 5" xfId="10406" xr:uid="{BF46959C-44BD-434C-81DD-5B37E5E77DB5}"/>
    <cellStyle name="Normal 9 2 3 4 6" xfId="18853" xr:uid="{8366FE01-E39C-42E6-8C19-510E351F5C1F}"/>
    <cellStyle name="Normal 9 2 3 4 7" xfId="27300" xr:uid="{5E9CE956-9FD2-4175-83AE-EB26CBB7A2C1}"/>
    <cellStyle name="Normal 9 2 3 5" xfId="1403" xr:uid="{00000000-0005-0000-0000-00004D1F0000}"/>
    <cellStyle name="Normal 9 2 3 5 2" xfId="3633" xr:uid="{00000000-0005-0000-0000-00004E1F0000}"/>
    <cellStyle name="Normal 9 2 3 5 2 2" xfId="7855" xr:uid="{00000000-0005-0000-0000-00004F1F0000}"/>
    <cellStyle name="Normal 9 2 3 5 2 2 2" xfId="17181" xr:uid="{E88481DF-E895-41A0-B17A-4C943224BFAB}"/>
    <cellStyle name="Normal 9 2 3 5 2 2 3" xfId="25628" xr:uid="{22F2DB43-5B35-485D-B1E3-9527DEBAD2C5}"/>
    <cellStyle name="Normal 9 2 3 5 2 2 4" xfId="34075" xr:uid="{9CCB9F85-311D-4F1C-BFFD-4F3A9525F4D7}"/>
    <cellStyle name="Normal 9 2 3 5 2 3" xfId="12964" xr:uid="{5E46947E-38B4-4BAF-B8C3-4D75934BA672}"/>
    <cellStyle name="Normal 9 2 3 5 2 4" xfId="21411" xr:uid="{F05A6D83-2CF0-4013-9050-82CF711BAE0E}"/>
    <cellStyle name="Normal 9 2 3 5 2 5" xfId="29858" xr:uid="{39FA4809-8139-42A1-9172-106D2DDB5A98}"/>
    <cellStyle name="Normal 9 2 3 5 3" xfId="5710" xr:uid="{00000000-0005-0000-0000-0000501F0000}"/>
    <cellStyle name="Normal 9 2 3 5 3 2" xfId="15036" xr:uid="{E9B3C9BF-E61C-42C6-8B80-F78BA5E1BB2D}"/>
    <cellStyle name="Normal 9 2 3 5 3 3" xfId="23483" xr:uid="{76F312BE-3ECE-4951-90F7-F29AD5860594}"/>
    <cellStyle name="Normal 9 2 3 5 3 4" xfId="31930" xr:uid="{E570927F-EB23-462A-B98F-9B7AC5BEAE05}"/>
    <cellStyle name="Normal 9 2 3 5 4" xfId="10819" xr:uid="{2DCE8FE4-A28B-4301-AE5F-1D69E08C5DF4}"/>
    <cellStyle name="Normal 9 2 3 5 5" xfId="19266" xr:uid="{80CADCBB-8A00-49E7-B956-7E193F6A7134}"/>
    <cellStyle name="Normal 9 2 3 5 6" xfId="27713" xr:uid="{CFB5F8C3-4193-4B53-9100-FB650C9D8D29}"/>
    <cellStyle name="Normal 9 2 3 6" xfId="1816" xr:uid="{00000000-0005-0000-0000-0000511F0000}"/>
    <cellStyle name="Normal 9 2 3 6 2" xfId="4046" xr:uid="{00000000-0005-0000-0000-0000521F0000}"/>
    <cellStyle name="Normal 9 2 3 6 2 2" xfId="8268" xr:uid="{00000000-0005-0000-0000-0000531F0000}"/>
    <cellStyle name="Normal 9 2 3 6 2 2 2" xfId="17594" xr:uid="{621860D5-2BA2-4C32-8428-3F49DDB3673F}"/>
    <cellStyle name="Normal 9 2 3 6 2 2 3" xfId="26041" xr:uid="{0052A797-1813-4ABD-9C49-048B2AB4A887}"/>
    <cellStyle name="Normal 9 2 3 6 2 2 4" xfId="34488" xr:uid="{4341575F-6A9E-4955-8442-20E334EB3328}"/>
    <cellStyle name="Normal 9 2 3 6 2 3" xfId="13377" xr:uid="{09A190EC-1FE2-4064-941A-91F0B91337E6}"/>
    <cellStyle name="Normal 9 2 3 6 2 4" xfId="21824" xr:uid="{8983F3DA-9D5C-4072-BB72-C97506983927}"/>
    <cellStyle name="Normal 9 2 3 6 2 5" xfId="30271" xr:uid="{BE481776-667F-47C4-9220-EB1421E65906}"/>
    <cellStyle name="Normal 9 2 3 6 3" xfId="6123" xr:uid="{00000000-0005-0000-0000-0000541F0000}"/>
    <cellStyle name="Normal 9 2 3 6 3 2" xfId="15449" xr:uid="{E4ED0051-59DB-4773-9AD6-752B73D6BE09}"/>
    <cellStyle name="Normal 9 2 3 6 3 3" xfId="23896" xr:uid="{A919D899-0096-4962-A78E-5941AA343A8E}"/>
    <cellStyle name="Normal 9 2 3 6 3 4" xfId="32343" xr:uid="{81096AFF-ECF0-48D8-B61E-377727E44741}"/>
    <cellStyle name="Normal 9 2 3 6 4" xfId="11232" xr:uid="{7611F5ED-AEA1-4889-9A77-AE56AC19834A}"/>
    <cellStyle name="Normal 9 2 3 6 5" xfId="19679" xr:uid="{710BF0B3-25FF-4E62-B9D8-1086697533C7}"/>
    <cellStyle name="Normal 9 2 3 6 6" xfId="28126" xr:uid="{951A8050-DA10-4833-AC59-F3397FBCD951}"/>
    <cellStyle name="Normal 9 2 3 7" xfId="2230" xr:uid="{00000000-0005-0000-0000-0000551F0000}"/>
    <cellStyle name="Normal 9 2 3 7 2" xfId="4459" xr:uid="{00000000-0005-0000-0000-0000561F0000}"/>
    <cellStyle name="Normal 9 2 3 7 2 2" xfId="8681" xr:uid="{00000000-0005-0000-0000-0000571F0000}"/>
    <cellStyle name="Normal 9 2 3 7 2 2 2" xfId="18007" xr:uid="{F902C6AE-F394-4BE2-85A1-FBC228F5179B}"/>
    <cellStyle name="Normal 9 2 3 7 2 2 3" xfId="26454" xr:uid="{C158FAC4-6F30-4772-91D7-59BB8A897C7B}"/>
    <cellStyle name="Normal 9 2 3 7 2 2 4" xfId="34901" xr:uid="{ED91633B-D6F6-4758-A56E-B91A6FB06825}"/>
    <cellStyle name="Normal 9 2 3 7 2 3" xfId="13790" xr:uid="{CD59394C-993A-4F34-8610-5C6173163C00}"/>
    <cellStyle name="Normal 9 2 3 7 2 4" xfId="22237" xr:uid="{55C1A3E3-6A34-42D6-A498-1D27C6BE3E02}"/>
    <cellStyle name="Normal 9 2 3 7 2 5" xfId="30684" xr:uid="{3B38A768-1917-4DE9-A96B-3C24BF3491A2}"/>
    <cellStyle name="Normal 9 2 3 7 3" xfId="6536" xr:uid="{00000000-0005-0000-0000-0000581F0000}"/>
    <cellStyle name="Normal 9 2 3 7 3 2" xfId="15862" xr:uid="{A013DCC9-FE77-440A-9606-229C88E5A4A3}"/>
    <cellStyle name="Normal 9 2 3 7 3 3" xfId="24309" xr:uid="{F72F99B1-3EED-4CE2-8A04-CA6B66F87FAA}"/>
    <cellStyle name="Normal 9 2 3 7 3 4" xfId="32756" xr:uid="{064E606F-CCA5-47BB-96B2-CBC7E74BFD8E}"/>
    <cellStyle name="Normal 9 2 3 7 4" xfId="11645" xr:uid="{53951563-E7BF-43B9-AB95-FDF5500A489F}"/>
    <cellStyle name="Normal 9 2 3 7 5" xfId="20092" xr:uid="{A76B16BF-2171-4B78-8D88-C85A6913CAE6}"/>
    <cellStyle name="Normal 9 2 3 7 6" xfId="28539" xr:uid="{0054B89F-B21D-4C51-ACC2-B5EAD14882AE}"/>
    <cellStyle name="Normal 9 2 3 8" xfId="2666" xr:uid="{00000000-0005-0000-0000-0000591F0000}"/>
    <cellStyle name="Normal 9 2 3 8 2" xfId="6949" xr:uid="{00000000-0005-0000-0000-00005A1F0000}"/>
    <cellStyle name="Normal 9 2 3 8 2 2" xfId="16275" xr:uid="{2014CF63-FBD1-4B24-8274-9DB0A78C41D9}"/>
    <cellStyle name="Normal 9 2 3 8 2 3" xfId="24722" xr:uid="{F6E93CEB-EB8A-442A-9E70-619FBFDBFC10}"/>
    <cellStyle name="Normal 9 2 3 8 2 4" xfId="33169" xr:uid="{B06892CC-5299-4927-BC2D-3B3E3CB3BD99}"/>
    <cellStyle name="Normal 9 2 3 8 3" xfId="12058" xr:uid="{9AC2F7D2-A9FE-4973-AE92-CED936BEB052}"/>
    <cellStyle name="Normal 9 2 3 8 4" xfId="20505" xr:uid="{773894D5-1506-43DD-B678-CE9CA7EE7A62}"/>
    <cellStyle name="Normal 9 2 3 8 5" xfId="28952" xr:uid="{B6B693ED-5A5A-402D-AA40-BD49A047A0F3}"/>
    <cellStyle name="Normal 9 2 3 9" xfId="4884" xr:uid="{00000000-0005-0000-0000-00005B1F0000}"/>
    <cellStyle name="Normal 9 2 3 9 2" xfId="14210" xr:uid="{0B684E3B-8A7D-41CA-9D0C-6B966AF41B7C}"/>
    <cellStyle name="Normal 9 2 3 9 3" xfId="22657" xr:uid="{C808CF10-764F-40D1-83FF-5B65B19D2912}"/>
    <cellStyle name="Normal 9 2 3 9 4" xfId="31104" xr:uid="{6188AF73-2240-4F78-8A16-FB980B808C0B}"/>
    <cellStyle name="Normal 9 2 4" xfId="524" xr:uid="{00000000-0005-0000-0000-00005C1F0000}"/>
    <cellStyle name="Normal 9 2 4 10" xfId="9997" xr:uid="{16B9F708-79CF-4386-B6CB-2346587DC2A2}"/>
    <cellStyle name="Normal 9 2 4 11" xfId="18444" xr:uid="{1BF72039-F6E8-44A9-AF53-92A6F14DD62D}"/>
    <cellStyle name="Normal 9 2 4 12" xfId="26891" xr:uid="{2B0CEE94-FD1F-416F-82FE-6965DCA36C37}"/>
    <cellStyle name="Normal 9 2 4 2" xfId="525" xr:uid="{00000000-0005-0000-0000-00005D1F0000}"/>
    <cellStyle name="Normal 9 2 4 2 10" xfId="18445" xr:uid="{2366F90A-CC00-4648-A5B9-9650379E629B}"/>
    <cellStyle name="Normal 9 2 4 2 11" xfId="26892" xr:uid="{A7383ED1-8123-4B2A-8CAF-99B356C60C02}"/>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16773" xr:uid="{DCBBBC34-FBAE-4A58-89B3-5AD24C89454F}"/>
    <cellStyle name="Normal 9 2 4 2 2 2 2 3" xfId="25220" xr:uid="{4670A241-F653-4325-9306-AEA33FD6B97E}"/>
    <cellStyle name="Normal 9 2 4 2 2 2 2 4" xfId="33667" xr:uid="{9E28EB23-2BE9-42E7-858E-73E4455E5F1C}"/>
    <cellStyle name="Normal 9 2 4 2 2 2 3" xfId="12556" xr:uid="{A2B1264B-CBE1-4627-A6E0-92E50325B380}"/>
    <cellStyle name="Normal 9 2 4 2 2 2 4" xfId="21003" xr:uid="{2F806E6E-4C66-416C-A0D8-C7E0DBA89BDD}"/>
    <cellStyle name="Normal 9 2 4 2 2 2 5" xfId="29450" xr:uid="{98834122-8BA5-4924-BE3A-13F4754C3020}"/>
    <cellStyle name="Normal 9 2 4 2 2 3" xfId="5302" xr:uid="{00000000-0005-0000-0000-0000611F0000}"/>
    <cellStyle name="Normal 9 2 4 2 2 3 2" xfId="14628" xr:uid="{6DACA4E0-1071-4709-A960-2500F51BD9FB}"/>
    <cellStyle name="Normal 9 2 4 2 2 3 3" xfId="23075" xr:uid="{4F5B32F7-32B0-41DD-A084-16530190946A}"/>
    <cellStyle name="Normal 9 2 4 2 2 3 4" xfId="31522" xr:uid="{33ACA42A-453F-4AA1-8BE6-7CC901B9DE5A}"/>
    <cellStyle name="Normal 9 2 4 2 2 4" xfId="9489" xr:uid="{4BA9DC16-58A7-4D6B-90A6-6BB0C51A0279}"/>
    <cellStyle name="Normal 9 2 4 2 2 5" xfId="10411" xr:uid="{6E84DACE-6AAD-4EB9-B1A5-0938FEF5E002}"/>
    <cellStyle name="Normal 9 2 4 2 2 6" xfId="18858" xr:uid="{20C4287E-857A-4E6D-8C5B-AA1B42CC1A78}"/>
    <cellStyle name="Normal 9 2 4 2 2 7" xfId="27305" xr:uid="{9F880904-ED2D-4843-91CF-13217697D462}"/>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17186" xr:uid="{0F05A668-539A-4616-B5E9-FB5B271DE884}"/>
    <cellStyle name="Normal 9 2 4 2 3 2 2 3" xfId="25633" xr:uid="{3A048FEC-8286-4553-BBA2-C755ABEED470}"/>
    <cellStyle name="Normal 9 2 4 2 3 2 2 4" xfId="34080" xr:uid="{014C163B-D8F5-47DB-AC5C-41F5AC7D792D}"/>
    <cellStyle name="Normal 9 2 4 2 3 2 3" xfId="12969" xr:uid="{8E431AA7-856B-4112-B5B3-93F192BCBE56}"/>
    <cellStyle name="Normal 9 2 4 2 3 2 4" xfId="21416" xr:uid="{80DF88F5-034A-4863-9E2E-0FD2CF85DD4C}"/>
    <cellStyle name="Normal 9 2 4 2 3 2 5" xfId="29863" xr:uid="{19A7CD33-1CE9-4F64-A97F-035A1FC9D88C}"/>
    <cellStyle name="Normal 9 2 4 2 3 3" xfId="5715" xr:uid="{00000000-0005-0000-0000-0000651F0000}"/>
    <cellStyle name="Normal 9 2 4 2 3 3 2" xfId="15041" xr:uid="{06FD685A-CDBD-457E-8AD5-161A55AA9158}"/>
    <cellStyle name="Normal 9 2 4 2 3 3 3" xfId="23488" xr:uid="{6E4091B3-6F54-48FB-B21F-C6D6A2188755}"/>
    <cellStyle name="Normal 9 2 4 2 3 3 4" xfId="31935" xr:uid="{EFBA7CA4-98B7-4752-BDD4-637C21D65CE1}"/>
    <cellStyle name="Normal 9 2 4 2 3 4" xfId="10824" xr:uid="{7488CF8E-5A92-470A-910D-1649AA1FBE0F}"/>
    <cellStyle name="Normal 9 2 4 2 3 5" xfId="19271" xr:uid="{CAE082F4-0D35-4E54-85E1-08C44D5502D6}"/>
    <cellStyle name="Normal 9 2 4 2 3 6" xfId="27718" xr:uid="{57A461BF-1F8D-4BBD-A632-DB56D150EA99}"/>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17599" xr:uid="{78B3C88D-284C-4A0E-ABF3-DF347474C449}"/>
    <cellStyle name="Normal 9 2 4 2 4 2 2 3" xfId="26046" xr:uid="{2A3D9034-AF52-42A1-BE8D-E599AA7CB560}"/>
    <cellStyle name="Normal 9 2 4 2 4 2 2 4" xfId="34493" xr:uid="{E87A2F74-B2C3-4FA3-9978-91BFA710A1DA}"/>
    <cellStyle name="Normal 9 2 4 2 4 2 3" xfId="13382" xr:uid="{E7D8B2D3-EB39-4AC1-8F97-F0DC05A8E1B7}"/>
    <cellStyle name="Normal 9 2 4 2 4 2 4" xfId="21829" xr:uid="{2F820221-0812-476F-B814-F5D27C58AB52}"/>
    <cellStyle name="Normal 9 2 4 2 4 2 5" xfId="30276" xr:uid="{A70A37B7-9745-46A7-B469-9EFDADF52B06}"/>
    <cellStyle name="Normal 9 2 4 2 4 3" xfId="6128" xr:uid="{00000000-0005-0000-0000-0000691F0000}"/>
    <cellStyle name="Normal 9 2 4 2 4 3 2" xfId="15454" xr:uid="{18915CE3-5A12-48E3-B5DC-2F3E174E6F17}"/>
    <cellStyle name="Normal 9 2 4 2 4 3 3" xfId="23901" xr:uid="{E69D7FCB-C232-4F27-BF72-05AC0ABB3FA0}"/>
    <cellStyle name="Normal 9 2 4 2 4 3 4" xfId="32348" xr:uid="{18DEEBF6-247B-4FE8-AB82-154FC1ADDA19}"/>
    <cellStyle name="Normal 9 2 4 2 4 4" xfId="11237" xr:uid="{5183EFD0-2506-40A2-AC74-F8E2430777C8}"/>
    <cellStyle name="Normal 9 2 4 2 4 5" xfId="19684" xr:uid="{786A40FA-52BC-48C6-8ED3-24981A71BA5B}"/>
    <cellStyle name="Normal 9 2 4 2 4 6" xfId="28131" xr:uid="{924545D6-D6F5-4A00-ACA3-33AA2FB27878}"/>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18012" xr:uid="{A83FE722-B142-4BE8-ACD4-E50BE8D5376A}"/>
    <cellStyle name="Normal 9 2 4 2 5 2 2 3" xfId="26459" xr:uid="{4A53E855-9042-421A-80E5-345B2DA33ECC}"/>
    <cellStyle name="Normal 9 2 4 2 5 2 2 4" xfId="34906" xr:uid="{9229FEFA-BC8A-4A20-84E4-E19B79B02459}"/>
    <cellStyle name="Normal 9 2 4 2 5 2 3" xfId="13795" xr:uid="{068FA216-D63A-475E-A290-282A404889BD}"/>
    <cellStyle name="Normal 9 2 4 2 5 2 4" xfId="22242" xr:uid="{2BCBA698-3A82-4445-86D5-D3B4066945D6}"/>
    <cellStyle name="Normal 9 2 4 2 5 2 5" xfId="30689" xr:uid="{49593123-FAB6-4B3B-A0C3-1E246E597BBB}"/>
    <cellStyle name="Normal 9 2 4 2 5 3" xfId="6541" xr:uid="{00000000-0005-0000-0000-00006D1F0000}"/>
    <cellStyle name="Normal 9 2 4 2 5 3 2" xfId="15867" xr:uid="{B493C69E-A423-46DC-BFBF-2D76451924FC}"/>
    <cellStyle name="Normal 9 2 4 2 5 3 3" xfId="24314" xr:uid="{9311F547-E6FB-4B4A-AFE3-9F5978D43EA7}"/>
    <cellStyle name="Normal 9 2 4 2 5 3 4" xfId="32761" xr:uid="{416832D4-121A-4CBF-8BFD-6C0DDE852DB2}"/>
    <cellStyle name="Normal 9 2 4 2 5 4" xfId="11650" xr:uid="{3E91E0A1-12BF-4BB5-9A3D-7F54FC24876D}"/>
    <cellStyle name="Normal 9 2 4 2 5 5" xfId="20097" xr:uid="{A5386DDE-8CD0-488D-9EC5-85F0B7C8CF39}"/>
    <cellStyle name="Normal 9 2 4 2 5 6" xfId="28544" xr:uid="{98105354-F484-4B61-B557-7F2697666775}"/>
    <cellStyle name="Normal 9 2 4 2 6" xfId="2671" xr:uid="{00000000-0005-0000-0000-00006E1F0000}"/>
    <cellStyle name="Normal 9 2 4 2 6 2" xfId="6954" xr:uid="{00000000-0005-0000-0000-00006F1F0000}"/>
    <cellStyle name="Normal 9 2 4 2 6 2 2" xfId="16280" xr:uid="{21F61460-C83B-4E24-841F-A44BF3C2F06F}"/>
    <cellStyle name="Normal 9 2 4 2 6 2 3" xfId="24727" xr:uid="{1606AE72-F419-4A39-B855-198D3EF9FF4E}"/>
    <cellStyle name="Normal 9 2 4 2 6 2 4" xfId="33174" xr:uid="{70721707-11A0-4279-9329-29F874148023}"/>
    <cellStyle name="Normal 9 2 4 2 6 3" xfId="12063" xr:uid="{13384411-2268-4B5E-8AC4-ADB9F8F53F18}"/>
    <cellStyle name="Normal 9 2 4 2 6 4" xfId="20510" xr:uid="{6F078CF4-041D-4FA3-AA8C-BD075CDA9BCA}"/>
    <cellStyle name="Normal 9 2 4 2 6 5" xfId="28957" xr:uid="{3412B785-7CFA-4A4D-B295-89A89F69D607}"/>
    <cellStyle name="Normal 9 2 4 2 7" xfId="4889" xr:uid="{00000000-0005-0000-0000-0000701F0000}"/>
    <cellStyle name="Normal 9 2 4 2 7 2" xfId="14215" xr:uid="{19260B4F-C0F8-4138-90EB-9B165BFDCD7F}"/>
    <cellStyle name="Normal 9 2 4 2 7 3" xfId="22662" xr:uid="{9823E705-4BFF-449A-A842-63EF99DD016D}"/>
    <cellStyle name="Normal 9 2 4 2 7 4" xfId="31109" xr:uid="{970B6E35-B0D7-41A5-8F49-55BD851E646F}"/>
    <cellStyle name="Normal 9 2 4 2 8" xfId="9064" xr:uid="{7D4090C3-C767-4FFF-8A1F-282B2C8BAE68}"/>
    <cellStyle name="Normal 9 2 4 2 9" xfId="9998" xr:uid="{BD6D0545-B076-4F70-8435-82A029ABDA5C}"/>
    <cellStyle name="Normal 9 2 4 3" xfId="991" xr:uid="{00000000-0005-0000-0000-0000711F0000}"/>
    <cellStyle name="Normal 9 2 4 3 2" xfId="3224" xr:uid="{00000000-0005-0000-0000-0000721F0000}"/>
    <cellStyle name="Normal 9 2 4 3 2 2" xfId="7446" xr:uid="{00000000-0005-0000-0000-0000731F0000}"/>
    <cellStyle name="Normal 9 2 4 3 2 2 2" xfId="16772" xr:uid="{E824206E-E6CB-4B1D-8750-D89EE8C0C09E}"/>
    <cellStyle name="Normal 9 2 4 3 2 2 3" xfId="25219" xr:uid="{2392BB69-1FC4-4F06-B354-8131065104E6}"/>
    <cellStyle name="Normal 9 2 4 3 2 2 4" xfId="33666" xr:uid="{497FCF51-32A0-46C1-A375-AC15A46D40EF}"/>
    <cellStyle name="Normal 9 2 4 3 2 3" xfId="12555" xr:uid="{74D01D2A-1905-4F8F-9599-68B1DAF2D876}"/>
    <cellStyle name="Normal 9 2 4 3 2 4" xfId="21002" xr:uid="{2B82FC76-3BD6-454B-98BA-474DC9735B9D}"/>
    <cellStyle name="Normal 9 2 4 3 2 5" xfId="29449" xr:uid="{2DEA2B3C-F074-4ACB-949D-B638BE7B8EC3}"/>
    <cellStyle name="Normal 9 2 4 3 3" xfId="5301" xr:uid="{00000000-0005-0000-0000-0000741F0000}"/>
    <cellStyle name="Normal 9 2 4 3 3 2" xfId="14627" xr:uid="{C8E3EF80-8A33-4EAB-A5A6-BB2EE9FE80F2}"/>
    <cellStyle name="Normal 9 2 4 3 3 3" xfId="23074" xr:uid="{F1688382-8C28-40E5-A858-8C1564530075}"/>
    <cellStyle name="Normal 9 2 4 3 3 4" xfId="31521" xr:uid="{735D75D3-A400-45BE-B030-30B47EDDC10D}"/>
    <cellStyle name="Normal 9 2 4 3 4" xfId="9282" xr:uid="{2471E5AC-3D06-4E90-9462-C54FACA9B22B}"/>
    <cellStyle name="Normal 9 2 4 3 5" xfId="10410" xr:uid="{9D3F5DD8-DD80-4088-BB50-C4CEB626A737}"/>
    <cellStyle name="Normal 9 2 4 3 6" xfId="18857" xr:uid="{46117325-B7E0-4A0D-A8B3-1DD8EAB1B449}"/>
    <cellStyle name="Normal 9 2 4 3 7" xfId="27304" xr:uid="{094BA50C-9014-49D2-B3BF-99C01F985904}"/>
    <cellStyle name="Normal 9 2 4 4" xfId="1407" xr:uid="{00000000-0005-0000-0000-0000751F0000}"/>
    <cellStyle name="Normal 9 2 4 4 2" xfId="3637" xr:uid="{00000000-0005-0000-0000-0000761F0000}"/>
    <cellStyle name="Normal 9 2 4 4 2 2" xfId="7859" xr:uid="{00000000-0005-0000-0000-0000771F0000}"/>
    <cellStyle name="Normal 9 2 4 4 2 2 2" xfId="17185" xr:uid="{7F4A5405-7638-46EC-8648-7A77EF19F87D}"/>
    <cellStyle name="Normal 9 2 4 4 2 2 3" xfId="25632" xr:uid="{84C8F70D-B7CB-42AC-BB20-8FA5CAF84704}"/>
    <cellStyle name="Normal 9 2 4 4 2 2 4" xfId="34079" xr:uid="{90408341-2C77-4222-9DB0-FC68A23218D8}"/>
    <cellStyle name="Normal 9 2 4 4 2 3" xfId="12968" xr:uid="{56E50A8E-D2F6-48BF-AB80-1EE487F2B39B}"/>
    <cellStyle name="Normal 9 2 4 4 2 4" xfId="21415" xr:uid="{699D9C41-DE27-418C-BFB2-40CCCA8329FD}"/>
    <cellStyle name="Normal 9 2 4 4 2 5" xfId="29862" xr:uid="{80574292-0342-4DB9-9D0A-A32D3FE5924A}"/>
    <cellStyle name="Normal 9 2 4 4 3" xfId="5714" xr:uid="{00000000-0005-0000-0000-0000781F0000}"/>
    <cellStyle name="Normal 9 2 4 4 3 2" xfId="15040" xr:uid="{6BB9FB1B-3BC7-499D-BA07-DC7B5D75BBC4}"/>
    <cellStyle name="Normal 9 2 4 4 3 3" xfId="23487" xr:uid="{0F1C8DC9-6D02-4BBA-B656-A9826D966718}"/>
    <cellStyle name="Normal 9 2 4 4 3 4" xfId="31934" xr:uid="{D4BD0DA0-76AB-47F1-A983-90110121701A}"/>
    <cellStyle name="Normal 9 2 4 4 4" xfId="10823" xr:uid="{40C0C874-E7AC-48DB-8F2A-3CA169B9B518}"/>
    <cellStyle name="Normal 9 2 4 4 5" xfId="19270" xr:uid="{CFD06561-3E40-4EED-AA47-475F7AD499EA}"/>
    <cellStyle name="Normal 9 2 4 4 6" xfId="27717" xr:uid="{48FA2A1E-922A-4CD4-B498-6D5327196E82}"/>
    <cellStyle name="Normal 9 2 4 5" xfId="1820" xr:uid="{00000000-0005-0000-0000-0000791F0000}"/>
    <cellStyle name="Normal 9 2 4 5 2" xfId="4050" xr:uid="{00000000-0005-0000-0000-00007A1F0000}"/>
    <cellStyle name="Normal 9 2 4 5 2 2" xfId="8272" xr:uid="{00000000-0005-0000-0000-00007B1F0000}"/>
    <cellStyle name="Normal 9 2 4 5 2 2 2" xfId="17598" xr:uid="{885A5D1A-283A-4EF8-8C03-487ACC371358}"/>
    <cellStyle name="Normal 9 2 4 5 2 2 3" xfId="26045" xr:uid="{294FF169-8D2D-4C31-814B-85062082A055}"/>
    <cellStyle name="Normal 9 2 4 5 2 2 4" xfId="34492" xr:uid="{97A91EE8-612D-4E01-9FC8-95DA977D8A6A}"/>
    <cellStyle name="Normal 9 2 4 5 2 3" xfId="13381" xr:uid="{3A0209C6-7D22-4F79-A501-B884906A7AA8}"/>
    <cellStyle name="Normal 9 2 4 5 2 4" xfId="21828" xr:uid="{FF675C77-402B-43A9-B599-0D22140534AD}"/>
    <cellStyle name="Normal 9 2 4 5 2 5" xfId="30275" xr:uid="{DE3B3818-F1FC-4EF0-BDD9-041461C28EA4}"/>
    <cellStyle name="Normal 9 2 4 5 3" xfId="6127" xr:uid="{00000000-0005-0000-0000-00007C1F0000}"/>
    <cellStyle name="Normal 9 2 4 5 3 2" xfId="15453" xr:uid="{6FAF47AB-D599-42E5-BD77-11B4FDFAAD56}"/>
    <cellStyle name="Normal 9 2 4 5 3 3" xfId="23900" xr:uid="{413A4EEC-6C9D-41AA-80DD-90D9AED2A092}"/>
    <cellStyle name="Normal 9 2 4 5 3 4" xfId="32347" xr:uid="{6C187173-A715-4637-BDA0-CB62CADE273A}"/>
    <cellStyle name="Normal 9 2 4 5 4" xfId="11236" xr:uid="{D3DA8117-6F60-4A9D-8C9A-73A7DD88A5FF}"/>
    <cellStyle name="Normal 9 2 4 5 5" xfId="19683" xr:uid="{B7DD3877-53F7-4F61-B3FC-67715769F749}"/>
    <cellStyle name="Normal 9 2 4 5 6" xfId="28130" xr:uid="{188FBB0B-27C0-4711-8A31-44CB3202AAFE}"/>
    <cellStyle name="Normal 9 2 4 6" xfId="2234" xr:uid="{00000000-0005-0000-0000-00007D1F0000}"/>
    <cellStyle name="Normal 9 2 4 6 2" xfId="4463" xr:uid="{00000000-0005-0000-0000-00007E1F0000}"/>
    <cellStyle name="Normal 9 2 4 6 2 2" xfId="8685" xr:uid="{00000000-0005-0000-0000-00007F1F0000}"/>
    <cellStyle name="Normal 9 2 4 6 2 2 2" xfId="18011" xr:uid="{A38CFCA2-A447-4E0B-9572-F7C5D3E587E5}"/>
    <cellStyle name="Normal 9 2 4 6 2 2 3" xfId="26458" xr:uid="{7EDF1EDB-D3E8-481F-A82E-BEB3F70B568E}"/>
    <cellStyle name="Normal 9 2 4 6 2 2 4" xfId="34905" xr:uid="{2CF52D50-F8FC-4D37-A741-F4D20A31D7DA}"/>
    <cellStyle name="Normal 9 2 4 6 2 3" xfId="13794" xr:uid="{2934A55F-D4B3-422E-AA1E-7739A827A440}"/>
    <cellStyle name="Normal 9 2 4 6 2 4" xfId="22241" xr:uid="{436D4DA6-4CA4-49D2-BD51-20AFD5985C0E}"/>
    <cellStyle name="Normal 9 2 4 6 2 5" xfId="30688" xr:uid="{271675A1-669F-4857-B06A-2CC1BA6953A5}"/>
    <cellStyle name="Normal 9 2 4 6 3" xfId="6540" xr:uid="{00000000-0005-0000-0000-0000801F0000}"/>
    <cellStyle name="Normal 9 2 4 6 3 2" xfId="15866" xr:uid="{F12ECABE-5E5E-4419-B9DD-444637E4544F}"/>
    <cellStyle name="Normal 9 2 4 6 3 3" xfId="24313" xr:uid="{9269BFED-68FE-471D-AC11-C012F784BCF8}"/>
    <cellStyle name="Normal 9 2 4 6 3 4" xfId="32760" xr:uid="{FD9E5292-F50D-410E-B563-8398787A53C9}"/>
    <cellStyle name="Normal 9 2 4 6 4" xfId="11649" xr:uid="{58DC9379-38E9-4BC8-8153-4B196A8B4883}"/>
    <cellStyle name="Normal 9 2 4 6 5" xfId="20096" xr:uid="{D08A1205-FF80-4732-AB7D-BFEE938F204A}"/>
    <cellStyle name="Normal 9 2 4 6 6" xfId="28543" xr:uid="{3EA59D58-7451-4005-A6DC-06898A38EEE3}"/>
    <cellStyle name="Normal 9 2 4 7" xfId="2670" xr:uid="{00000000-0005-0000-0000-0000811F0000}"/>
    <cellStyle name="Normal 9 2 4 7 2" xfId="6953" xr:uid="{00000000-0005-0000-0000-0000821F0000}"/>
    <cellStyle name="Normal 9 2 4 7 2 2" xfId="16279" xr:uid="{878A3337-5F4F-433B-899E-E7813E83043A}"/>
    <cellStyle name="Normal 9 2 4 7 2 3" xfId="24726" xr:uid="{BB25FC32-CF27-4DA2-8FFA-ECE72057CB28}"/>
    <cellStyle name="Normal 9 2 4 7 2 4" xfId="33173" xr:uid="{D1121A68-4AF1-47EA-A07E-567C8A3DB4D4}"/>
    <cellStyle name="Normal 9 2 4 7 3" xfId="12062" xr:uid="{7628A7DE-40FE-4E91-998B-F71781F94AE7}"/>
    <cellStyle name="Normal 9 2 4 7 4" xfId="20509" xr:uid="{77C0E024-87C9-4A3E-BDBF-099E42331619}"/>
    <cellStyle name="Normal 9 2 4 7 5" xfId="28956" xr:uid="{6A538BA4-9E25-4392-B718-77CC398FD6DA}"/>
    <cellStyle name="Normal 9 2 4 8" xfId="4888" xr:uid="{00000000-0005-0000-0000-0000831F0000}"/>
    <cellStyle name="Normal 9 2 4 8 2" xfId="14214" xr:uid="{C655B431-305D-44D3-9152-D4BDE5C0FDDD}"/>
    <cellStyle name="Normal 9 2 4 8 3" xfId="22661" xr:uid="{E667C801-F9C4-4A37-96E2-3AD632D0BC5A}"/>
    <cellStyle name="Normal 9 2 4 8 4" xfId="31108" xr:uid="{A6C20675-194F-4D14-96AE-56EDD145CDA2}"/>
    <cellStyle name="Normal 9 2 4 9" xfId="8857" xr:uid="{D785C0E6-B403-4CCC-AB0B-78E822EF1E40}"/>
    <cellStyle name="Normal 9 2 5" xfId="526" xr:uid="{00000000-0005-0000-0000-0000841F0000}"/>
    <cellStyle name="Normal 9 2 5 10" xfId="18446" xr:uid="{DB4990C8-A12A-4D38-8C22-7926B1C0F2F9}"/>
    <cellStyle name="Normal 9 2 5 11" xfId="26893" xr:uid="{A76A7ED9-C9E7-4418-BD85-85A83FEA3A31}"/>
    <cellStyle name="Normal 9 2 5 2" xfId="993" xr:uid="{00000000-0005-0000-0000-0000851F0000}"/>
    <cellStyle name="Normal 9 2 5 2 2" xfId="3226" xr:uid="{00000000-0005-0000-0000-0000861F0000}"/>
    <cellStyle name="Normal 9 2 5 2 2 2" xfId="7448" xr:uid="{00000000-0005-0000-0000-0000871F0000}"/>
    <cellStyle name="Normal 9 2 5 2 2 2 2" xfId="16774" xr:uid="{C2842674-AD02-4FC2-811D-BCFA6E7BC1BB}"/>
    <cellStyle name="Normal 9 2 5 2 2 2 3" xfId="25221" xr:uid="{D69B42A6-741C-46BC-A860-43991A1E9824}"/>
    <cellStyle name="Normal 9 2 5 2 2 2 4" xfId="33668" xr:uid="{C08AFCAA-A4E2-4726-B30C-2DEA9463F88F}"/>
    <cellStyle name="Normal 9 2 5 2 2 3" xfId="12557" xr:uid="{635DF9E0-28C8-4D60-8AC7-0ACA4B1627BA}"/>
    <cellStyle name="Normal 9 2 5 2 2 4" xfId="21004" xr:uid="{EB090449-41B3-4B5D-9D0F-644240CBA55C}"/>
    <cellStyle name="Normal 9 2 5 2 2 5" xfId="29451" xr:uid="{5F78FA04-C479-42EB-B61D-B39AA0FF726D}"/>
    <cellStyle name="Normal 9 2 5 2 3" xfId="5303" xr:uid="{00000000-0005-0000-0000-0000881F0000}"/>
    <cellStyle name="Normal 9 2 5 2 3 2" xfId="14629" xr:uid="{B03FE12D-708A-4B1A-901A-68C31F741686}"/>
    <cellStyle name="Normal 9 2 5 2 3 3" xfId="23076" xr:uid="{7045B25A-75FB-4D45-945B-181B5067FC64}"/>
    <cellStyle name="Normal 9 2 5 2 3 4" xfId="31523" xr:uid="{59AA6588-C2AE-43CF-AB6B-28D68A048442}"/>
    <cellStyle name="Normal 9 2 5 2 4" xfId="9398" xr:uid="{5B2A416E-986C-4898-8893-9EAFDDDBCDD4}"/>
    <cellStyle name="Normal 9 2 5 2 5" xfId="10412" xr:uid="{63317F78-F124-418A-99FC-8C354A1379EB}"/>
    <cellStyle name="Normal 9 2 5 2 6" xfId="18859" xr:uid="{6906C60D-87E1-47D4-911B-A34BEF9A0C7E}"/>
    <cellStyle name="Normal 9 2 5 2 7" xfId="27306" xr:uid="{C47A6A34-3472-4461-83C6-D81EE310107B}"/>
    <cellStyle name="Normal 9 2 5 3" xfId="1409" xr:uid="{00000000-0005-0000-0000-0000891F0000}"/>
    <cellStyle name="Normal 9 2 5 3 2" xfId="3639" xr:uid="{00000000-0005-0000-0000-00008A1F0000}"/>
    <cellStyle name="Normal 9 2 5 3 2 2" xfId="7861" xr:uid="{00000000-0005-0000-0000-00008B1F0000}"/>
    <cellStyle name="Normal 9 2 5 3 2 2 2" xfId="17187" xr:uid="{6A8AFAB6-E008-4F06-BC6B-731D1A517DDA}"/>
    <cellStyle name="Normal 9 2 5 3 2 2 3" xfId="25634" xr:uid="{C9C3BECA-6BA1-404C-B191-90ABF7B8B25C}"/>
    <cellStyle name="Normal 9 2 5 3 2 2 4" xfId="34081" xr:uid="{54E9D905-1C6F-4C16-AE02-503654462E1A}"/>
    <cellStyle name="Normal 9 2 5 3 2 3" xfId="12970" xr:uid="{4542D53B-BED4-4FB8-9E95-FE160531D92C}"/>
    <cellStyle name="Normal 9 2 5 3 2 4" xfId="21417" xr:uid="{3478848E-20DB-4632-B199-7F0C6136816C}"/>
    <cellStyle name="Normal 9 2 5 3 2 5" xfId="29864" xr:uid="{7DE29605-A376-469B-B6DD-9D8A522E36AA}"/>
    <cellStyle name="Normal 9 2 5 3 3" xfId="5716" xr:uid="{00000000-0005-0000-0000-00008C1F0000}"/>
    <cellStyle name="Normal 9 2 5 3 3 2" xfId="15042" xr:uid="{194DC727-CBE4-4AEC-91A8-1B36905CA40D}"/>
    <cellStyle name="Normal 9 2 5 3 3 3" xfId="23489" xr:uid="{0AEE1D3A-971F-471D-9926-57497F638EAA}"/>
    <cellStyle name="Normal 9 2 5 3 3 4" xfId="31936" xr:uid="{8963AEAB-13AC-44C4-A8F8-1DD7C701E776}"/>
    <cellStyle name="Normal 9 2 5 3 4" xfId="10825" xr:uid="{4B1DD226-92B9-4DF6-AF83-751FB3E25F41}"/>
    <cellStyle name="Normal 9 2 5 3 5" xfId="19272" xr:uid="{4FA4E435-008A-4FFF-ABA1-DD509B276DCA}"/>
    <cellStyle name="Normal 9 2 5 3 6" xfId="27719" xr:uid="{8442C091-3494-471F-A204-A9E1651B4998}"/>
    <cellStyle name="Normal 9 2 5 4" xfId="1822" xr:uid="{00000000-0005-0000-0000-00008D1F0000}"/>
    <cellStyle name="Normal 9 2 5 4 2" xfId="4052" xr:uid="{00000000-0005-0000-0000-00008E1F0000}"/>
    <cellStyle name="Normal 9 2 5 4 2 2" xfId="8274" xr:uid="{00000000-0005-0000-0000-00008F1F0000}"/>
    <cellStyle name="Normal 9 2 5 4 2 2 2" xfId="17600" xr:uid="{D40747E8-ED22-4A33-A6D6-C722A5568FBE}"/>
    <cellStyle name="Normal 9 2 5 4 2 2 3" xfId="26047" xr:uid="{74A5207B-56BF-4580-897C-2852CA216E40}"/>
    <cellStyle name="Normal 9 2 5 4 2 2 4" xfId="34494" xr:uid="{1BC39BB4-7542-41C8-A2C0-C30D8EA94DBB}"/>
    <cellStyle name="Normal 9 2 5 4 2 3" xfId="13383" xr:uid="{D8C12D71-E8D8-4F71-B638-F6734BF4B460}"/>
    <cellStyle name="Normal 9 2 5 4 2 4" xfId="21830" xr:uid="{D303A2EA-F26A-4554-8C6C-7A3D03DC846C}"/>
    <cellStyle name="Normal 9 2 5 4 2 5" xfId="30277" xr:uid="{9B02C292-46B1-4649-9386-61CA9698CDA1}"/>
    <cellStyle name="Normal 9 2 5 4 3" xfId="6129" xr:uid="{00000000-0005-0000-0000-0000901F0000}"/>
    <cellStyle name="Normal 9 2 5 4 3 2" xfId="15455" xr:uid="{36CB108D-17D3-4297-9DC4-2570BB00DBD0}"/>
    <cellStyle name="Normal 9 2 5 4 3 3" xfId="23902" xr:uid="{B662EB0F-6A5F-4761-A034-178E03D5CC6E}"/>
    <cellStyle name="Normal 9 2 5 4 3 4" xfId="32349" xr:uid="{7BC579D4-2A7C-4377-9E56-7C21155D3CDD}"/>
    <cellStyle name="Normal 9 2 5 4 4" xfId="11238" xr:uid="{68AEB56C-7ECD-4ABB-AC1F-2544885C96D5}"/>
    <cellStyle name="Normal 9 2 5 4 5" xfId="19685" xr:uid="{051CFB54-683D-45F4-AB3B-ADFCF45AB0EB}"/>
    <cellStyle name="Normal 9 2 5 4 6" xfId="28132" xr:uid="{E1881F6B-C881-449A-B467-8446633453C4}"/>
    <cellStyle name="Normal 9 2 5 5" xfId="2236" xr:uid="{00000000-0005-0000-0000-0000911F0000}"/>
    <cellStyle name="Normal 9 2 5 5 2" xfId="4465" xr:uid="{00000000-0005-0000-0000-0000921F0000}"/>
    <cellStyle name="Normal 9 2 5 5 2 2" xfId="8687" xr:uid="{00000000-0005-0000-0000-0000931F0000}"/>
    <cellStyle name="Normal 9 2 5 5 2 2 2" xfId="18013" xr:uid="{23051159-946B-425B-8680-0A7A749DD474}"/>
    <cellStyle name="Normal 9 2 5 5 2 2 3" xfId="26460" xr:uid="{1F8B9CB9-EA0A-4E6C-A360-5B2E5E9E5AC4}"/>
    <cellStyle name="Normal 9 2 5 5 2 2 4" xfId="34907" xr:uid="{5D169436-658B-4387-9FB4-13F63EF195FE}"/>
    <cellStyle name="Normal 9 2 5 5 2 3" xfId="13796" xr:uid="{DC6CE28D-FA0C-4FD8-86F9-3C8373D49B12}"/>
    <cellStyle name="Normal 9 2 5 5 2 4" xfId="22243" xr:uid="{ED015877-5FA2-4022-BF95-159A3B5C354A}"/>
    <cellStyle name="Normal 9 2 5 5 2 5" xfId="30690" xr:uid="{CA791B88-0AB4-4186-9440-FF3174FDA4DE}"/>
    <cellStyle name="Normal 9 2 5 5 3" xfId="6542" xr:uid="{00000000-0005-0000-0000-0000941F0000}"/>
    <cellStyle name="Normal 9 2 5 5 3 2" xfId="15868" xr:uid="{6F02687B-98AD-4EA7-9311-CE4DFFABEEA0}"/>
    <cellStyle name="Normal 9 2 5 5 3 3" xfId="24315" xr:uid="{85F4896B-6C89-46BC-A176-AE2996F7C394}"/>
    <cellStyle name="Normal 9 2 5 5 3 4" xfId="32762" xr:uid="{4FE1514A-6119-4FB9-A42F-01A05E7C5D2B}"/>
    <cellStyle name="Normal 9 2 5 5 4" xfId="11651" xr:uid="{C532901D-2354-4656-8947-7194CE407FB1}"/>
    <cellStyle name="Normal 9 2 5 5 5" xfId="20098" xr:uid="{02FE6BDD-8536-4195-AC12-46AF1CED428D}"/>
    <cellStyle name="Normal 9 2 5 5 6" xfId="28545" xr:uid="{8774C660-669A-49B0-90B6-57957A626692}"/>
    <cellStyle name="Normal 9 2 5 6" xfId="2672" xr:uid="{00000000-0005-0000-0000-0000951F0000}"/>
    <cellStyle name="Normal 9 2 5 6 2" xfId="6955" xr:uid="{00000000-0005-0000-0000-0000961F0000}"/>
    <cellStyle name="Normal 9 2 5 6 2 2" xfId="16281" xr:uid="{4DC013E4-5D86-45FC-9A73-CDA136C96805}"/>
    <cellStyle name="Normal 9 2 5 6 2 3" xfId="24728" xr:uid="{EC71E4A6-A5EE-474D-9CEC-EFF182C62597}"/>
    <cellStyle name="Normal 9 2 5 6 2 4" xfId="33175" xr:uid="{70B317C8-FF81-4D4B-98D0-0A91F45149E8}"/>
    <cellStyle name="Normal 9 2 5 6 3" xfId="12064" xr:uid="{0F8A316B-4ED0-4A51-BE25-6AEC32AF47E4}"/>
    <cellStyle name="Normal 9 2 5 6 4" xfId="20511" xr:uid="{DDF41847-08BD-44AD-81FC-6DB09FE42B56}"/>
    <cellStyle name="Normal 9 2 5 6 5" xfId="28958" xr:uid="{7D4485BC-1352-42FF-BDD4-CE5FEBBE73C9}"/>
    <cellStyle name="Normal 9 2 5 7" xfId="4890" xr:uid="{00000000-0005-0000-0000-0000971F0000}"/>
    <cellStyle name="Normal 9 2 5 7 2" xfId="14216" xr:uid="{468A9AA9-BB02-42B0-950D-A52201059624}"/>
    <cellStyle name="Normal 9 2 5 7 3" xfId="22663" xr:uid="{10E71081-2426-4C39-A828-35122C30F143}"/>
    <cellStyle name="Normal 9 2 5 7 4" xfId="31110" xr:uid="{9A932B8C-061C-45F8-B9F8-08BE900C783F}"/>
    <cellStyle name="Normal 9 2 5 8" xfId="8973" xr:uid="{BA9464C2-72F7-4B38-B1BD-6986FFA433D9}"/>
    <cellStyle name="Normal 9 2 5 9" xfId="9999" xr:uid="{E91C237D-107D-428E-B758-10497169ABDF}"/>
    <cellStyle name="Normal 9 2 6" xfId="978" xr:uid="{00000000-0005-0000-0000-0000981F0000}"/>
    <cellStyle name="Normal 9 2 6 2" xfId="3211" xr:uid="{00000000-0005-0000-0000-0000991F0000}"/>
    <cellStyle name="Normal 9 2 6 2 2" xfId="7433" xr:uid="{00000000-0005-0000-0000-00009A1F0000}"/>
    <cellStyle name="Normal 9 2 6 2 2 2" xfId="16759" xr:uid="{CC6AEAE2-182A-4471-A0F8-46C123B13629}"/>
    <cellStyle name="Normal 9 2 6 2 2 3" xfId="25206" xr:uid="{48163911-DEB4-48E9-952A-015F840BF384}"/>
    <cellStyle name="Normal 9 2 6 2 2 4" xfId="33653" xr:uid="{30B33F36-F85B-437A-AFA7-FBC96165615A}"/>
    <cellStyle name="Normal 9 2 6 2 3" xfId="12542" xr:uid="{4CCAD26E-CC20-4FAB-8C24-6B7DDE8D09BE}"/>
    <cellStyle name="Normal 9 2 6 2 4" xfId="20989" xr:uid="{FD6A3A6D-3262-49D0-8833-A94A825A27D0}"/>
    <cellStyle name="Normal 9 2 6 2 5" xfId="29436" xr:uid="{AD5BA954-C07E-4CC7-A88D-2B5D4A1E55DB}"/>
    <cellStyle name="Normal 9 2 6 3" xfId="5288" xr:uid="{00000000-0005-0000-0000-00009B1F0000}"/>
    <cellStyle name="Normal 9 2 6 3 2" xfId="14614" xr:uid="{0609DBE5-9DE9-4FC2-8FE3-42467E73DC12}"/>
    <cellStyle name="Normal 9 2 6 3 3" xfId="23061" xr:uid="{DAA71AEB-DD91-4C3B-A6E6-A7ADD26C71F2}"/>
    <cellStyle name="Normal 9 2 6 3 4" xfId="31508" xr:uid="{5AA8622C-3A96-424A-890C-4F85EC117C40}"/>
    <cellStyle name="Normal 9 2 6 4" xfId="9176" xr:uid="{F3933A08-5B20-47C9-B0FC-7B73F4B0BA7D}"/>
    <cellStyle name="Normal 9 2 6 5" xfId="10397" xr:uid="{4657029E-9194-494D-8C4E-570A68F822B6}"/>
    <cellStyle name="Normal 9 2 6 6" xfId="18844" xr:uid="{769817EF-837A-4C2A-AB0D-5DFC57B81D0A}"/>
    <cellStyle name="Normal 9 2 6 7" xfId="27291" xr:uid="{018C3F9D-3B7D-4EDA-9A28-ABF34EDAA301}"/>
    <cellStyle name="Normal 9 2 7" xfId="1394" xr:uid="{00000000-0005-0000-0000-00009C1F0000}"/>
    <cellStyle name="Normal 9 2 7 2" xfId="3624" xr:uid="{00000000-0005-0000-0000-00009D1F0000}"/>
    <cellStyle name="Normal 9 2 7 2 2" xfId="7846" xr:uid="{00000000-0005-0000-0000-00009E1F0000}"/>
    <cellStyle name="Normal 9 2 7 2 2 2" xfId="17172" xr:uid="{6A784D8C-15D0-426D-B590-514F4F8FBF3A}"/>
    <cellStyle name="Normal 9 2 7 2 2 3" xfId="25619" xr:uid="{F3BE4A3E-A25E-4A22-9532-AE8615EF6579}"/>
    <cellStyle name="Normal 9 2 7 2 2 4" xfId="34066" xr:uid="{DD60BBE9-FF98-469B-A8F5-5CFE4F49E174}"/>
    <cellStyle name="Normal 9 2 7 2 3" xfId="12955" xr:uid="{8F904D96-5C46-423F-976C-A7F1D9DFB7C5}"/>
    <cellStyle name="Normal 9 2 7 2 4" xfId="21402" xr:uid="{65BE2D0A-114B-4662-9CBE-F88435297AE3}"/>
    <cellStyle name="Normal 9 2 7 2 5" xfId="29849" xr:uid="{DED31E4C-3A62-463E-BD16-4814DD058876}"/>
    <cellStyle name="Normal 9 2 7 3" xfId="5701" xr:uid="{00000000-0005-0000-0000-00009F1F0000}"/>
    <cellStyle name="Normal 9 2 7 3 2" xfId="15027" xr:uid="{8DC5BA6A-DB62-4FBA-9C9F-ACCB189A4B26}"/>
    <cellStyle name="Normal 9 2 7 3 3" xfId="23474" xr:uid="{7F0AC2BB-6683-4A5D-AF94-CB8E186A2A87}"/>
    <cellStyle name="Normal 9 2 7 3 4" xfId="31921" xr:uid="{E2E4C382-1BEA-48CF-813D-A0DA6ED50826}"/>
    <cellStyle name="Normal 9 2 7 4" xfId="10810" xr:uid="{251E502D-0C0C-43A3-90DF-9A069EAF6704}"/>
    <cellStyle name="Normal 9 2 7 5" xfId="19257" xr:uid="{A5B0063A-5DE6-49FC-B939-0BD4336A9A9D}"/>
    <cellStyle name="Normal 9 2 7 6" xfId="27704" xr:uid="{F58A13AB-38C3-4405-899B-1129ED74844A}"/>
    <cellStyle name="Normal 9 2 8" xfId="1807" xr:uid="{00000000-0005-0000-0000-0000A01F0000}"/>
    <cellStyle name="Normal 9 2 8 2" xfId="4037" xr:uid="{00000000-0005-0000-0000-0000A11F0000}"/>
    <cellStyle name="Normal 9 2 8 2 2" xfId="8259" xr:uid="{00000000-0005-0000-0000-0000A21F0000}"/>
    <cellStyle name="Normal 9 2 8 2 2 2" xfId="17585" xr:uid="{A96CEFBA-DF47-4EDD-A72D-2AD8712C1778}"/>
    <cellStyle name="Normal 9 2 8 2 2 3" xfId="26032" xr:uid="{A90DE268-E96D-4CC7-8C1F-673CA7EE4F8F}"/>
    <cellStyle name="Normal 9 2 8 2 2 4" xfId="34479" xr:uid="{2F3C9E44-F019-4CED-A281-2978BEF09DD8}"/>
    <cellStyle name="Normal 9 2 8 2 3" xfId="13368" xr:uid="{441948E0-98A5-4EBA-A00B-560570C52EDC}"/>
    <cellStyle name="Normal 9 2 8 2 4" xfId="21815" xr:uid="{981ABE21-0A89-4AE2-BDDF-EC45F9ED5DCA}"/>
    <cellStyle name="Normal 9 2 8 2 5" xfId="30262" xr:uid="{F1E3C248-636C-4FDE-A078-9058ACC96BE5}"/>
    <cellStyle name="Normal 9 2 8 3" xfId="6114" xr:uid="{00000000-0005-0000-0000-0000A31F0000}"/>
    <cellStyle name="Normal 9 2 8 3 2" xfId="15440" xr:uid="{321856E3-3BD0-49C8-9542-4F276198B81B}"/>
    <cellStyle name="Normal 9 2 8 3 3" xfId="23887" xr:uid="{9E95DC6E-89F1-4226-9F28-AE28EE771EDE}"/>
    <cellStyle name="Normal 9 2 8 3 4" xfId="32334" xr:uid="{5867593F-765F-4352-AF60-9E99626C5167}"/>
    <cellStyle name="Normal 9 2 8 4" xfId="11223" xr:uid="{F44EF0FF-249A-42A1-B15E-C433FCF13B31}"/>
    <cellStyle name="Normal 9 2 8 5" xfId="19670" xr:uid="{7986C548-87A8-4590-8F07-E8F9ED54B347}"/>
    <cellStyle name="Normal 9 2 8 6" xfId="28117" xr:uid="{7B121F64-24C1-43C8-8825-9943B12B0CE8}"/>
    <cellStyle name="Normal 9 2 9" xfId="2221" xr:uid="{00000000-0005-0000-0000-0000A41F0000}"/>
    <cellStyle name="Normal 9 2 9 2" xfId="4450" xr:uid="{00000000-0005-0000-0000-0000A51F0000}"/>
    <cellStyle name="Normal 9 2 9 2 2" xfId="8672" xr:uid="{00000000-0005-0000-0000-0000A61F0000}"/>
    <cellStyle name="Normal 9 2 9 2 2 2" xfId="17998" xr:uid="{24F9ABB8-337B-4454-9EBF-A26FB549F09B}"/>
    <cellStyle name="Normal 9 2 9 2 2 3" xfId="26445" xr:uid="{C5F3B97C-5FF2-493D-99FF-F297E7CD0B6A}"/>
    <cellStyle name="Normal 9 2 9 2 2 4" xfId="34892" xr:uid="{97CE3A79-C82D-4CE0-8E59-B36E9AF552FB}"/>
    <cellStyle name="Normal 9 2 9 2 3" xfId="13781" xr:uid="{92F1DE96-CBA0-4003-95FD-701B133F7574}"/>
    <cellStyle name="Normal 9 2 9 2 4" xfId="22228" xr:uid="{8E645F56-B94E-41FB-8844-28BC4A4D78E2}"/>
    <cellStyle name="Normal 9 2 9 2 5" xfId="30675" xr:uid="{B8971E2D-580C-468F-A112-70E997F9147B}"/>
    <cellStyle name="Normal 9 2 9 3" xfId="6527" xr:uid="{00000000-0005-0000-0000-0000A71F0000}"/>
    <cellStyle name="Normal 9 2 9 3 2" xfId="15853" xr:uid="{783CEF77-6CB4-4D65-BFA2-CCCCF3BF10A5}"/>
    <cellStyle name="Normal 9 2 9 3 3" xfId="24300" xr:uid="{D1F4A528-F532-47CA-8BD7-AE0EEF6CB4FD}"/>
    <cellStyle name="Normal 9 2 9 3 4" xfId="32747" xr:uid="{24B38AB9-E244-4AEA-9DB1-CC62E9948727}"/>
    <cellStyle name="Normal 9 2 9 4" xfId="11636" xr:uid="{CFC4561A-E9B2-470A-A91E-E8F03BE18099}"/>
    <cellStyle name="Normal 9 2 9 5" xfId="20083" xr:uid="{6FC71982-626E-437D-9A7D-1D087C64E60D}"/>
    <cellStyle name="Normal 9 2 9 6" xfId="28530" xr:uid="{39D55E0B-D46B-41AE-AF69-2F2887619B70}"/>
    <cellStyle name="Normal 9 3" xfId="527" xr:uid="{00000000-0005-0000-0000-0000A81F0000}"/>
    <cellStyle name="Normal 9 3 10" xfId="4891" xr:uid="{00000000-0005-0000-0000-0000A91F0000}"/>
    <cellStyle name="Normal 9 3 10 2" xfId="14217" xr:uid="{82365331-FD05-4160-99DC-D700394250AB}"/>
    <cellStyle name="Normal 9 3 10 3" xfId="22664" xr:uid="{2F9AD5E9-D0C7-4DD2-A897-51938D99D334}"/>
    <cellStyle name="Normal 9 3 10 4" xfId="31111" xr:uid="{CEE209CC-3EA5-4223-BA05-0F5F7F5B669D}"/>
    <cellStyle name="Normal 9 3 11" xfId="8777" xr:uid="{1F3D7E21-FC22-4F0C-9371-3D8250746BB7}"/>
    <cellStyle name="Normal 9 3 12" xfId="10000" xr:uid="{04918DF6-DA36-4F0A-A80B-F7D8843F473F}"/>
    <cellStyle name="Normal 9 3 13" xfId="18447" xr:uid="{3DC769D2-14CC-41BA-9B38-8401CF3FFFB9}"/>
    <cellStyle name="Normal 9 3 14" xfId="26894" xr:uid="{6E43E876-640D-43D4-9B1A-E3C19F9D9B08}"/>
    <cellStyle name="Normal 9 3 2" xfId="528" xr:uid="{00000000-0005-0000-0000-0000AA1F0000}"/>
    <cellStyle name="Normal 9 3 2 10" xfId="8840" xr:uid="{94797BE2-1721-4871-A768-79D4D45F48BB}"/>
    <cellStyle name="Normal 9 3 2 11" xfId="10001" xr:uid="{40BBC73D-02BB-414F-B7E0-7591CABBCACC}"/>
    <cellStyle name="Normal 9 3 2 12" xfId="18448" xr:uid="{06054F74-376B-4242-803A-4B3427180799}"/>
    <cellStyle name="Normal 9 3 2 13" xfId="26895" xr:uid="{8507C5DF-4E40-4E89-80F5-C14F4FF587D7}"/>
    <cellStyle name="Normal 9 3 2 2" xfId="529" xr:uid="{00000000-0005-0000-0000-0000AB1F0000}"/>
    <cellStyle name="Normal 9 3 2 2 10" xfId="10002" xr:uid="{44893771-B1F1-4564-85D0-85DA5A23EF8E}"/>
    <cellStyle name="Normal 9 3 2 2 11" xfId="18449" xr:uid="{F10D3376-8015-4210-89C8-9A81165B02CC}"/>
    <cellStyle name="Normal 9 3 2 2 12" xfId="26896" xr:uid="{072BACF0-1884-4BF8-9A69-6CD9D35A7BCA}"/>
    <cellStyle name="Normal 9 3 2 2 2" xfId="530" xr:uid="{00000000-0005-0000-0000-0000AC1F0000}"/>
    <cellStyle name="Normal 9 3 2 2 2 10" xfId="18450" xr:uid="{60DF72C1-B668-457C-B059-0C5AF91C9339}"/>
    <cellStyle name="Normal 9 3 2 2 2 11" xfId="26897" xr:uid="{F895C992-B106-4EF5-BD5E-D607B0FBD284}"/>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16778" xr:uid="{32BDE2BD-995F-480F-AAD3-9F872B758D0A}"/>
    <cellStyle name="Normal 9 3 2 2 2 2 2 2 3" xfId="25225" xr:uid="{3C1F38DF-1A6D-4BC9-8285-9EAF952826AF}"/>
    <cellStyle name="Normal 9 3 2 2 2 2 2 2 4" xfId="33672" xr:uid="{6C986208-500F-4595-99BB-7B8D8FDD5D52}"/>
    <cellStyle name="Normal 9 3 2 2 2 2 2 3" xfId="12561" xr:uid="{25B55857-5171-4EB7-A821-FDA67E4F51B2}"/>
    <cellStyle name="Normal 9 3 2 2 2 2 2 4" xfId="21008" xr:uid="{34E48A7E-1CF3-4A87-B2F3-A1EC3F8732F3}"/>
    <cellStyle name="Normal 9 3 2 2 2 2 2 5" xfId="29455" xr:uid="{39422E1C-FBAB-4806-B48E-7AFD3E441237}"/>
    <cellStyle name="Normal 9 3 2 2 2 2 3" xfId="5307" xr:uid="{00000000-0005-0000-0000-0000B01F0000}"/>
    <cellStyle name="Normal 9 3 2 2 2 2 3 2" xfId="14633" xr:uid="{A946B0CE-C94C-4F80-AA3C-11456601F6EF}"/>
    <cellStyle name="Normal 9 3 2 2 2 2 3 3" xfId="23080" xr:uid="{EC236637-59E2-4561-8775-93CB8F6B9D1E}"/>
    <cellStyle name="Normal 9 3 2 2 2 2 3 4" xfId="31527" xr:uid="{E10C948C-A300-4832-932F-60D2CE771F4E}"/>
    <cellStyle name="Normal 9 3 2 2 2 2 4" xfId="9575" xr:uid="{DA05DE06-1987-4B8E-8439-C692853FF296}"/>
    <cellStyle name="Normal 9 3 2 2 2 2 5" xfId="10416" xr:uid="{1BA02192-617E-4AAC-9338-372166375BC4}"/>
    <cellStyle name="Normal 9 3 2 2 2 2 6" xfId="18863" xr:uid="{9D6B5AFC-E6FF-4189-B137-ED6CA3E328C2}"/>
    <cellStyle name="Normal 9 3 2 2 2 2 7" xfId="27310" xr:uid="{7839A7AF-B565-4E9C-BC7B-E51EEAE8BD48}"/>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17191" xr:uid="{6462102A-F7B1-440D-A727-90C577085E6D}"/>
    <cellStyle name="Normal 9 3 2 2 2 3 2 2 3" xfId="25638" xr:uid="{85287BBB-27B4-4DED-BBAC-E58E507004FD}"/>
    <cellStyle name="Normal 9 3 2 2 2 3 2 2 4" xfId="34085" xr:uid="{8DA24D3C-98CF-4B83-88A2-542B65AEF63A}"/>
    <cellStyle name="Normal 9 3 2 2 2 3 2 3" xfId="12974" xr:uid="{E5E14FEF-50E1-4564-9F26-718F0FBF4CEE}"/>
    <cellStyle name="Normal 9 3 2 2 2 3 2 4" xfId="21421" xr:uid="{2CCFC603-075B-463C-BF88-600DB3745899}"/>
    <cellStyle name="Normal 9 3 2 2 2 3 2 5" xfId="29868" xr:uid="{B5CF3E79-6348-455B-823E-59596377DC5D}"/>
    <cellStyle name="Normal 9 3 2 2 2 3 3" xfId="5720" xr:uid="{00000000-0005-0000-0000-0000B41F0000}"/>
    <cellStyle name="Normal 9 3 2 2 2 3 3 2" xfId="15046" xr:uid="{90D37136-55A3-4D3F-ACE6-5D43CF077226}"/>
    <cellStyle name="Normal 9 3 2 2 2 3 3 3" xfId="23493" xr:uid="{896FFDE0-1D08-4E93-92FA-02D789F093A0}"/>
    <cellStyle name="Normal 9 3 2 2 2 3 3 4" xfId="31940" xr:uid="{F1595085-E0AF-42E7-B348-314205741630}"/>
    <cellStyle name="Normal 9 3 2 2 2 3 4" xfId="10829" xr:uid="{2EF32456-AC68-459F-A46C-AC35DE9918DA}"/>
    <cellStyle name="Normal 9 3 2 2 2 3 5" xfId="19276" xr:uid="{56C8A2AF-E37B-4D42-A95A-CAF02369186A}"/>
    <cellStyle name="Normal 9 3 2 2 2 3 6" xfId="27723" xr:uid="{DE4DB144-E3AA-47C9-9658-F575FFB3A2C4}"/>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17604" xr:uid="{DE0E0C14-274C-4F99-9026-CCDEB355872B}"/>
    <cellStyle name="Normal 9 3 2 2 2 4 2 2 3" xfId="26051" xr:uid="{08475514-1263-4A8F-91AC-7397944F69F5}"/>
    <cellStyle name="Normal 9 3 2 2 2 4 2 2 4" xfId="34498" xr:uid="{D1B22726-1E3C-4DE3-A249-0F9DC1B678BD}"/>
    <cellStyle name="Normal 9 3 2 2 2 4 2 3" xfId="13387" xr:uid="{8F14A877-0E61-44D1-9847-C39AB44A72C7}"/>
    <cellStyle name="Normal 9 3 2 2 2 4 2 4" xfId="21834" xr:uid="{35892165-59AB-40BA-951D-506F24EC0018}"/>
    <cellStyle name="Normal 9 3 2 2 2 4 2 5" xfId="30281" xr:uid="{01FF0866-B600-467B-9791-3C3E1A8A6122}"/>
    <cellStyle name="Normal 9 3 2 2 2 4 3" xfId="6133" xr:uid="{00000000-0005-0000-0000-0000B81F0000}"/>
    <cellStyle name="Normal 9 3 2 2 2 4 3 2" xfId="15459" xr:uid="{5C308616-25C2-4620-AA65-468E8FD24AC2}"/>
    <cellStyle name="Normal 9 3 2 2 2 4 3 3" xfId="23906" xr:uid="{DCE2B800-A81E-4DFA-9B86-771F4FFA4E89}"/>
    <cellStyle name="Normal 9 3 2 2 2 4 3 4" xfId="32353" xr:uid="{F795DD93-16C8-4C89-932C-C36836B0F4DE}"/>
    <cellStyle name="Normal 9 3 2 2 2 4 4" xfId="11242" xr:uid="{4017607B-75FF-483F-969F-0A7E7F87994C}"/>
    <cellStyle name="Normal 9 3 2 2 2 4 5" xfId="19689" xr:uid="{6303030A-A72A-40EE-8948-707029A02D7A}"/>
    <cellStyle name="Normal 9 3 2 2 2 4 6" xfId="28136" xr:uid="{4AEC545F-2028-436E-88A8-157AEEF34C16}"/>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18017" xr:uid="{0B229DBA-4A5C-4B07-A794-9410D842BD18}"/>
    <cellStyle name="Normal 9 3 2 2 2 5 2 2 3" xfId="26464" xr:uid="{CBB5973E-119A-45E9-BA73-6AAD867568FD}"/>
    <cellStyle name="Normal 9 3 2 2 2 5 2 2 4" xfId="34911" xr:uid="{A8F0A2BD-71B6-4036-9488-0442982A4FA4}"/>
    <cellStyle name="Normal 9 3 2 2 2 5 2 3" xfId="13800" xr:uid="{818CF597-BB5C-4071-95A5-9F0BE6EC0101}"/>
    <cellStyle name="Normal 9 3 2 2 2 5 2 4" xfId="22247" xr:uid="{107DA23E-AEB8-410A-869B-1B4FE1337402}"/>
    <cellStyle name="Normal 9 3 2 2 2 5 2 5" xfId="30694" xr:uid="{EA358856-2A8D-4296-920A-77A6101BC63A}"/>
    <cellStyle name="Normal 9 3 2 2 2 5 3" xfId="6546" xr:uid="{00000000-0005-0000-0000-0000BC1F0000}"/>
    <cellStyle name="Normal 9 3 2 2 2 5 3 2" xfId="15872" xr:uid="{FEEEDD74-22CC-4A64-8B28-3B88BE4BFC47}"/>
    <cellStyle name="Normal 9 3 2 2 2 5 3 3" xfId="24319" xr:uid="{4BAAF24E-826C-4A4F-8866-2FE7992D2341}"/>
    <cellStyle name="Normal 9 3 2 2 2 5 3 4" xfId="32766" xr:uid="{12E16EB6-A7CD-4CF9-9D0B-7B445AA08517}"/>
    <cellStyle name="Normal 9 3 2 2 2 5 4" xfId="11655" xr:uid="{B16DF292-8627-4561-8DBC-19A0361C0687}"/>
    <cellStyle name="Normal 9 3 2 2 2 5 5" xfId="20102" xr:uid="{E2C545A1-507B-45D8-BC2B-E3BA2F22EB83}"/>
    <cellStyle name="Normal 9 3 2 2 2 5 6" xfId="28549" xr:uid="{4FB28A20-071F-4D7B-949F-3612226B5569}"/>
    <cellStyle name="Normal 9 3 2 2 2 6" xfId="2676" xr:uid="{00000000-0005-0000-0000-0000BD1F0000}"/>
    <cellStyle name="Normal 9 3 2 2 2 6 2" xfId="6959" xr:uid="{00000000-0005-0000-0000-0000BE1F0000}"/>
    <cellStyle name="Normal 9 3 2 2 2 6 2 2" xfId="16285" xr:uid="{CBE8F3DF-B6B4-41EF-9331-F93E12360E05}"/>
    <cellStyle name="Normal 9 3 2 2 2 6 2 3" xfId="24732" xr:uid="{F820CDFC-7170-4A49-87A4-0BFFF73B0088}"/>
    <cellStyle name="Normal 9 3 2 2 2 6 2 4" xfId="33179" xr:uid="{1125CC5C-3403-403B-A594-18E3512E5D58}"/>
    <cellStyle name="Normal 9 3 2 2 2 6 3" xfId="12068" xr:uid="{341ED0AB-8CC4-4CDF-B6E6-6A0D4B44DD31}"/>
    <cellStyle name="Normal 9 3 2 2 2 6 4" xfId="20515" xr:uid="{1584994D-3DFB-4E09-BEB7-A74E3C1F2FFE}"/>
    <cellStyle name="Normal 9 3 2 2 2 6 5" xfId="28962" xr:uid="{7DB0A04F-B0AC-4910-9B6B-BEE0AA864FAF}"/>
    <cellStyle name="Normal 9 3 2 2 2 7" xfId="4894" xr:uid="{00000000-0005-0000-0000-0000BF1F0000}"/>
    <cellStyle name="Normal 9 3 2 2 2 7 2" xfId="14220" xr:uid="{EB5F3DEB-5705-4BCC-8428-75677CC7554F}"/>
    <cellStyle name="Normal 9 3 2 2 2 7 3" xfId="22667" xr:uid="{EB829C0C-637C-4ED1-9365-F17260A513CD}"/>
    <cellStyle name="Normal 9 3 2 2 2 7 4" xfId="31114" xr:uid="{64EEF747-4265-42A9-B81A-F2020B446E5F}"/>
    <cellStyle name="Normal 9 3 2 2 2 8" xfId="9150" xr:uid="{F54F74BE-A583-4C94-A198-8E0D27AD7F4F}"/>
    <cellStyle name="Normal 9 3 2 2 2 9" xfId="10003" xr:uid="{13D6EF7A-B0F4-46CF-90F9-A1A796FA6DE9}"/>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16777" xr:uid="{8064AE29-7EDE-46AB-B348-B8BAD4317D58}"/>
    <cellStyle name="Normal 9 3 2 2 3 2 2 3" xfId="25224" xr:uid="{F064B94A-93F9-48A9-9F6D-F545AB6F68DF}"/>
    <cellStyle name="Normal 9 3 2 2 3 2 2 4" xfId="33671" xr:uid="{C6A1A6D1-5EC5-4C1E-B179-B9D004FA0AA8}"/>
    <cellStyle name="Normal 9 3 2 2 3 2 3" xfId="12560" xr:uid="{A24C2232-C496-4595-9765-9D98F310B803}"/>
    <cellStyle name="Normal 9 3 2 2 3 2 4" xfId="21007" xr:uid="{87BACD1A-2104-416C-92D8-CB2EE0FAB5B0}"/>
    <cellStyle name="Normal 9 3 2 2 3 2 5" xfId="29454" xr:uid="{C5452BFB-F024-42DD-8DE6-DD59933ACCA9}"/>
    <cellStyle name="Normal 9 3 2 2 3 3" xfId="5306" xr:uid="{00000000-0005-0000-0000-0000C31F0000}"/>
    <cellStyle name="Normal 9 3 2 2 3 3 2" xfId="14632" xr:uid="{EABF3666-4E7E-4CAF-B269-F54005544E2D}"/>
    <cellStyle name="Normal 9 3 2 2 3 3 3" xfId="23079" xr:uid="{C460E588-2271-4442-A546-BE15C9EB2755}"/>
    <cellStyle name="Normal 9 3 2 2 3 3 4" xfId="31526" xr:uid="{545E21E1-A218-4097-BF77-74211A360BBF}"/>
    <cellStyle name="Normal 9 3 2 2 3 4" xfId="9368" xr:uid="{B3189122-1774-442D-BD5B-8DA329618536}"/>
    <cellStyle name="Normal 9 3 2 2 3 5" xfId="10415" xr:uid="{5AD6C878-9189-42DC-A262-F1473908FEFE}"/>
    <cellStyle name="Normal 9 3 2 2 3 6" xfId="18862" xr:uid="{62A60E7C-A0A0-482D-99A7-72F06D68D292}"/>
    <cellStyle name="Normal 9 3 2 2 3 7" xfId="27309" xr:uid="{93585497-6742-43A7-93FE-4568A61F6273}"/>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17190" xr:uid="{934FE966-7590-4E52-8CD9-5B58D103609F}"/>
    <cellStyle name="Normal 9 3 2 2 4 2 2 3" xfId="25637" xr:uid="{6C223792-2BB5-44BF-AC23-86FBBB464322}"/>
    <cellStyle name="Normal 9 3 2 2 4 2 2 4" xfId="34084" xr:uid="{44FA0B8E-0900-4C33-B830-0FE3374BF272}"/>
    <cellStyle name="Normal 9 3 2 2 4 2 3" xfId="12973" xr:uid="{7E8FD8A3-94EF-4C35-B814-83405D5FA434}"/>
    <cellStyle name="Normal 9 3 2 2 4 2 4" xfId="21420" xr:uid="{FB3ADC8A-E8A3-4FFA-BD45-B8AF0211EF5C}"/>
    <cellStyle name="Normal 9 3 2 2 4 2 5" xfId="29867" xr:uid="{1379D924-0276-42A3-B5D1-B07BAAD9AAB6}"/>
    <cellStyle name="Normal 9 3 2 2 4 3" xfId="5719" xr:uid="{00000000-0005-0000-0000-0000C71F0000}"/>
    <cellStyle name="Normal 9 3 2 2 4 3 2" xfId="15045" xr:uid="{DB05707E-3E1D-4CD9-9C4E-E07C56627009}"/>
    <cellStyle name="Normal 9 3 2 2 4 3 3" xfId="23492" xr:uid="{B4B7CE98-E2C2-4CE9-BBEE-4B9D52FC1251}"/>
    <cellStyle name="Normal 9 3 2 2 4 3 4" xfId="31939" xr:uid="{4C47F219-1F11-4874-B1CA-8AA3C086AF9C}"/>
    <cellStyle name="Normal 9 3 2 2 4 4" xfId="10828" xr:uid="{94E5E875-47F4-4E91-98C3-FDB9DDA6CD07}"/>
    <cellStyle name="Normal 9 3 2 2 4 5" xfId="19275" xr:uid="{869D79F3-13D0-4371-B2B0-D315D500813D}"/>
    <cellStyle name="Normal 9 3 2 2 4 6" xfId="27722" xr:uid="{1622A665-F3A5-482C-A8D7-AA1717ED0970}"/>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17603" xr:uid="{3CF0BDE9-08FA-46BC-9642-A20DF668007E}"/>
    <cellStyle name="Normal 9 3 2 2 5 2 2 3" xfId="26050" xr:uid="{EB0DF5A3-753B-4980-AC60-C55FB1D7B75F}"/>
    <cellStyle name="Normal 9 3 2 2 5 2 2 4" xfId="34497" xr:uid="{DC628DE5-318B-4B76-A160-5EF8D929B8F3}"/>
    <cellStyle name="Normal 9 3 2 2 5 2 3" xfId="13386" xr:uid="{C6D67463-7F8F-4BF5-8165-950020E160BA}"/>
    <cellStyle name="Normal 9 3 2 2 5 2 4" xfId="21833" xr:uid="{64F7A9B5-A550-4A54-84B8-B9D71D11440A}"/>
    <cellStyle name="Normal 9 3 2 2 5 2 5" xfId="30280" xr:uid="{279BA67F-3480-430B-8391-D9ECEBB864CF}"/>
    <cellStyle name="Normal 9 3 2 2 5 3" xfId="6132" xr:uid="{00000000-0005-0000-0000-0000CB1F0000}"/>
    <cellStyle name="Normal 9 3 2 2 5 3 2" xfId="15458" xr:uid="{77A1A840-81C4-414D-9524-D5EAE2BC8D2C}"/>
    <cellStyle name="Normal 9 3 2 2 5 3 3" xfId="23905" xr:uid="{EFC4355D-E929-457E-94FD-C31780B7F4A9}"/>
    <cellStyle name="Normal 9 3 2 2 5 3 4" xfId="32352" xr:uid="{85F01F88-A30B-47A7-BFB0-EBC2DFD55DE1}"/>
    <cellStyle name="Normal 9 3 2 2 5 4" xfId="11241" xr:uid="{FF79A744-76AB-4EFA-86C1-48DA9257E7A2}"/>
    <cellStyle name="Normal 9 3 2 2 5 5" xfId="19688" xr:uid="{493AA007-3D0E-478D-B322-4CD96CABCB1D}"/>
    <cellStyle name="Normal 9 3 2 2 5 6" xfId="28135" xr:uid="{009D8946-6674-4855-B4D7-4F7B793F49FE}"/>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18016" xr:uid="{CE46B850-DD57-4FC9-B873-4479A0009FEF}"/>
    <cellStyle name="Normal 9 3 2 2 6 2 2 3" xfId="26463" xr:uid="{D52C3205-64B8-4A70-8D49-9A68A8355BFE}"/>
    <cellStyle name="Normal 9 3 2 2 6 2 2 4" xfId="34910" xr:uid="{3160BDCF-D436-4E19-A5A0-B224D7736DA2}"/>
    <cellStyle name="Normal 9 3 2 2 6 2 3" xfId="13799" xr:uid="{61EE7F6A-8475-4400-8FE0-0A8A47E0E9EC}"/>
    <cellStyle name="Normal 9 3 2 2 6 2 4" xfId="22246" xr:uid="{72380380-7530-4250-997A-6128C27C58E9}"/>
    <cellStyle name="Normal 9 3 2 2 6 2 5" xfId="30693" xr:uid="{67387C70-2D70-4DFA-B49A-761E62D920BD}"/>
    <cellStyle name="Normal 9 3 2 2 6 3" xfId="6545" xr:uid="{00000000-0005-0000-0000-0000CF1F0000}"/>
    <cellStyle name="Normal 9 3 2 2 6 3 2" xfId="15871" xr:uid="{4368C619-F4C7-48E7-AA03-37B0081C5367}"/>
    <cellStyle name="Normal 9 3 2 2 6 3 3" xfId="24318" xr:uid="{871E66F0-7621-4A24-B488-B59E8074B57E}"/>
    <cellStyle name="Normal 9 3 2 2 6 3 4" xfId="32765" xr:uid="{98748DED-ED1D-40E8-B3BA-00138FE11355}"/>
    <cellStyle name="Normal 9 3 2 2 6 4" xfId="11654" xr:uid="{6ABF096A-6271-4F86-95C1-581516C82DF7}"/>
    <cellStyle name="Normal 9 3 2 2 6 5" xfId="20101" xr:uid="{5F064A4F-3A7F-436C-A262-0786A5122066}"/>
    <cellStyle name="Normal 9 3 2 2 6 6" xfId="28548" xr:uid="{38D8DDA0-E4A2-474A-87D2-103022F1CE69}"/>
    <cellStyle name="Normal 9 3 2 2 7" xfId="2675" xr:uid="{00000000-0005-0000-0000-0000D01F0000}"/>
    <cellStyle name="Normal 9 3 2 2 7 2" xfId="6958" xr:uid="{00000000-0005-0000-0000-0000D11F0000}"/>
    <cellStyle name="Normal 9 3 2 2 7 2 2" xfId="16284" xr:uid="{0B4F19D8-E43D-4F91-B363-1E9126F8BF8D}"/>
    <cellStyle name="Normal 9 3 2 2 7 2 3" xfId="24731" xr:uid="{2921D40A-3656-4F2E-A547-350DE6AE4457}"/>
    <cellStyle name="Normal 9 3 2 2 7 2 4" xfId="33178" xr:uid="{04351E1F-65A1-4947-B12E-62AFDA9DF1FE}"/>
    <cellStyle name="Normal 9 3 2 2 7 3" xfId="12067" xr:uid="{F77C12E7-7991-4B74-B13E-FE475D5F0046}"/>
    <cellStyle name="Normal 9 3 2 2 7 4" xfId="20514" xr:uid="{E76314F6-1DD3-4301-9FF5-4B78A1A1BA6D}"/>
    <cellStyle name="Normal 9 3 2 2 7 5" xfId="28961" xr:uid="{276ACD1E-DC89-4606-8AA9-30A9742DB24C}"/>
    <cellStyle name="Normal 9 3 2 2 8" xfId="4893" xr:uid="{00000000-0005-0000-0000-0000D21F0000}"/>
    <cellStyle name="Normal 9 3 2 2 8 2" xfId="14219" xr:uid="{3473445C-69CF-43A3-AA10-1C83EF072628}"/>
    <cellStyle name="Normal 9 3 2 2 8 3" xfId="22666" xr:uid="{D443D844-D768-4F48-8CEB-41C7D6704B2F}"/>
    <cellStyle name="Normal 9 3 2 2 8 4" xfId="31113" xr:uid="{FA1F9591-F0E8-4997-9109-F3EBD6205CF8}"/>
    <cellStyle name="Normal 9 3 2 2 9" xfId="8943" xr:uid="{1E59706A-169E-45B8-A6E4-1A0514B9DDBD}"/>
    <cellStyle name="Normal 9 3 2 3" xfId="531" xr:uid="{00000000-0005-0000-0000-0000D31F0000}"/>
    <cellStyle name="Normal 9 3 2 3 10" xfId="18451" xr:uid="{0D1490CF-2310-4B0A-89C5-8BE6D717E752}"/>
    <cellStyle name="Normal 9 3 2 3 11" xfId="26898" xr:uid="{017515A1-E41F-4BA6-ABF2-8B23C3CD5729}"/>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16779" xr:uid="{54875F85-4FA5-4B34-B515-D311990F2FEB}"/>
    <cellStyle name="Normal 9 3 2 3 2 2 2 3" xfId="25226" xr:uid="{6C943140-57F5-4919-B01D-0956EF0CE18D}"/>
    <cellStyle name="Normal 9 3 2 3 2 2 2 4" xfId="33673" xr:uid="{08F0D6E0-4CCC-4D65-A29F-AEAF3A2F6CED}"/>
    <cellStyle name="Normal 9 3 2 3 2 2 3" xfId="12562" xr:uid="{3292FD39-17D2-4E5F-ABA8-D58DC337DCCE}"/>
    <cellStyle name="Normal 9 3 2 3 2 2 4" xfId="21009" xr:uid="{DC19CEC1-73A0-4439-804A-939686946B5D}"/>
    <cellStyle name="Normal 9 3 2 3 2 2 5" xfId="29456" xr:uid="{918943E5-32E4-43DA-B6B2-E103A8FAA687}"/>
    <cellStyle name="Normal 9 3 2 3 2 3" xfId="5308" xr:uid="{00000000-0005-0000-0000-0000D71F0000}"/>
    <cellStyle name="Normal 9 3 2 3 2 3 2" xfId="14634" xr:uid="{09FB04DC-FAEF-4A6B-B798-DD6E03508F3F}"/>
    <cellStyle name="Normal 9 3 2 3 2 3 3" xfId="23081" xr:uid="{4DD4C41F-8452-452C-819B-37ED0AA1610C}"/>
    <cellStyle name="Normal 9 3 2 3 2 3 4" xfId="31528" xr:uid="{AF367516-C836-47BA-82A8-17523666D5D1}"/>
    <cellStyle name="Normal 9 3 2 3 2 4" xfId="9472" xr:uid="{427A8E71-9BC4-47C0-A855-6886AF96C97E}"/>
    <cellStyle name="Normal 9 3 2 3 2 5" xfId="10417" xr:uid="{B3C02F0F-90BA-44A1-AC73-4C2BA75455A5}"/>
    <cellStyle name="Normal 9 3 2 3 2 6" xfId="18864" xr:uid="{7DC980C2-B6A4-4D1D-A20A-7002DCD0BA39}"/>
    <cellStyle name="Normal 9 3 2 3 2 7" xfId="27311" xr:uid="{F5F080B4-5F88-45FE-8F1B-5D164FEC30F6}"/>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17192" xr:uid="{2E54D948-E787-4933-918D-7EBF7ADCCAA0}"/>
    <cellStyle name="Normal 9 3 2 3 3 2 2 3" xfId="25639" xr:uid="{448D15E9-6C4E-4936-A55D-6902AE3F79F7}"/>
    <cellStyle name="Normal 9 3 2 3 3 2 2 4" xfId="34086" xr:uid="{BDAF1DD4-EE1C-4CE3-937F-DB203CFC0B26}"/>
    <cellStyle name="Normal 9 3 2 3 3 2 3" xfId="12975" xr:uid="{35A79EE9-BBBF-4961-A7D4-22A6697CB80C}"/>
    <cellStyle name="Normal 9 3 2 3 3 2 4" xfId="21422" xr:uid="{11A8D4BD-77CA-4451-9253-B10BEB132BF7}"/>
    <cellStyle name="Normal 9 3 2 3 3 2 5" xfId="29869" xr:uid="{5D86663E-EFE1-4BA8-9D71-9CDB1F08E00B}"/>
    <cellStyle name="Normal 9 3 2 3 3 3" xfId="5721" xr:uid="{00000000-0005-0000-0000-0000DB1F0000}"/>
    <cellStyle name="Normal 9 3 2 3 3 3 2" xfId="15047" xr:uid="{FBB65A3C-912C-4619-882B-1DD4DD6DC0C4}"/>
    <cellStyle name="Normal 9 3 2 3 3 3 3" xfId="23494" xr:uid="{88276B8C-1D8D-4F0B-83A4-0E825212D5FB}"/>
    <cellStyle name="Normal 9 3 2 3 3 3 4" xfId="31941" xr:uid="{497D5E16-AF75-47E1-91F4-2E377115B203}"/>
    <cellStyle name="Normal 9 3 2 3 3 4" xfId="10830" xr:uid="{3816262F-E25E-45A1-801C-F82ACFA8D8CF}"/>
    <cellStyle name="Normal 9 3 2 3 3 5" xfId="19277" xr:uid="{424E5FB1-94B2-4A2B-9A3C-BC979A8A3857}"/>
    <cellStyle name="Normal 9 3 2 3 3 6" xfId="27724" xr:uid="{442A2613-6F0E-467F-8CF3-51D71CAEE66A}"/>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17605" xr:uid="{A0E47C91-1743-4DE3-BF4A-7EABBC115BE0}"/>
    <cellStyle name="Normal 9 3 2 3 4 2 2 3" xfId="26052" xr:uid="{206A1DED-998A-4F77-8C7F-8877799B9306}"/>
    <cellStyle name="Normal 9 3 2 3 4 2 2 4" xfId="34499" xr:uid="{23251F8E-9605-4B55-A52F-323321ADA0E9}"/>
    <cellStyle name="Normal 9 3 2 3 4 2 3" xfId="13388" xr:uid="{5BE63A4E-947C-4994-B3C9-6DB294F061E2}"/>
    <cellStyle name="Normal 9 3 2 3 4 2 4" xfId="21835" xr:uid="{6E4B878E-355A-4902-8A59-A5A46748F676}"/>
    <cellStyle name="Normal 9 3 2 3 4 2 5" xfId="30282" xr:uid="{18DBAB80-8CB9-4520-B840-759415C8926D}"/>
    <cellStyle name="Normal 9 3 2 3 4 3" xfId="6134" xr:uid="{00000000-0005-0000-0000-0000DF1F0000}"/>
    <cellStyle name="Normal 9 3 2 3 4 3 2" xfId="15460" xr:uid="{7D38CFE0-5900-4981-B720-8184DE34B7F0}"/>
    <cellStyle name="Normal 9 3 2 3 4 3 3" xfId="23907" xr:uid="{3CE1DEB3-1E05-48C3-AE32-A3CB49A004BB}"/>
    <cellStyle name="Normal 9 3 2 3 4 3 4" xfId="32354" xr:uid="{173EE3DD-40E8-4B2F-8F51-23F121F52F6D}"/>
    <cellStyle name="Normal 9 3 2 3 4 4" xfId="11243" xr:uid="{A590E451-DA3C-423B-AADF-92B27ED1E299}"/>
    <cellStyle name="Normal 9 3 2 3 4 5" xfId="19690" xr:uid="{A8A380E6-6620-45C5-ABCC-6ECE37006B3B}"/>
    <cellStyle name="Normal 9 3 2 3 4 6" xfId="28137" xr:uid="{82820A5B-795E-4274-B3DC-1F26D5D8F4F8}"/>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18018" xr:uid="{77831EB9-1C2F-4BB8-95A9-B33BD338CE2D}"/>
    <cellStyle name="Normal 9 3 2 3 5 2 2 3" xfId="26465" xr:uid="{B8A7ADED-CE17-4BF4-A608-01862CC597B3}"/>
    <cellStyle name="Normal 9 3 2 3 5 2 2 4" xfId="34912" xr:uid="{2BDB58E5-7D39-4985-84A3-492EA24D5365}"/>
    <cellStyle name="Normal 9 3 2 3 5 2 3" xfId="13801" xr:uid="{219C994C-AB0E-408D-B556-D5BE8099B27E}"/>
    <cellStyle name="Normal 9 3 2 3 5 2 4" xfId="22248" xr:uid="{FE613389-624E-4671-B3E5-4CEA160D51FF}"/>
    <cellStyle name="Normal 9 3 2 3 5 2 5" xfId="30695" xr:uid="{36D27E9B-D5C9-47A4-8222-A6D75CDBFB80}"/>
    <cellStyle name="Normal 9 3 2 3 5 3" xfId="6547" xr:uid="{00000000-0005-0000-0000-0000E31F0000}"/>
    <cellStyle name="Normal 9 3 2 3 5 3 2" xfId="15873" xr:uid="{FA71874D-83B6-4AA3-9CE0-534E50B7CF64}"/>
    <cellStyle name="Normal 9 3 2 3 5 3 3" xfId="24320" xr:uid="{1C10089D-7FDF-4EF7-89D1-E664F95F0B40}"/>
    <cellStyle name="Normal 9 3 2 3 5 3 4" xfId="32767" xr:uid="{AA05A597-D576-4B65-A263-D079BC483B32}"/>
    <cellStyle name="Normal 9 3 2 3 5 4" xfId="11656" xr:uid="{4363A6ED-6AC8-4C2D-A408-E40563CE006E}"/>
    <cellStyle name="Normal 9 3 2 3 5 5" xfId="20103" xr:uid="{D5C73B18-D09A-4AB3-8EC3-C159556099E1}"/>
    <cellStyle name="Normal 9 3 2 3 5 6" xfId="28550" xr:uid="{E55C19B0-9EDD-450A-8E91-BA911529E92E}"/>
    <cellStyle name="Normal 9 3 2 3 6" xfId="2677" xr:uid="{00000000-0005-0000-0000-0000E41F0000}"/>
    <cellStyle name="Normal 9 3 2 3 6 2" xfId="6960" xr:uid="{00000000-0005-0000-0000-0000E51F0000}"/>
    <cellStyle name="Normal 9 3 2 3 6 2 2" xfId="16286" xr:uid="{6C8BD485-80E7-4B88-8FA2-414C8E644C3F}"/>
    <cellStyle name="Normal 9 3 2 3 6 2 3" xfId="24733" xr:uid="{95255628-ACFE-4129-8EA8-8C7C888317C9}"/>
    <cellStyle name="Normal 9 3 2 3 6 2 4" xfId="33180" xr:uid="{134552E2-BD9F-45D6-A99A-FDCA8EE82258}"/>
    <cellStyle name="Normal 9 3 2 3 6 3" xfId="12069" xr:uid="{B32465AB-C9FC-46C1-899F-D98D73A29A12}"/>
    <cellStyle name="Normal 9 3 2 3 6 4" xfId="20516" xr:uid="{79B23D32-45B3-40B4-8465-8D23047C1BDB}"/>
    <cellStyle name="Normal 9 3 2 3 6 5" xfId="28963" xr:uid="{D401A4D7-BAAE-4820-BE1B-6A47AA7C2096}"/>
    <cellStyle name="Normal 9 3 2 3 7" xfId="4895" xr:uid="{00000000-0005-0000-0000-0000E61F0000}"/>
    <cellStyle name="Normal 9 3 2 3 7 2" xfId="14221" xr:uid="{9F56F980-2D77-4C71-9D93-C241DC38B312}"/>
    <cellStyle name="Normal 9 3 2 3 7 3" xfId="22668" xr:uid="{E62AE769-EA62-4A9C-AE3C-3238A41E89C9}"/>
    <cellStyle name="Normal 9 3 2 3 7 4" xfId="31115" xr:uid="{7E7919A0-7CD7-4E77-ACB9-B45D1E62521E}"/>
    <cellStyle name="Normal 9 3 2 3 8" xfId="9047" xr:uid="{4CBBBE80-D24B-484D-910E-0072EA0E95DD}"/>
    <cellStyle name="Normal 9 3 2 3 9" xfId="10004" xr:uid="{85BDD13D-8607-4B13-87C1-F85F8911B580}"/>
    <cellStyle name="Normal 9 3 2 4" xfId="995" xr:uid="{00000000-0005-0000-0000-0000E71F0000}"/>
    <cellStyle name="Normal 9 3 2 4 2" xfId="3228" xr:uid="{00000000-0005-0000-0000-0000E81F0000}"/>
    <cellStyle name="Normal 9 3 2 4 2 2" xfId="7450" xr:uid="{00000000-0005-0000-0000-0000E91F0000}"/>
    <cellStyle name="Normal 9 3 2 4 2 2 2" xfId="16776" xr:uid="{1B09DB0F-814C-45D6-BEC1-0D7797CEA601}"/>
    <cellStyle name="Normal 9 3 2 4 2 2 3" xfId="25223" xr:uid="{59B4D018-BCE8-432C-8B71-0CDD5FC96172}"/>
    <cellStyle name="Normal 9 3 2 4 2 2 4" xfId="33670" xr:uid="{53C8F6BF-FDE6-4305-84B2-937461E18F9B}"/>
    <cellStyle name="Normal 9 3 2 4 2 3" xfId="12559" xr:uid="{0E54DBF2-5085-4A67-89B3-818D2BB6B971}"/>
    <cellStyle name="Normal 9 3 2 4 2 4" xfId="21006" xr:uid="{B3908013-F938-4671-84D2-908071C38DB9}"/>
    <cellStyle name="Normal 9 3 2 4 2 5" xfId="29453" xr:uid="{0B870C05-153A-462E-A13F-5DC14B22C5BB}"/>
    <cellStyle name="Normal 9 3 2 4 3" xfId="5305" xr:uid="{00000000-0005-0000-0000-0000EA1F0000}"/>
    <cellStyle name="Normal 9 3 2 4 3 2" xfId="14631" xr:uid="{3E099458-FBE0-4E0C-BEDF-8E627273D216}"/>
    <cellStyle name="Normal 9 3 2 4 3 3" xfId="23078" xr:uid="{1E5EC988-E7D0-4BA0-8B8C-E57E43268D18}"/>
    <cellStyle name="Normal 9 3 2 4 3 4" xfId="31525" xr:uid="{57DF3743-B1B7-484F-A5B5-76234CAED8D7}"/>
    <cellStyle name="Normal 9 3 2 4 4" xfId="9265" xr:uid="{BF00A9B8-67BA-48F6-8D48-0E4380D60577}"/>
    <cellStyle name="Normal 9 3 2 4 5" xfId="10414" xr:uid="{58ECE785-DD29-49C2-8240-0729F41D6578}"/>
    <cellStyle name="Normal 9 3 2 4 6" xfId="18861" xr:uid="{80DF0090-CD6C-4E80-B9F4-B8BCC00CA831}"/>
    <cellStyle name="Normal 9 3 2 4 7" xfId="27308" xr:uid="{360C8262-7926-4A28-B170-430190DC5A5A}"/>
    <cellStyle name="Normal 9 3 2 5" xfId="1411" xr:uid="{00000000-0005-0000-0000-0000EB1F0000}"/>
    <cellStyle name="Normal 9 3 2 5 2" xfId="3641" xr:uid="{00000000-0005-0000-0000-0000EC1F0000}"/>
    <cellStyle name="Normal 9 3 2 5 2 2" xfId="7863" xr:uid="{00000000-0005-0000-0000-0000ED1F0000}"/>
    <cellStyle name="Normal 9 3 2 5 2 2 2" xfId="17189" xr:uid="{28102544-7E9D-4A1B-AD6D-631EAA93EC08}"/>
    <cellStyle name="Normal 9 3 2 5 2 2 3" xfId="25636" xr:uid="{4291AAF5-5A02-45D7-81A4-70A801CA6E11}"/>
    <cellStyle name="Normal 9 3 2 5 2 2 4" xfId="34083" xr:uid="{CF948EFA-CC04-4400-9FF5-5D3065D58375}"/>
    <cellStyle name="Normal 9 3 2 5 2 3" xfId="12972" xr:uid="{06E4BB93-CF06-4D60-B621-ECD7F10FAE61}"/>
    <cellStyle name="Normal 9 3 2 5 2 4" xfId="21419" xr:uid="{383FA4BA-C711-4A38-B498-791F01CAB0E7}"/>
    <cellStyle name="Normal 9 3 2 5 2 5" xfId="29866" xr:uid="{1A1AB451-5096-4816-BA50-621E37CF59E4}"/>
    <cellStyle name="Normal 9 3 2 5 3" xfId="5718" xr:uid="{00000000-0005-0000-0000-0000EE1F0000}"/>
    <cellStyle name="Normal 9 3 2 5 3 2" xfId="15044" xr:uid="{49B529DC-02EE-4082-9EF1-0D1A0422ED9C}"/>
    <cellStyle name="Normal 9 3 2 5 3 3" xfId="23491" xr:uid="{EA3C2E80-FA2D-4782-A549-44CF57846C26}"/>
    <cellStyle name="Normal 9 3 2 5 3 4" xfId="31938" xr:uid="{57550EC1-DFE2-451F-8B02-B267ED2D8A66}"/>
    <cellStyle name="Normal 9 3 2 5 4" xfId="10827" xr:uid="{A54C7F4B-B83E-4445-A1FD-BFBCC9D49F8A}"/>
    <cellStyle name="Normal 9 3 2 5 5" xfId="19274" xr:uid="{27DAE551-BAB5-40CD-9E1F-44EA3C126DBB}"/>
    <cellStyle name="Normal 9 3 2 5 6" xfId="27721" xr:uid="{1F4652D7-0AAE-4783-87DE-ED4A7596879F}"/>
    <cellStyle name="Normal 9 3 2 6" xfId="1824" xr:uid="{00000000-0005-0000-0000-0000EF1F0000}"/>
    <cellStyle name="Normal 9 3 2 6 2" xfId="4054" xr:uid="{00000000-0005-0000-0000-0000F01F0000}"/>
    <cellStyle name="Normal 9 3 2 6 2 2" xfId="8276" xr:uid="{00000000-0005-0000-0000-0000F11F0000}"/>
    <cellStyle name="Normal 9 3 2 6 2 2 2" xfId="17602" xr:uid="{10533905-ACB7-47F7-9C53-D1C187CDFADC}"/>
    <cellStyle name="Normal 9 3 2 6 2 2 3" xfId="26049" xr:uid="{CB692FF6-BA80-4709-8F3B-95E61C1B0307}"/>
    <cellStyle name="Normal 9 3 2 6 2 2 4" xfId="34496" xr:uid="{9EF02166-492A-47A9-BDCE-4310626212CC}"/>
    <cellStyle name="Normal 9 3 2 6 2 3" xfId="13385" xr:uid="{D18C356E-0DB5-43C2-AA42-72B6B54F92CA}"/>
    <cellStyle name="Normal 9 3 2 6 2 4" xfId="21832" xr:uid="{8D42B05E-5D6D-4A5A-BDF1-4FC2212EEDFD}"/>
    <cellStyle name="Normal 9 3 2 6 2 5" xfId="30279" xr:uid="{305E1F71-6B64-4393-A6EE-3293E505DD5B}"/>
    <cellStyle name="Normal 9 3 2 6 3" xfId="6131" xr:uid="{00000000-0005-0000-0000-0000F21F0000}"/>
    <cellStyle name="Normal 9 3 2 6 3 2" xfId="15457" xr:uid="{CC338892-1154-4CB4-9CD8-2F0E6288A6A0}"/>
    <cellStyle name="Normal 9 3 2 6 3 3" xfId="23904" xr:uid="{6668C73A-C0E6-436E-AAA8-C913ABA7CCB0}"/>
    <cellStyle name="Normal 9 3 2 6 3 4" xfId="32351" xr:uid="{B56018ED-91ED-4A7B-89F3-4F06BB2B59CA}"/>
    <cellStyle name="Normal 9 3 2 6 4" xfId="11240" xr:uid="{E3DE4BE0-6EC7-40A7-85C9-1B94EFA63266}"/>
    <cellStyle name="Normal 9 3 2 6 5" xfId="19687" xr:uid="{67911A42-6799-4422-A404-DD3FC61268AF}"/>
    <cellStyle name="Normal 9 3 2 6 6" xfId="28134" xr:uid="{A3AA0CFC-9A47-467F-AC86-2C9BAAF615D2}"/>
    <cellStyle name="Normal 9 3 2 7" xfId="2238" xr:uid="{00000000-0005-0000-0000-0000F31F0000}"/>
    <cellStyle name="Normal 9 3 2 7 2" xfId="4467" xr:uid="{00000000-0005-0000-0000-0000F41F0000}"/>
    <cellStyle name="Normal 9 3 2 7 2 2" xfId="8689" xr:uid="{00000000-0005-0000-0000-0000F51F0000}"/>
    <cellStyle name="Normal 9 3 2 7 2 2 2" xfId="18015" xr:uid="{1885018D-79C1-4714-905E-C8F6718F23E3}"/>
    <cellStyle name="Normal 9 3 2 7 2 2 3" xfId="26462" xr:uid="{5481BC50-C7C1-41DC-A199-AB72FFF958E5}"/>
    <cellStyle name="Normal 9 3 2 7 2 2 4" xfId="34909" xr:uid="{49EAB5BE-1A3F-402B-8DE5-92755FC704DD}"/>
    <cellStyle name="Normal 9 3 2 7 2 3" xfId="13798" xr:uid="{A8CB3717-7C1A-4FA6-899A-03AAB572D884}"/>
    <cellStyle name="Normal 9 3 2 7 2 4" xfId="22245" xr:uid="{7BF911F6-3C74-4460-B3DA-E8C6AE35980B}"/>
    <cellStyle name="Normal 9 3 2 7 2 5" xfId="30692" xr:uid="{EE83C5E3-4F97-4D3C-8CE2-82A66A44B577}"/>
    <cellStyle name="Normal 9 3 2 7 3" xfId="6544" xr:uid="{00000000-0005-0000-0000-0000F61F0000}"/>
    <cellStyle name="Normal 9 3 2 7 3 2" xfId="15870" xr:uid="{A2DE0CB7-62E5-4984-9B90-ACB726813CD3}"/>
    <cellStyle name="Normal 9 3 2 7 3 3" xfId="24317" xr:uid="{B1FBA28D-E7EB-406E-AB1D-4C8A7E5EE535}"/>
    <cellStyle name="Normal 9 3 2 7 3 4" xfId="32764" xr:uid="{92B6A024-F2A0-4CE2-8A11-F71AB81245A9}"/>
    <cellStyle name="Normal 9 3 2 7 4" xfId="11653" xr:uid="{E960E791-8BC3-481B-9F63-71EE3DA83B9A}"/>
    <cellStyle name="Normal 9 3 2 7 5" xfId="20100" xr:uid="{E8AB2C1E-70FD-4497-937B-7E308E7E31DD}"/>
    <cellStyle name="Normal 9 3 2 7 6" xfId="28547" xr:uid="{E5661541-8970-4909-988F-D04502A387C5}"/>
    <cellStyle name="Normal 9 3 2 8" xfId="2674" xr:uid="{00000000-0005-0000-0000-0000F71F0000}"/>
    <cellStyle name="Normal 9 3 2 8 2" xfId="6957" xr:uid="{00000000-0005-0000-0000-0000F81F0000}"/>
    <cellStyle name="Normal 9 3 2 8 2 2" xfId="16283" xr:uid="{82C3B82B-8D93-4E95-865F-FE3119A699B3}"/>
    <cellStyle name="Normal 9 3 2 8 2 3" xfId="24730" xr:uid="{52A2C977-3048-46CB-A42A-C9601E2F98EF}"/>
    <cellStyle name="Normal 9 3 2 8 2 4" xfId="33177" xr:uid="{774B9E93-3D92-4A80-8340-538497AC89B7}"/>
    <cellStyle name="Normal 9 3 2 8 3" xfId="12066" xr:uid="{C109EA3F-1A90-4B09-AD50-0D6F1E677EC3}"/>
    <cellStyle name="Normal 9 3 2 8 4" xfId="20513" xr:uid="{B961ED97-6340-4A2A-B94F-0F26F47030D3}"/>
    <cellStyle name="Normal 9 3 2 8 5" xfId="28960" xr:uid="{87427C70-0EBA-41A3-A73F-21DFC4057305}"/>
    <cellStyle name="Normal 9 3 2 9" xfId="4892" xr:uid="{00000000-0005-0000-0000-0000F91F0000}"/>
    <cellStyle name="Normal 9 3 2 9 2" xfId="14218" xr:uid="{FCD3ADCA-32A8-46D9-944E-6900528D3327}"/>
    <cellStyle name="Normal 9 3 2 9 3" xfId="22665" xr:uid="{003956AA-28B7-4C7E-B4E3-3B688C51BD43}"/>
    <cellStyle name="Normal 9 3 2 9 4" xfId="31112" xr:uid="{32467872-D3FE-4983-936B-CAFE6D99AA65}"/>
    <cellStyle name="Normal 9 3 3" xfId="532" xr:uid="{00000000-0005-0000-0000-0000FA1F0000}"/>
    <cellStyle name="Normal 9 3 3 10" xfId="10005" xr:uid="{E7DED247-85CB-4A10-B0EB-637D87B764F9}"/>
    <cellStyle name="Normal 9 3 3 11" xfId="18452" xr:uid="{F4AFAAAD-AB8C-4F4F-BE31-9D47D9C11634}"/>
    <cellStyle name="Normal 9 3 3 12" xfId="26899" xr:uid="{AD01D005-D2EF-4109-935A-78088E600E64}"/>
    <cellStyle name="Normal 9 3 3 2" xfId="533" xr:uid="{00000000-0005-0000-0000-0000FB1F0000}"/>
    <cellStyle name="Normal 9 3 3 2 10" xfId="18453" xr:uid="{18886330-7776-4DFF-B6D7-C4214FBF3127}"/>
    <cellStyle name="Normal 9 3 3 2 11" xfId="26900" xr:uid="{AA196DFA-2C01-4627-9A80-6913AA05CE96}"/>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16781" xr:uid="{8CA96DB7-F31C-4CCD-8281-8F64DA964946}"/>
    <cellStyle name="Normal 9 3 3 2 2 2 2 3" xfId="25228" xr:uid="{0457647F-9237-48B0-A7E1-912348EDD89A}"/>
    <cellStyle name="Normal 9 3 3 2 2 2 2 4" xfId="33675" xr:uid="{C68591F9-E341-4F90-8931-9C1E49246F98}"/>
    <cellStyle name="Normal 9 3 3 2 2 2 3" xfId="12564" xr:uid="{272B61E5-7C72-48D4-80E6-1F103C5F2D84}"/>
    <cellStyle name="Normal 9 3 3 2 2 2 4" xfId="21011" xr:uid="{2ACA3FD6-1536-47B1-B627-5C312546BA5B}"/>
    <cellStyle name="Normal 9 3 3 2 2 2 5" xfId="29458" xr:uid="{005C039D-D68D-4C48-A862-D2CD5578B225}"/>
    <cellStyle name="Normal 9 3 3 2 2 3" xfId="5310" xr:uid="{00000000-0005-0000-0000-0000FF1F0000}"/>
    <cellStyle name="Normal 9 3 3 2 2 3 2" xfId="14636" xr:uid="{68819BFF-1165-4C34-9F15-FA505EC40937}"/>
    <cellStyle name="Normal 9 3 3 2 2 3 3" xfId="23083" xr:uid="{2C3C0628-F2DB-4C30-A30C-B9E0F5789B4E}"/>
    <cellStyle name="Normal 9 3 3 2 2 3 4" xfId="31530" xr:uid="{C25D233C-E06C-405F-B13C-E9C593F94B4D}"/>
    <cellStyle name="Normal 9 3 3 2 2 4" xfId="9512" xr:uid="{2D87B26D-94B2-43FF-B3AD-59DF0A117D21}"/>
    <cellStyle name="Normal 9 3 3 2 2 5" xfId="10419" xr:uid="{1A4A91A5-8FCF-4174-A29C-27DF8D404811}"/>
    <cellStyle name="Normal 9 3 3 2 2 6" xfId="18866" xr:uid="{828772E8-E1B2-4636-8FB7-D860F35BCB01}"/>
    <cellStyle name="Normal 9 3 3 2 2 7" xfId="27313" xr:uid="{81601AF8-CE3F-4C38-A773-C1EFEEC51257}"/>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17194" xr:uid="{183A5C17-70C9-4953-8EA4-02C4FDE837E4}"/>
    <cellStyle name="Normal 9 3 3 2 3 2 2 3" xfId="25641" xr:uid="{DAD6FB38-77E0-4B29-86EC-05F577F040BF}"/>
    <cellStyle name="Normal 9 3 3 2 3 2 2 4" xfId="34088" xr:uid="{A2C082AF-9FA0-4010-8BB1-43608C83B3F3}"/>
    <cellStyle name="Normal 9 3 3 2 3 2 3" xfId="12977" xr:uid="{94771247-9F2F-49C9-B379-A32018A0531E}"/>
    <cellStyle name="Normal 9 3 3 2 3 2 4" xfId="21424" xr:uid="{F2FDDDB9-64A2-4B6F-B6B5-C88507F0EC8F}"/>
    <cellStyle name="Normal 9 3 3 2 3 2 5" xfId="29871" xr:uid="{D6C72E2D-2DF4-49A3-98E7-9DCC88F0D19C}"/>
    <cellStyle name="Normal 9 3 3 2 3 3" xfId="5723" xr:uid="{00000000-0005-0000-0000-000003200000}"/>
    <cellStyle name="Normal 9 3 3 2 3 3 2" xfId="15049" xr:uid="{7467384E-08ED-48CB-BA8D-71D0FEE66FB1}"/>
    <cellStyle name="Normal 9 3 3 2 3 3 3" xfId="23496" xr:uid="{1308054B-0B28-4A28-93A0-3FBDD8F3AE4D}"/>
    <cellStyle name="Normal 9 3 3 2 3 3 4" xfId="31943" xr:uid="{D4DB038E-3D44-43C2-A150-BE9FD2B1E9EA}"/>
    <cellStyle name="Normal 9 3 3 2 3 4" xfId="10832" xr:uid="{603B0173-5BE3-4154-8992-CFB172F8FD51}"/>
    <cellStyle name="Normal 9 3 3 2 3 5" xfId="19279" xr:uid="{BC0DD7EC-1158-4716-8237-BAAC1F8BCB3A}"/>
    <cellStyle name="Normal 9 3 3 2 3 6" xfId="27726" xr:uid="{09FAD7A9-C1F8-451D-8E9D-63CD0841F50A}"/>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17607" xr:uid="{16B29621-E811-4EF4-BAB7-38EFAD5A8B38}"/>
    <cellStyle name="Normal 9 3 3 2 4 2 2 3" xfId="26054" xr:uid="{8B07A2B1-2463-46C5-B65C-B2163E4C4EE9}"/>
    <cellStyle name="Normal 9 3 3 2 4 2 2 4" xfId="34501" xr:uid="{93304679-63B2-4C5A-8540-149A20F021BB}"/>
    <cellStyle name="Normal 9 3 3 2 4 2 3" xfId="13390" xr:uid="{6DD10EDD-352A-461D-8DC5-E65B67AAE9F5}"/>
    <cellStyle name="Normal 9 3 3 2 4 2 4" xfId="21837" xr:uid="{592CF568-F605-41D9-9242-08E405995370}"/>
    <cellStyle name="Normal 9 3 3 2 4 2 5" xfId="30284" xr:uid="{474DD482-C5EF-4826-8025-D5E6176D5A20}"/>
    <cellStyle name="Normal 9 3 3 2 4 3" xfId="6136" xr:uid="{00000000-0005-0000-0000-000007200000}"/>
    <cellStyle name="Normal 9 3 3 2 4 3 2" xfId="15462" xr:uid="{3B6E603C-530C-4185-AA24-80D7BE0AEE1F}"/>
    <cellStyle name="Normal 9 3 3 2 4 3 3" xfId="23909" xr:uid="{FCC3C268-086C-4FC9-8FF4-35AF1B8FD831}"/>
    <cellStyle name="Normal 9 3 3 2 4 3 4" xfId="32356" xr:uid="{AF7427AD-A4B2-4853-8C29-C7B283C9FC94}"/>
    <cellStyle name="Normal 9 3 3 2 4 4" xfId="11245" xr:uid="{34E87E0B-6490-4012-9756-11F1402C34C3}"/>
    <cellStyle name="Normal 9 3 3 2 4 5" xfId="19692" xr:uid="{DDCA2687-1D32-4D55-B0AA-46C4D0CAF65A}"/>
    <cellStyle name="Normal 9 3 3 2 4 6" xfId="28139" xr:uid="{D9FC90F8-0C74-4A36-BF39-3BCE43CF36C7}"/>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18020" xr:uid="{5911BA91-43C9-4CA2-83CD-E5F9A22378B9}"/>
    <cellStyle name="Normal 9 3 3 2 5 2 2 3" xfId="26467" xr:uid="{BED8D221-890D-4F99-BE6D-4CC486572BF5}"/>
    <cellStyle name="Normal 9 3 3 2 5 2 2 4" xfId="34914" xr:uid="{F7C22FEE-92D0-42EE-B11B-CF61275CF665}"/>
    <cellStyle name="Normal 9 3 3 2 5 2 3" xfId="13803" xr:uid="{8AE4A60C-F1FE-4F95-8A74-552676CAA42B}"/>
    <cellStyle name="Normal 9 3 3 2 5 2 4" xfId="22250" xr:uid="{7817BAAF-0069-45E8-A4A5-E3A7ADE28CD8}"/>
    <cellStyle name="Normal 9 3 3 2 5 2 5" xfId="30697" xr:uid="{DEF94E3C-E7E9-4278-8E9A-3D1B47980018}"/>
    <cellStyle name="Normal 9 3 3 2 5 3" xfId="6549" xr:uid="{00000000-0005-0000-0000-00000B200000}"/>
    <cellStyle name="Normal 9 3 3 2 5 3 2" xfId="15875" xr:uid="{1AC81055-406E-438F-8B85-6F1AEDA4C0F6}"/>
    <cellStyle name="Normal 9 3 3 2 5 3 3" xfId="24322" xr:uid="{CB1C928C-092C-402C-BB16-A4A28C3AC08D}"/>
    <cellStyle name="Normal 9 3 3 2 5 3 4" xfId="32769" xr:uid="{839E8AE7-5CBF-4C19-876D-56ACDBA45EE6}"/>
    <cellStyle name="Normal 9 3 3 2 5 4" xfId="11658" xr:uid="{38805E3F-F56E-445E-A3AE-D8947607EFC6}"/>
    <cellStyle name="Normal 9 3 3 2 5 5" xfId="20105" xr:uid="{CE977845-B2A2-4C92-A137-D267A2FF56DF}"/>
    <cellStyle name="Normal 9 3 3 2 5 6" xfId="28552" xr:uid="{006D7F08-89F0-47CF-BF48-F47272725B2B}"/>
    <cellStyle name="Normal 9 3 3 2 6" xfId="2679" xr:uid="{00000000-0005-0000-0000-00000C200000}"/>
    <cellStyle name="Normal 9 3 3 2 6 2" xfId="6962" xr:uid="{00000000-0005-0000-0000-00000D200000}"/>
    <cellStyle name="Normal 9 3 3 2 6 2 2" xfId="16288" xr:uid="{D412E3E2-2ADA-4165-BAAD-6AF1A0E9C203}"/>
    <cellStyle name="Normal 9 3 3 2 6 2 3" xfId="24735" xr:uid="{A13513BC-CFC5-4589-8956-BD0B3F33C0AE}"/>
    <cellStyle name="Normal 9 3 3 2 6 2 4" xfId="33182" xr:uid="{19BBAC0A-6BD3-4833-AFE5-7FBC216105A1}"/>
    <cellStyle name="Normal 9 3 3 2 6 3" xfId="12071" xr:uid="{4ADA8223-3A87-44C1-9D20-D20BE516E798}"/>
    <cellStyle name="Normal 9 3 3 2 6 4" xfId="20518" xr:uid="{0EAE537B-68C8-4E20-BCF9-49ED0ECF801B}"/>
    <cellStyle name="Normal 9 3 3 2 6 5" xfId="28965" xr:uid="{51383AA4-7E26-4DA6-A208-470823F61DB7}"/>
    <cellStyle name="Normal 9 3 3 2 7" xfId="4897" xr:uid="{00000000-0005-0000-0000-00000E200000}"/>
    <cellStyle name="Normal 9 3 3 2 7 2" xfId="14223" xr:uid="{156B92FF-48A8-4C8E-B612-9CDF2125B6BB}"/>
    <cellStyle name="Normal 9 3 3 2 7 3" xfId="22670" xr:uid="{6E45D2F9-6D1B-4577-BE56-99B52E34DBF8}"/>
    <cellStyle name="Normal 9 3 3 2 7 4" xfId="31117" xr:uid="{5C98BB28-D7A2-4637-99B5-AECAAFB5F0FD}"/>
    <cellStyle name="Normal 9 3 3 2 8" xfId="9087" xr:uid="{B1C8DB1F-59B6-4D6A-B3E7-0CFC4D29D9A9}"/>
    <cellStyle name="Normal 9 3 3 2 9" xfId="10006" xr:uid="{63D6D7B1-69CE-480F-86AF-59F16E5ECCAB}"/>
    <cellStyle name="Normal 9 3 3 3" xfId="999" xr:uid="{00000000-0005-0000-0000-00000F200000}"/>
    <cellStyle name="Normal 9 3 3 3 2" xfId="3232" xr:uid="{00000000-0005-0000-0000-000010200000}"/>
    <cellStyle name="Normal 9 3 3 3 2 2" xfId="7454" xr:uid="{00000000-0005-0000-0000-000011200000}"/>
    <cellStyle name="Normal 9 3 3 3 2 2 2" xfId="16780" xr:uid="{F0C33876-7343-45F8-A58F-F60BD0C8AE19}"/>
    <cellStyle name="Normal 9 3 3 3 2 2 3" xfId="25227" xr:uid="{6D40C68E-7C8F-4E8D-81CA-96FF329A03BF}"/>
    <cellStyle name="Normal 9 3 3 3 2 2 4" xfId="33674" xr:uid="{BA3D2168-5278-4C1A-9A44-CCF2931F8973}"/>
    <cellStyle name="Normal 9 3 3 3 2 3" xfId="12563" xr:uid="{8707FD87-4A5C-4100-930E-D3955EB1F6F3}"/>
    <cellStyle name="Normal 9 3 3 3 2 4" xfId="21010" xr:uid="{CA78312D-FDA2-4A8F-9FD1-567D22C52554}"/>
    <cellStyle name="Normal 9 3 3 3 2 5" xfId="29457" xr:uid="{04C3847D-1247-4360-8995-C2D22B74F9B7}"/>
    <cellStyle name="Normal 9 3 3 3 3" xfId="5309" xr:uid="{00000000-0005-0000-0000-000012200000}"/>
    <cellStyle name="Normal 9 3 3 3 3 2" xfId="14635" xr:uid="{47BB8CA4-536F-4BD2-929F-18E16F91B264}"/>
    <cellStyle name="Normal 9 3 3 3 3 3" xfId="23082" xr:uid="{37FA3425-6070-493C-B608-7828219F68AD}"/>
    <cellStyle name="Normal 9 3 3 3 3 4" xfId="31529" xr:uid="{C638FCA9-1C56-43EE-BECE-E357AD69CE31}"/>
    <cellStyle name="Normal 9 3 3 3 4" xfId="9305" xr:uid="{F54F3A88-B268-4905-B4D1-34B996B920C6}"/>
    <cellStyle name="Normal 9 3 3 3 5" xfId="10418" xr:uid="{3A35216D-16FC-4FC7-B5B8-A45643041B71}"/>
    <cellStyle name="Normal 9 3 3 3 6" xfId="18865" xr:uid="{0D06B692-E28C-49BF-BA58-E41F17C2FA64}"/>
    <cellStyle name="Normal 9 3 3 3 7" xfId="27312" xr:uid="{690C0B55-7977-4962-9F01-5938C1CD54F9}"/>
    <cellStyle name="Normal 9 3 3 4" xfId="1415" xr:uid="{00000000-0005-0000-0000-000013200000}"/>
    <cellStyle name="Normal 9 3 3 4 2" xfId="3645" xr:uid="{00000000-0005-0000-0000-000014200000}"/>
    <cellStyle name="Normal 9 3 3 4 2 2" xfId="7867" xr:uid="{00000000-0005-0000-0000-000015200000}"/>
    <cellStyle name="Normal 9 3 3 4 2 2 2" xfId="17193" xr:uid="{EE1F2A03-EBB1-416C-BF78-F2958D9595B6}"/>
    <cellStyle name="Normal 9 3 3 4 2 2 3" xfId="25640" xr:uid="{43622F00-F7F9-4232-AF70-8CC2F8144D82}"/>
    <cellStyle name="Normal 9 3 3 4 2 2 4" xfId="34087" xr:uid="{47AE3AEE-76C0-462B-8576-7164CC96DE83}"/>
    <cellStyle name="Normal 9 3 3 4 2 3" xfId="12976" xr:uid="{A3D15B74-E661-47A6-8C3F-99345661C15F}"/>
    <cellStyle name="Normal 9 3 3 4 2 4" xfId="21423" xr:uid="{8CF6EAE2-D7B9-4C93-BBE7-85775F9840B2}"/>
    <cellStyle name="Normal 9 3 3 4 2 5" xfId="29870" xr:uid="{2BB4B9BC-2E28-4EDE-82E2-0DCD83383BC1}"/>
    <cellStyle name="Normal 9 3 3 4 3" xfId="5722" xr:uid="{00000000-0005-0000-0000-000016200000}"/>
    <cellStyle name="Normal 9 3 3 4 3 2" xfId="15048" xr:uid="{EDFB940E-1C61-4E2E-8F6C-7342F24CCBFC}"/>
    <cellStyle name="Normal 9 3 3 4 3 3" xfId="23495" xr:uid="{6E544B9E-EE69-4CE8-A192-A28AA409E7A1}"/>
    <cellStyle name="Normal 9 3 3 4 3 4" xfId="31942" xr:uid="{6401C1C5-5D08-4B0B-89EE-68AB527AE3E9}"/>
    <cellStyle name="Normal 9 3 3 4 4" xfId="10831" xr:uid="{5AF3FA5E-B245-43BE-AC92-EC3CC39614C3}"/>
    <cellStyle name="Normal 9 3 3 4 5" xfId="19278" xr:uid="{4B235918-7D95-44B4-A54C-ABB9C60C5964}"/>
    <cellStyle name="Normal 9 3 3 4 6" xfId="27725" xr:uid="{78F8118F-09D1-4E1C-8E03-97DD9224B553}"/>
    <cellStyle name="Normal 9 3 3 5" xfId="1828" xr:uid="{00000000-0005-0000-0000-000017200000}"/>
    <cellStyle name="Normal 9 3 3 5 2" xfId="4058" xr:uid="{00000000-0005-0000-0000-000018200000}"/>
    <cellStyle name="Normal 9 3 3 5 2 2" xfId="8280" xr:uid="{00000000-0005-0000-0000-000019200000}"/>
    <cellStyle name="Normal 9 3 3 5 2 2 2" xfId="17606" xr:uid="{54A338CF-CB81-416D-8572-1AF8DFA2DA8C}"/>
    <cellStyle name="Normal 9 3 3 5 2 2 3" xfId="26053" xr:uid="{4563B7EF-D27E-4EF8-A211-E200A424540B}"/>
    <cellStyle name="Normal 9 3 3 5 2 2 4" xfId="34500" xr:uid="{6DA5BF18-AF86-42AB-A9F7-F536A79E5E9E}"/>
    <cellStyle name="Normal 9 3 3 5 2 3" xfId="13389" xr:uid="{8797C07A-E7D0-4529-8E8C-27186A3BB46B}"/>
    <cellStyle name="Normal 9 3 3 5 2 4" xfId="21836" xr:uid="{D2C0B545-1803-4BFC-8C98-AFAB9C3A4D23}"/>
    <cellStyle name="Normal 9 3 3 5 2 5" xfId="30283" xr:uid="{364C7FB0-7238-4790-87B5-15511B7B3A81}"/>
    <cellStyle name="Normal 9 3 3 5 3" xfId="6135" xr:uid="{00000000-0005-0000-0000-00001A200000}"/>
    <cellStyle name="Normal 9 3 3 5 3 2" xfId="15461" xr:uid="{4D778AAA-7ADA-442B-B1B6-3D72ECB7FA78}"/>
    <cellStyle name="Normal 9 3 3 5 3 3" xfId="23908" xr:uid="{1BD63EEA-E39E-4DDD-9145-2C1D98B23C50}"/>
    <cellStyle name="Normal 9 3 3 5 3 4" xfId="32355" xr:uid="{88E52852-4956-4022-B80F-DF9F2C5D8F7D}"/>
    <cellStyle name="Normal 9 3 3 5 4" xfId="11244" xr:uid="{D67A83E9-8A95-4B20-BE22-1CD2E4C6B70D}"/>
    <cellStyle name="Normal 9 3 3 5 5" xfId="19691" xr:uid="{D9EFEBF4-18C6-43BD-A941-0D271230D41A}"/>
    <cellStyle name="Normal 9 3 3 5 6" xfId="28138" xr:uid="{DB55AE29-CEE4-46F7-9108-9BAD0B4ED88B}"/>
    <cellStyle name="Normal 9 3 3 6" xfId="2242" xr:uid="{00000000-0005-0000-0000-00001B200000}"/>
    <cellStyle name="Normal 9 3 3 6 2" xfId="4471" xr:uid="{00000000-0005-0000-0000-00001C200000}"/>
    <cellStyle name="Normal 9 3 3 6 2 2" xfId="8693" xr:uid="{00000000-0005-0000-0000-00001D200000}"/>
    <cellStyle name="Normal 9 3 3 6 2 2 2" xfId="18019" xr:uid="{5B077DB3-DF3B-4267-9F1F-31AD1FD8C8A0}"/>
    <cellStyle name="Normal 9 3 3 6 2 2 3" xfId="26466" xr:uid="{FCE0C8EE-E369-4C17-AF23-402C71FCA602}"/>
    <cellStyle name="Normal 9 3 3 6 2 2 4" xfId="34913" xr:uid="{10E77ED6-88CD-4F66-9813-ACCD9D6D0A15}"/>
    <cellStyle name="Normal 9 3 3 6 2 3" xfId="13802" xr:uid="{D1E72069-2577-40F8-87B9-3C9EBCB90F7B}"/>
    <cellStyle name="Normal 9 3 3 6 2 4" xfId="22249" xr:uid="{46FD3D21-2050-4E75-A7A8-B1B49EFBEC90}"/>
    <cellStyle name="Normal 9 3 3 6 2 5" xfId="30696" xr:uid="{24DB2B27-A8AA-468A-9502-12376BF0CB5A}"/>
    <cellStyle name="Normal 9 3 3 6 3" xfId="6548" xr:uid="{00000000-0005-0000-0000-00001E200000}"/>
    <cellStyle name="Normal 9 3 3 6 3 2" xfId="15874" xr:uid="{8A62CB42-C53B-41E2-A24C-BB1256B8B455}"/>
    <cellStyle name="Normal 9 3 3 6 3 3" xfId="24321" xr:uid="{445420BC-9F76-456D-99D2-8AFB9FAA81D9}"/>
    <cellStyle name="Normal 9 3 3 6 3 4" xfId="32768" xr:uid="{1A314A7E-9818-4F73-8704-1E65ED17CCFE}"/>
    <cellStyle name="Normal 9 3 3 6 4" xfId="11657" xr:uid="{B95B37BD-DBB4-4186-A23D-195B7C80FA0E}"/>
    <cellStyle name="Normal 9 3 3 6 5" xfId="20104" xr:uid="{4DB82582-A745-4A37-8B2F-4C97B610C3BE}"/>
    <cellStyle name="Normal 9 3 3 6 6" xfId="28551" xr:uid="{16977B0A-26E3-4B23-9BBD-8E895F7D267E}"/>
    <cellStyle name="Normal 9 3 3 7" xfId="2678" xr:uid="{00000000-0005-0000-0000-00001F200000}"/>
    <cellStyle name="Normal 9 3 3 7 2" xfId="6961" xr:uid="{00000000-0005-0000-0000-000020200000}"/>
    <cellStyle name="Normal 9 3 3 7 2 2" xfId="16287" xr:uid="{4C63E64C-D56D-468B-8B3C-57BB641C069F}"/>
    <cellStyle name="Normal 9 3 3 7 2 3" xfId="24734" xr:uid="{EF24DB9A-C43D-4AD8-B0F7-657085765F7B}"/>
    <cellStyle name="Normal 9 3 3 7 2 4" xfId="33181" xr:uid="{49F57FC6-374A-464B-A7CA-E92415000BEA}"/>
    <cellStyle name="Normal 9 3 3 7 3" xfId="12070" xr:uid="{96DFF98E-C564-4B0A-9A0B-B4FDB8909B28}"/>
    <cellStyle name="Normal 9 3 3 7 4" xfId="20517" xr:uid="{89A83119-B0CE-450E-A1B1-F41316F017AC}"/>
    <cellStyle name="Normal 9 3 3 7 5" xfId="28964" xr:uid="{21AB0C73-4635-48F7-8AC1-BFFE305B5913}"/>
    <cellStyle name="Normal 9 3 3 8" xfId="4896" xr:uid="{00000000-0005-0000-0000-000021200000}"/>
    <cellStyle name="Normal 9 3 3 8 2" xfId="14222" xr:uid="{162DE35F-BC0B-4927-B24B-58C3DBC5B9ED}"/>
    <cellStyle name="Normal 9 3 3 8 3" xfId="22669" xr:uid="{1B06AF23-D074-4590-A635-A6A8D6E0C131}"/>
    <cellStyle name="Normal 9 3 3 8 4" xfId="31116" xr:uid="{96604840-58D8-4FE0-956A-46DBE6F191AC}"/>
    <cellStyle name="Normal 9 3 3 9" xfId="8880" xr:uid="{36521590-FD5B-45F7-80A9-41BA557EA820}"/>
    <cellStyle name="Normal 9 3 4" xfId="534" xr:uid="{00000000-0005-0000-0000-000022200000}"/>
    <cellStyle name="Normal 9 3 4 10" xfId="18454" xr:uid="{02FAF2FE-3D4A-42C1-83C7-838647F35B0B}"/>
    <cellStyle name="Normal 9 3 4 11" xfId="26901" xr:uid="{2A45EE96-9839-494B-BB9A-829F2CE51202}"/>
    <cellStyle name="Normal 9 3 4 2" xfId="1001" xr:uid="{00000000-0005-0000-0000-000023200000}"/>
    <cellStyle name="Normal 9 3 4 2 2" xfId="3234" xr:uid="{00000000-0005-0000-0000-000024200000}"/>
    <cellStyle name="Normal 9 3 4 2 2 2" xfId="7456" xr:uid="{00000000-0005-0000-0000-000025200000}"/>
    <cellStyle name="Normal 9 3 4 2 2 2 2" xfId="16782" xr:uid="{884F2AD7-135B-4B04-9104-BBCC48291A5B}"/>
    <cellStyle name="Normal 9 3 4 2 2 2 3" xfId="25229" xr:uid="{B633FE51-D5CB-414D-BD9F-A8164D0A2163}"/>
    <cellStyle name="Normal 9 3 4 2 2 2 4" xfId="33676" xr:uid="{3C4E3A3C-7467-4FD6-982E-1D4E40705B90}"/>
    <cellStyle name="Normal 9 3 4 2 2 3" xfId="12565" xr:uid="{C930FDB1-897C-4993-842A-E190B9C0C653}"/>
    <cellStyle name="Normal 9 3 4 2 2 4" xfId="21012" xr:uid="{1E513626-71BC-43B3-9F38-B564E2CE2DDF}"/>
    <cellStyle name="Normal 9 3 4 2 2 5" xfId="29459" xr:uid="{02B4583D-6A72-4E56-AB32-3153E1746D47}"/>
    <cellStyle name="Normal 9 3 4 2 3" xfId="5311" xr:uid="{00000000-0005-0000-0000-000026200000}"/>
    <cellStyle name="Normal 9 3 4 2 3 2" xfId="14637" xr:uid="{23FCA086-2BCB-4B48-8138-2DC95F4639EE}"/>
    <cellStyle name="Normal 9 3 4 2 3 3" xfId="23084" xr:uid="{A7E3BD59-1DC0-4D6D-BF68-0CB996E7A4D3}"/>
    <cellStyle name="Normal 9 3 4 2 3 4" xfId="31531" xr:uid="{B4FD0D49-8563-42EF-B851-34C4E692E3C9}"/>
    <cellStyle name="Normal 9 3 4 2 4" xfId="9409" xr:uid="{F8EFC02C-357C-44AD-9BF7-6459F3C595DA}"/>
    <cellStyle name="Normal 9 3 4 2 5" xfId="10420" xr:uid="{8F743277-7BD1-4F60-BDD4-FE13BDF5C71C}"/>
    <cellStyle name="Normal 9 3 4 2 6" xfId="18867" xr:uid="{E794CC33-EC1B-47DB-8EF1-8F95618FA01C}"/>
    <cellStyle name="Normal 9 3 4 2 7" xfId="27314" xr:uid="{2433266D-CB2E-4391-9785-71121FF73A0D}"/>
    <cellStyle name="Normal 9 3 4 3" xfId="1417" xr:uid="{00000000-0005-0000-0000-000027200000}"/>
    <cellStyle name="Normal 9 3 4 3 2" xfId="3647" xr:uid="{00000000-0005-0000-0000-000028200000}"/>
    <cellStyle name="Normal 9 3 4 3 2 2" xfId="7869" xr:uid="{00000000-0005-0000-0000-000029200000}"/>
    <cellStyle name="Normal 9 3 4 3 2 2 2" xfId="17195" xr:uid="{EFA4823E-DE73-4439-A7AB-68B0EE33A7F5}"/>
    <cellStyle name="Normal 9 3 4 3 2 2 3" xfId="25642" xr:uid="{54FD6A13-91D6-4A44-BFBF-91D7DA0574D0}"/>
    <cellStyle name="Normal 9 3 4 3 2 2 4" xfId="34089" xr:uid="{1F33B85D-040A-440D-9B78-F902475A36E9}"/>
    <cellStyle name="Normal 9 3 4 3 2 3" xfId="12978" xr:uid="{C74ABA39-0B05-411B-8FC6-D6AC16F3196F}"/>
    <cellStyle name="Normal 9 3 4 3 2 4" xfId="21425" xr:uid="{4A139DBC-E4FD-4755-BF83-7D002ABDD30B}"/>
    <cellStyle name="Normal 9 3 4 3 2 5" xfId="29872" xr:uid="{9AB801A2-38FB-4ADB-9040-7AB3AC81F38C}"/>
    <cellStyle name="Normal 9 3 4 3 3" xfId="5724" xr:uid="{00000000-0005-0000-0000-00002A200000}"/>
    <cellStyle name="Normal 9 3 4 3 3 2" xfId="15050" xr:uid="{DF92FC34-890A-4B22-96A8-3B30AC0ED825}"/>
    <cellStyle name="Normal 9 3 4 3 3 3" xfId="23497" xr:uid="{32CB988E-ADDB-4159-A2F1-A47B5D8CC9C8}"/>
    <cellStyle name="Normal 9 3 4 3 3 4" xfId="31944" xr:uid="{E1A97A47-EB67-411A-A615-8B2BA7D5CA49}"/>
    <cellStyle name="Normal 9 3 4 3 4" xfId="10833" xr:uid="{EDF38656-6BD6-4851-9BF7-9ACBDC6413EE}"/>
    <cellStyle name="Normal 9 3 4 3 5" xfId="19280" xr:uid="{48F5E194-6ACD-4968-8352-81EFEC39131F}"/>
    <cellStyle name="Normal 9 3 4 3 6" xfId="27727" xr:uid="{ED295F08-70BE-4534-A2DA-3945810C95A6}"/>
    <cellStyle name="Normal 9 3 4 4" xfId="1830" xr:uid="{00000000-0005-0000-0000-00002B200000}"/>
    <cellStyle name="Normal 9 3 4 4 2" xfId="4060" xr:uid="{00000000-0005-0000-0000-00002C200000}"/>
    <cellStyle name="Normal 9 3 4 4 2 2" xfId="8282" xr:uid="{00000000-0005-0000-0000-00002D200000}"/>
    <cellStyle name="Normal 9 3 4 4 2 2 2" xfId="17608" xr:uid="{DF210304-DDC6-428E-985B-96F9611BBDE6}"/>
    <cellStyle name="Normal 9 3 4 4 2 2 3" xfId="26055" xr:uid="{72203D9E-233F-42F9-BF04-188199DD3150}"/>
    <cellStyle name="Normal 9 3 4 4 2 2 4" xfId="34502" xr:uid="{55C20828-E5EF-4E9F-9365-6B368509CDF8}"/>
    <cellStyle name="Normal 9 3 4 4 2 3" xfId="13391" xr:uid="{361A84C6-2B9E-4CAD-8F53-409076F0F633}"/>
    <cellStyle name="Normal 9 3 4 4 2 4" xfId="21838" xr:uid="{ECABA23B-899C-44E6-9EA0-991A6ABDFC66}"/>
    <cellStyle name="Normal 9 3 4 4 2 5" xfId="30285" xr:uid="{2D52F540-E3E6-4227-8842-43FCA13536EB}"/>
    <cellStyle name="Normal 9 3 4 4 3" xfId="6137" xr:uid="{00000000-0005-0000-0000-00002E200000}"/>
    <cellStyle name="Normal 9 3 4 4 3 2" xfId="15463" xr:uid="{5A971DA4-0FE1-4112-81AF-05543BE5E830}"/>
    <cellStyle name="Normal 9 3 4 4 3 3" xfId="23910" xr:uid="{967AA1AD-6F57-48DB-8A74-2FB06AE15CBC}"/>
    <cellStyle name="Normal 9 3 4 4 3 4" xfId="32357" xr:uid="{23D7CB20-9CCA-443A-A3C2-5F2E6E1D5B51}"/>
    <cellStyle name="Normal 9 3 4 4 4" xfId="11246" xr:uid="{08B31D6D-6036-4585-A4BD-4131B82BD2C6}"/>
    <cellStyle name="Normal 9 3 4 4 5" xfId="19693" xr:uid="{4F555E05-D623-4E30-84BD-EB0D4A4513DE}"/>
    <cellStyle name="Normal 9 3 4 4 6" xfId="28140" xr:uid="{2A6846F7-0115-4C03-8B80-BC0BA37283FA}"/>
    <cellStyle name="Normal 9 3 4 5" xfId="2244" xr:uid="{00000000-0005-0000-0000-00002F200000}"/>
    <cellStyle name="Normal 9 3 4 5 2" xfId="4473" xr:uid="{00000000-0005-0000-0000-000030200000}"/>
    <cellStyle name="Normal 9 3 4 5 2 2" xfId="8695" xr:uid="{00000000-0005-0000-0000-000031200000}"/>
    <cellStyle name="Normal 9 3 4 5 2 2 2" xfId="18021" xr:uid="{379E02E5-B0C6-423C-9994-E5F9BDAB0998}"/>
    <cellStyle name="Normal 9 3 4 5 2 2 3" xfId="26468" xr:uid="{1B9B2F63-E3B1-4D42-9C90-1AD38B795D76}"/>
    <cellStyle name="Normal 9 3 4 5 2 2 4" xfId="34915" xr:uid="{96E04942-2D60-411F-AFEE-1D73911D9D95}"/>
    <cellStyle name="Normal 9 3 4 5 2 3" xfId="13804" xr:uid="{56567599-C41B-419C-B17D-F96EEF14243C}"/>
    <cellStyle name="Normal 9 3 4 5 2 4" xfId="22251" xr:uid="{3CB7D345-C79D-48B8-A334-6C5E85CC9D03}"/>
    <cellStyle name="Normal 9 3 4 5 2 5" xfId="30698" xr:uid="{FD5A0F13-7466-4499-8D56-BAF5105AA0AC}"/>
    <cellStyle name="Normal 9 3 4 5 3" xfId="6550" xr:uid="{00000000-0005-0000-0000-000032200000}"/>
    <cellStyle name="Normal 9 3 4 5 3 2" xfId="15876" xr:uid="{C9D23621-5CAB-42A4-B41F-3FEC35AF286C}"/>
    <cellStyle name="Normal 9 3 4 5 3 3" xfId="24323" xr:uid="{795BB4EA-96B6-481E-A7FA-16428924CBE4}"/>
    <cellStyle name="Normal 9 3 4 5 3 4" xfId="32770" xr:uid="{A398A33D-6C39-4055-8756-0889EDA386D6}"/>
    <cellStyle name="Normal 9 3 4 5 4" xfId="11659" xr:uid="{B051390F-786E-4F26-9851-B79116B6217E}"/>
    <cellStyle name="Normal 9 3 4 5 5" xfId="20106" xr:uid="{3475D475-2017-451E-8A12-A7E58F9501C2}"/>
    <cellStyle name="Normal 9 3 4 5 6" xfId="28553" xr:uid="{97D64B4F-2A18-442A-993B-3B0F52B623F3}"/>
    <cellStyle name="Normal 9 3 4 6" xfId="2680" xr:uid="{00000000-0005-0000-0000-000033200000}"/>
    <cellStyle name="Normal 9 3 4 6 2" xfId="6963" xr:uid="{00000000-0005-0000-0000-000034200000}"/>
    <cellStyle name="Normal 9 3 4 6 2 2" xfId="16289" xr:uid="{A00EE519-3938-4683-B4EB-DB795B1878BC}"/>
    <cellStyle name="Normal 9 3 4 6 2 3" xfId="24736" xr:uid="{702B2244-F61C-4325-8161-2963311CC7FB}"/>
    <cellStyle name="Normal 9 3 4 6 2 4" xfId="33183" xr:uid="{2760D282-8AAA-49B7-849B-4E7170DA7956}"/>
    <cellStyle name="Normal 9 3 4 6 3" xfId="12072" xr:uid="{5E87A45C-EDEF-4D4D-9472-5349834539E7}"/>
    <cellStyle name="Normal 9 3 4 6 4" xfId="20519" xr:uid="{36D93498-7BDA-4FE7-852E-5911523FD30A}"/>
    <cellStyle name="Normal 9 3 4 6 5" xfId="28966" xr:uid="{FE2590CB-8FE9-49EA-AEA1-E3C05C09A1AF}"/>
    <cellStyle name="Normal 9 3 4 7" xfId="4898" xr:uid="{00000000-0005-0000-0000-000035200000}"/>
    <cellStyle name="Normal 9 3 4 7 2" xfId="14224" xr:uid="{3168CD51-B891-4D36-8CDD-00653AB6234A}"/>
    <cellStyle name="Normal 9 3 4 7 3" xfId="22671" xr:uid="{9FD2BEAC-4D58-49FF-8D0A-FC72B527964A}"/>
    <cellStyle name="Normal 9 3 4 7 4" xfId="31118" xr:uid="{60177424-ADD3-4C96-98B1-879E4C12970D}"/>
    <cellStyle name="Normal 9 3 4 8" xfId="8984" xr:uid="{A39B104A-EAEF-4D5B-B504-6104111E924B}"/>
    <cellStyle name="Normal 9 3 4 9" xfId="10007" xr:uid="{803F8BD0-ACA2-4F9C-80EF-DE56B442CFD6}"/>
    <cellStyle name="Normal 9 3 5" xfId="994" xr:uid="{00000000-0005-0000-0000-000036200000}"/>
    <cellStyle name="Normal 9 3 5 2" xfId="3227" xr:uid="{00000000-0005-0000-0000-000037200000}"/>
    <cellStyle name="Normal 9 3 5 2 2" xfId="7449" xr:uid="{00000000-0005-0000-0000-000038200000}"/>
    <cellStyle name="Normal 9 3 5 2 2 2" xfId="16775" xr:uid="{0FB9202D-D3B0-49CC-A48F-323069DB5A42}"/>
    <cellStyle name="Normal 9 3 5 2 2 3" xfId="25222" xr:uid="{EF082533-C877-4179-B1B6-2CBB24A80148}"/>
    <cellStyle name="Normal 9 3 5 2 2 4" xfId="33669" xr:uid="{2A4AF12F-BA02-427F-BD6E-703A7F1D463D}"/>
    <cellStyle name="Normal 9 3 5 2 3" xfId="12558" xr:uid="{12D974C6-FB58-4612-87E1-0D31799D0059}"/>
    <cellStyle name="Normal 9 3 5 2 4" xfId="21005" xr:uid="{EA350D56-F289-4DC7-A54F-C8A0DFE01A0E}"/>
    <cellStyle name="Normal 9 3 5 2 5" xfId="29452" xr:uid="{E7B4E721-DDB3-4E84-B43C-512A96136F12}"/>
    <cellStyle name="Normal 9 3 5 3" xfId="5304" xr:uid="{00000000-0005-0000-0000-000039200000}"/>
    <cellStyle name="Normal 9 3 5 3 2" xfId="14630" xr:uid="{A6165F46-C19B-485D-9FF3-A704FC086A65}"/>
    <cellStyle name="Normal 9 3 5 3 3" xfId="23077" xr:uid="{81D80DEB-B901-4585-848E-9C9294A6D802}"/>
    <cellStyle name="Normal 9 3 5 3 4" xfId="31524" xr:uid="{5B690109-7245-43F2-A3A1-E222A728ACA7}"/>
    <cellStyle name="Normal 9 3 5 4" xfId="9201" xr:uid="{46D523D7-8DEB-46FB-8F1C-8CE8C2FC3AD3}"/>
    <cellStyle name="Normal 9 3 5 5" xfId="10413" xr:uid="{23038DED-3485-447F-8891-C73C59BF93D3}"/>
    <cellStyle name="Normal 9 3 5 6" xfId="18860" xr:uid="{D594B3B7-49EA-4F7A-945C-D8E94DD470C2}"/>
    <cellStyle name="Normal 9 3 5 7" xfId="27307" xr:uid="{65DDEB37-B855-4DE4-B27A-6E28F93CB721}"/>
    <cellStyle name="Normal 9 3 6" xfId="1410" xr:uid="{00000000-0005-0000-0000-00003A200000}"/>
    <cellStyle name="Normal 9 3 6 2" xfId="3640" xr:uid="{00000000-0005-0000-0000-00003B200000}"/>
    <cellStyle name="Normal 9 3 6 2 2" xfId="7862" xr:uid="{00000000-0005-0000-0000-00003C200000}"/>
    <cellStyle name="Normal 9 3 6 2 2 2" xfId="17188" xr:uid="{788378D8-EFB4-4481-A68A-B01CB47A2E3A}"/>
    <cellStyle name="Normal 9 3 6 2 2 3" xfId="25635" xr:uid="{E178C019-82EE-4272-93BB-04A048C117CF}"/>
    <cellStyle name="Normal 9 3 6 2 2 4" xfId="34082" xr:uid="{FF431E15-D4AB-4E80-BD7B-D6E91AB75681}"/>
    <cellStyle name="Normal 9 3 6 2 3" xfId="12971" xr:uid="{8296681F-39D0-4C5C-95B6-332185476D10}"/>
    <cellStyle name="Normal 9 3 6 2 4" xfId="21418" xr:uid="{D658B48D-19F1-446B-A722-4E8F230BDB64}"/>
    <cellStyle name="Normal 9 3 6 2 5" xfId="29865" xr:uid="{A81DEB44-18AC-45CF-9EEA-121662E63CB6}"/>
    <cellStyle name="Normal 9 3 6 3" xfId="5717" xr:uid="{00000000-0005-0000-0000-00003D200000}"/>
    <cellStyle name="Normal 9 3 6 3 2" xfId="15043" xr:uid="{EC0B51BA-8FDB-42F4-969F-7A1C07469CE0}"/>
    <cellStyle name="Normal 9 3 6 3 3" xfId="23490" xr:uid="{FF0D2FAE-F073-43CF-B09E-F781BFA7AE8E}"/>
    <cellStyle name="Normal 9 3 6 3 4" xfId="31937" xr:uid="{61CA680B-7463-4678-90C0-39EA65A41DDB}"/>
    <cellStyle name="Normal 9 3 6 4" xfId="10826" xr:uid="{95210B10-1843-405F-8389-2D3F63F1C106}"/>
    <cellStyle name="Normal 9 3 6 5" xfId="19273" xr:uid="{02915B80-0253-4300-A29E-54C1BED0E31D}"/>
    <cellStyle name="Normal 9 3 6 6" xfId="27720" xr:uid="{C147C71F-3181-41B5-8D81-944DABEC78DE}"/>
    <cellStyle name="Normal 9 3 7" xfId="1823" xr:uid="{00000000-0005-0000-0000-00003E200000}"/>
    <cellStyle name="Normal 9 3 7 2" xfId="4053" xr:uid="{00000000-0005-0000-0000-00003F200000}"/>
    <cellStyle name="Normal 9 3 7 2 2" xfId="8275" xr:uid="{00000000-0005-0000-0000-000040200000}"/>
    <cellStyle name="Normal 9 3 7 2 2 2" xfId="17601" xr:uid="{6CD2042E-C928-4BCD-BBC7-715F5517B045}"/>
    <cellStyle name="Normal 9 3 7 2 2 3" xfId="26048" xr:uid="{A6165127-9EED-406B-BD36-A836A5653874}"/>
    <cellStyle name="Normal 9 3 7 2 2 4" xfId="34495" xr:uid="{C4E3927C-9AE6-4E26-A0BF-20EE2B675A73}"/>
    <cellStyle name="Normal 9 3 7 2 3" xfId="13384" xr:uid="{ED8714B9-055D-41A3-817B-C03CB259C66B}"/>
    <cellStyle name="Normal 9 3 7 2 4" xfId="21831" xr:uid="{F93CFC2E-3116-49A4-B35E-D22B59ACAF40}"/>
    <cellStyle name="Normal 9 3 7 2 5" xfId="30278" xr:uid="{A9F83858-86A5-4E70-BB31-296D34925F3D}"/>
    <cellStyle name="Normal 9 3 7 3" xfId="6130" xr:uid="{00000000-0005-0000-0000-000041200000}"/>
    <cellStyle name="Normal 9 3 7 3 2" xfId="15456" xr:uid="{716B53D4-1E0B-4C67-825B-202FD9043115}"/>
    <cellStyle name="Normal 9 3 7 3 3" xfId="23903" xr:uid="{B5C1C86C-632D-4B60-8DAB-086240872379}"/>
    <cellStyle name="Normal 9 3 7 3 4" xfId="32350" xr:uid="{168D4AFF-9D80-483D-9A48-3DA8C566ED34}"/>
    <cellStyle name="Normal 9 3 7 4" xfId="11239" xr:uid="{10315913-21E0-4F96-A904-A4046C4AAF48}"/>
    <cellStyle name="Normal 9 3 7 5" xfId="19686" xr:uid="{23596B17-9972-401E-AD4E-C88F500DEF76}"/>
    <cellStyle name="Normal 9 3 7 6" xfId="28133" xr:uid="{285BA85A-2194-44C1-82D9-8A8FE1365569}"/>
    <cellStyle name="Normal 9 3 8" xfId="2237" xr:uid="{00000000-0005-0000-0000-000042200000}"/>
    <cellStyle name="Normal 9 3 8 2" xfId="4466" xr:uid="{00000000-0005-0000-0000-000043200000}"/>
    <cellStyle name="Normal 9 3 8 2 2" xfId="8688" xr:uid="{00000000-0005-0000-0000-000044200000}"/>
    <cellStyle name="Normal 9 3 8 2 2 2" xfId="18014" xr:uid="{6CB92355-BF13-460C-A0F9-5E2EAEEAC50C}"/>
    <cellStyle name="Normal 9 3 8 2 2 3" xfId="26461" xr:uid="{5FA82BB6-88E1-4750-9ADC-72410616595C}"/>
    <cellStyle name="Normal 9 3 8 2 2 4" xfId="34908" xr:uid="{E8DEBDC8-D4F2-441D-BD30-98C9435198EF}"/>
    <cellStyle name="Normal 9 3 8 2 3" xfId="13797" xr:uid="{BAC20D12-6615-490E-B2BF-AC12AC0735E1}"/>
    <cellStyle name="Normal 9 3 8 2 4" xfId="22244" xr:uid="{E8A72F2C-D1D5-49C1-B6DB-2B34110D91B6}"/>
    <cellStyle name="Normal 9 3 8 2 5" xfId="30691" xr:uid="{5D7B2220-A9B4-4157-B424-39925443F503}"/>
    <cellStyle name="Normal 9 3 8 3" xfId="6543" xr:uid="{00000000-0005-0000-0000-000045200000}"/>
    <cellStyle name="Normal 9 3 8 3 2" xfId="15869" xr:uid="{9A4E28F1-23EE-49CE-B9EB-5CB1EEEFCAA8}"/>
    <cellStyle name="Normal 9 3 8 3 3" xfId="24316" xr:uid="{42590F99-2317-40A3-9F10-FE2221499835}"/>
    <cellStyle name="Normal 9 3 8 3 4" xfId="32763" xr:uid="{7A3979C7-4148-4E97-9FEC-D5AD25C274A1}"/>
    <cellStyle name="Normal 9 3 8 4" xfId="11652" xr:uid="{7E221807-60FB-4424-BCA5-CF11DD38A901}"/>
    <cellStyle name="Normal 9 3 8 5" xfId="20099" xr:uid="{18E48782-F9DA-48E5-876E-6E1D30108026}"/>
    <cellStyle name="Normal 9 3 8 6" xfId="28546" xr:uid="{54F6B238-97B8-4D13-B74E-C6A2B30212FE}"/>
    <cellStyle name="Normal 9 3 9" xfId="2673" xr:uid="{00000000-0005-0000-0000-000046200000}"/>
    <cellStyle name="Normal 9 3 9 2" xfId="6956" xr:uid="{00000000-0005-0000-0000-000047200000}"/>
    <cellStyle name="Normal 9 3 9 2 2" xfId="16282" xr:uid="{46C59DEC-99AF-4A82-8288-447B115C7179}"/>
    <cellStyle name="Normal 9 3 9 2 3" xfId="24729" xr:uid="{329787CA-D54C-4CF9-BA43-F6DD83D11DD2}"/>
    <cellStyle name="Normal 9 3 9 2 4" xfId="33176" xr:uid="{2FE40CCB-9DE0-4F8B-BE96-404D467C8D12}"/>
    <cellStyle name="Normal 9 3 9 3" xfId="12065" xr:uid="{45C48DCC-05C5-484A-A654-5F523EDE8A14}"/>
    <cellStyle name="Normal 9 3 9 4" xfId="20512" xr:uid="{8E42686D-B997-4072-BFC9-487FBC8E8A52}"/>
    <cellStyle name="Normal 9 3 9 5" xfId="28959" xr:uid="{C5EA0767-EB92-4E23-8FE5-776E8A4EC95C}"/>
    <cellStyle name="Normal 9 4" xfId="535" xr:uid="{00000000-0005-0000-0000-000048200000}"/>
    <cellStyle name="Normal 9 4 2" xfId="1002" xr:uid="{00000000-0005-0000-0000-000049200000}"/>
    <cellStyle name="Normal 9 5" xfId="536" xr:uid="{00000000-0005-0000-0000-00004A200000}"/>
    <cellStyle name="Normal 9 5 10" xfId="10008" xr:uid="{DBB28F48-DA94-4D3D-8EAA-0401C0279C46}"/>
    <cellStyle name="Normal 9 5 11" xfId="18455" xr:uid="{3E3D6D3C-8714-47C9-A5A7-9F21B46334EA}"/>
    <cellStyle name="Normal 9 5 12" xfId="26902" xr:uid="{B37D9E8F-FA0B-43BB-ABBA-6079A092418A}"/>
    <cellStyle name="Normal 9 5 2" xfId="537" xr:uid="{00000000-0005-0000-0000-00004B200000}"/>
    <cellStyle name="Normal 9 5 2 10" xfId="18456" xr:uid="{65B51229-BCD2-4BA2-A438-352719A43E79}"/>
    <cellStyle name="Normal 9 5 2 11" xfId="26903" xr:uid="{12F651E4-BFE7-4CEE-AA3A-9949C34F31BF}"/>
    <cellStyle name="Normal 9 5 2 2" xfId="1004" xr:uid="{00000000-0005-0000-0000-00004C200000}"/>
    <cellStyle name="Normal 9 5 2 2 2" xfId="3236" xr:uid="{00000000-0005-0000-0000-00004D200000}"/>
    <cellStyle name="Normal 9 5 2 2 2 2" xfId="7458" xr:uid="{00000000-0005-0000-0000-00004E200000}"/>
    <cellStyle name="Normal 9 5 2 2 2 2 2" xfId="16784" xr:uid="{20A369A6-39C4-4A2E-AD2D-370025094865}"/>
    <cellStyle name="Normal 9 5 2 2 2 2 3" xfId="25231" xr:uid="{61C1F1BC-FA75-4574-BA79-94230833E6AA}"/>
    <cellStyle name="Normal 9 5 2 2 2 2 4" xfId="33678" xr:uid="{6C24A665-3715-4402-85D3-6C59BA78A9B0}"/>
    <cellStyle name="Normal 9 5 2 2 2 3" xfId="12567" xr:uid="{78208F85-4D67-4305-BBE8-B497C7254A61}"/>
    <cellStyle name="Normal 9 5 2 2 2 4" xfId="21014" xr:uid="{0DFC46C8-E1FB-4592-9F34-53B860E931BF}"/>
    <cellStyle name="Normal 9 5 2 2 2 5" xfId="29461" xr:uid="{CDAD56D7-0B0F-4D62-B093-C3C1C3715E9B}"/>
    <cellStyle name="Normal 9 5 2 2 3" xfId="5313" xr:uid="{00000000-0005-0000-0000-00004F200000}"/>
    <cellStyle name="Normal 9 5 2 2 3 2" xfId="14639" xr:uid="{DA307C86-43CF-4E46-910F-FAF48E2AB8AB}"/>
    <cellStyle name="Normal 9 5 2 2 3 3" xfId="23086" xr:uid="{D0BCB944-1402-4723-AFD9-07D512766A61}"/>
    <cellStyle name="Normal 9 5 2 2 3 4" xfId="31533" xr:uid="{07247452-5623-4BFD-8193-B0F5193852A7}"/>
    <cellStyle name="Normal 9 5 2 2 4" xfId="9480" xr:uid="{BC9702BE-C2B3-450A-99DF-6FFE7C7A82FD}"/>
    <cellStyle name="Normal 9 5 2 2 5" xfId="10422" xr:uid="{F0FAEABC-BEC1-443E-92D3-E5F45BF7A700}"/>
    <cellStyle name="Normal 9 5 2 2 6" xfId="18869" xr:uid="{0B5C9525-DE48-4F5C-BE24-1BC2B9C1EAE9}"/>
    <cellStyle name="Normal 9 5 2 2 7" xfId="27316" xr:uid="{F4C78107-772D-47C5-9AB8-575B3B501FBB}"/>
    <cellStyle name="Normal 9 5 2 3" xfId="1419" xr:uid="{00000000-0005-0000-0000-000050200000}"/>
    <cellStyle name="Normal 9 5 2 3 2" xfId="3649" xr:uid="{00000000-0005-0000-0000-000051200000}"/>
    <cellStyle name="Normal 9 5 2 3 2 2" xfId="7871" xr:uid="{00000000-0005-0000-0000-000052200000}"/>
    <cellStyle name="Normal 9 5 2 3 2 2 2" xfId="17197" xr:uid="{2F943F7B-B148-47FD-8850-24CD5187A734}"/>
    <cellStyle name="Normal 9 5 2 3 2 2 3" xfId="25644" xr:uid="{F08A68D9-CE10-43D9-9252-B9F27C4BE83B}"/>
    <cellStyle name="Normal 9 5 2 3 2 2 4" xfId="34091" xr:uid="{193795EC-933D-4C9E-8C11-A95D66F4CCF6}"/>
    <cellStyle name="Normal 9 5 2 3 2 3" xfId="12980" xr:uid="{FA01870F-9985-4867-8DA1-A31C2A0C9153}"/>
    <cellStyle name="Normal 9 5 2 3 2 4" xfId="21427" xr:uid="{7035479A-4521-4C49-8730-162372F17F58}"/>
    <cellStyle name="Normal 9 5 2 3 2 5" xfId="29874" xr:uid="{AF9CC80C-C889-4998-A197-5ED315FE0B36}"/>
    <cellStyle name="Normal 9 5 2 3 3" xfId="5726" xr:uid="{00000000-0005-0000-0000-000053200000}"/>
    <cellStyle name="Normal 9 5 2 3 3 2" xfId="15052" xr:uid="{89FC731F-13DB-4D5B-AC8C-818DF3774282}"/>
    <cellStyle name="Normal 9 5 2 3 3 3" xfId="23499" xr:uid="{C428593B-40DA-44DC-B4F4-52A4E6F3AB84}"/>
    <cellStyle name="Normal 9 5 2 3 3 4" xfId="31946" xr:uid="{F9B71E9E-F594-4B51-B1A3-729C3BBC3815}"/>
    <cellStyle name="Normal 9 5 2 3 4" xfId="10835" xr:uid="{8388E81D-805D-42C8-AA5C-7C3CB71E0CB3}"/>
    <cellStyle name="Normal 9 5 2 3 5" xfId="19282" xr:uid="{A6FEC102-02F0-4068-95E0-2B98610E7359}"/>
    <cellStyle name="Normal 9 5 2 3 6" xfId="27729" xr:uid="{C7A6518A-1615-49C2-89BB-C8DF143D27E2}"/>
    <cellStyle name="Normal 9 5 2 4" xfId="1832" xr:uid="{00000000-0005-0000-0000-000054200000}"/>
    <cellStyle name="Normal 9 5 2 4 2" xfId="4062" xr:uid="{00000000-0005-0000-0000-000055200000}"/>
    <cellStyle name="Normal 9 5 2 4 2 2" xfId="8284" xr:uid="{00000000-0005-0000-0000-000056200000}"/>
    <cellStyle name="Normal 9 5 2 4 2 2 2" xfId="17610" xr:uid="{A9A39925-25E5-4703-806E-654BEEB8C920}"/>
    <cellStyle name="Normal 9 5 2 4 2 2 3" xfId="26057" xr:uid="{1E865CE7-F8CD-4990-A5B6-32A9E6CD5F32}"/>
    <cellStyle name="Normal 9 5 2 4 2 2 4" xfId="34504" xr:uid="{38A3D7AB-C2AD-4371-A90E-3A438D1968AF}"/>
    <cellStyle name="Normal 9 5 2 4 2 3" xfId="13393" xr:uid="{E4892143-0623-459E-839C-08D58D386F53}"/>
    <cellStyle name="Normal 9 5 2 4 2 4" xfId="21840" xr:uid="{44CFBF62-E6F3-4074-AA81-3CBDF759ECC2}"/>
    <cellStyle name="Normal 9 5 2 4 2 5" xfId="30287" xr:uid="{BB33365F-595E-485E-A436-5DEDB9D45F60}"/>
    <cellStyle name="Normal 9 5 2 4 3" xfId="6139" xr:uid="{00000000-0005-0000-0000-000057200000}"/>
    <cellStyle name="Normal 9 5 2 4 3 2" xfId="15465" xr:uid="{C1670710-E94E-4FA2-AA53-7820DBC609B2}"/>
    <cellStyle name="Normal 9 5 2 4 3 3" xfId="23912" xr:uid="{85A0A523-2146-4D9E-99BF-B78C0B16179B}"/>
    <cellStyle name="Normal 9 5 2 4 3 4" xfId="32359" xr:uid="{D29CD8CE-E429-48EE-9BBA-CECF84AA7F84}"/>
    <cellStyle name="Normal 9 5 2 4 4" xfId="11248" xr:uid="{EC181347-735B-4E3E-AFAA-ACC7DED12B9F}"/>
    <cellStyle name="Normal 9 5 2 4 5" xfId="19695" xr:uid="{10C5C77D-BF43-4DCE-93CF-87E93B1E79B1}"/>
    <cellStyle name="Normal 9 5 2 4 6" xfId="28142" xr:uid="{5B244899-3B2F-42BE-8B83-A3529C227C12}"/>
    <cellStyle name="Normal 9 5 2 5" xfId="2246" xr:uid="{00000000-0005-0000-0000-000058200000}"/>
    <cellStyle name="Normal 9 5 2 5 2" xfId="4475" xr:uid="{00000000-0005-0000-0000-000059200000}"/>
    <cellStyle name="Normal 9 5 2 5 2 2" xfId="8697" xr:uid="{00000000-0005-0000-0000-00005A200000}"/>
    <cellStyle name="Normal 9 5 2 5 2 2 2" xfId="18023" xr:uid="{ABC26D87-B1F3-437B-A10E-551462B6D26E}"/>
    <cellStyle name="Normal 9 5 2 5 2 2 3" xfId="26470" xr:uid="{45274ECE-A547-4F9C-A0A6-C677825A75B4}"/>
    <cellStyle name="Normal 9 5 2 5 2 2 4" xfId="34917" xr:uid="{06E99CA5-441D-4A0A-8688-37A634CF9DAF}"/>
    <cellStyle name="Normal 9 5 2 5 2 3" xfId="13806" xr:uid="{CEBDF5DB-B634-4247-AF19-3FCCDDD176AA}"/>
    <cellStyle name="Normal 9 5 2 5 2 4" xfId="22253" xr:uid="{6D062DAC-59D8-4E7F-9AC4-204DEB099F59}"/>
    <cellStyle name="Normal 9 5 2 5 2 5" xfId="30700" xr:uid="{0294D767-1235-44BA-A905-3482BDD15F72}"/>
    <cellStyle name="Normal 9 5 2 5 3" xfId="6552" xr:uid="{00000000-0005-0000-0000-00005B200000}"/>
    <cellStyle name="Normal 9 5 2 5 3 2" xfId="15878" xr:uid="{92A5BF18-16AF-4F5F-B12A-566F77DE4742}"/>
    <cellStyle name="Normal 9 5 2 5 3 3" xfId="24325" xr:uid="{6EC51510-906F-44F7-84EC-4CBA06EB7933}"/>
    <cellStyle name="Normal 9 5 2 5 3 4" xfId="32772" xr:uid="{AD674BA0-E02B-4031-BBD1-995F3FD4E66C}"/>
    <cellStyle name="Normal 9 5 2 5 4" xfId="11661" xr:uid="{0DF1C811-9D75-438A-AE72-1F16897DDA44}"/>
    <cellStyle name="Normal 9 5 2 5 5" xfId="20108" xr:uid="{9B255EB0-8EB4-442B-BFA3-54DF0FD3F5AD}"/>
    <cellStyle name="Normal 9 5 2 5 6" xfId="28555" xr:uid="{57D054E1-4E03-4A9D-A9E9-556B715965CC}"/>
    <cellStyle name="Normal 9 5 2 6" xfId="2682" xr:uid="{00000000-0005-0000-0000-00005C200000}"/>
    <cellStyle name="Normal 9 5 2 6 2" xfId="6965" xr:uid="{00000000-0005-0000-0000-00005D200000}"/>
    <cellStyle name="Normal 9 5 2 6 2 2" xfId="16291" xr:uid="{760AB0AA-F022-4617-8F9F-C8E3F76F11D9}"/>
    <cellStyle name="Normal 9 5 2 6 2 3" xfId="24738" xr:uid="{09E3A0D4-081A-474D-901A-E0A15987B155}"/>
    <cellStyle name="Normal 9 5 2 6 2 4" xfId="33185" xr:uid="{5CFA6840-12E0-4EE4-99A1-E4814C10010D}"/>
    <cellStyle name="Normal 9 5 2 6 3" xfId="12074" xr:uid="{25FCC72D-DF8E-4925-BFD8-182F08B1E7FE}"/>
    <cellStyle name="Normal 9 5 2 6 4" xfId="20521" xr:uid="{BDA0DF87-D7AC-4322-8513-0DAFDC3C6ADC}"/>
    <cellStyle name="Normal 9 5 2 6 5" xfId="28968" xr:uid="{C5D86D86-D57C-4C80-A0E0-C3FF2BF62056}"/>
    <cellStyle name="Normal 9 5 2 7" xfId="4900" xr:uid="{00000000-0005-0000-0000-00005E200000}"/>
    <cellStyle name="Normal 9 5 2 7 2" xfId="14226" xr:uid="{7A6E6E5C-0352-4A4E-B2A4-70DECCBA1DBD}"/>
    <cellStyle name="Normal 9 5 2 7 3" xfId="22673" xr:uid="{F4444FB4-4B2F-45C5-B8AF-80B617492738}"/>
    <cellStyle name="Normal 9 5 2 7 4" xfId="31120" xr:uid="{1E4696D7-0DD2-45BE-80B8-EC7BEB7B3723}"/>
    <cellStyle name="Normal 9 5 2 8" xfId="9055" xr:uid="{3DD071E2-A4B3-45E3-9F20-3C2D5AEE5CB2}"/>
    <cellStyle name="Normal 9 5 2 9" xfId="10009" xr:uid="{44B1C01B-5A28-46EC-8B51-E9C9DA56F8A4}"/>
    <cellStyle name="Normal 9 5 3" xfId="1003" xr:uid="{00000000-0005-0000-0000-00005F200000}"/>
    <cellStyle name="Normal 9 5 3 2" xfId="3235" xr:uid="{00000000-0005-0000-0000-000060200000}"/>
    <cellStyle name="Normal 9 5 3 2 2" xfId="7457" xr:uid="{00000000-0005-0000-0000-000061200000}"/>
    <cellStyle name="Normal 9 5 3 2 2 2" xfId="16783" xr:uid="{97E4B82F-EE50-45E4-B9D6-04872CB29FD9}"/>
    <cellStyle name="Normal 9 5 3 2 2 3" xfId="25230" xr:uid="{A558C7DF-FF3F-47D8-B4E4-1A9163CD0D4F}"/>
    <cellStyle name="Normal 9 5 3 2 2 4" xfId="33677" xr:uid="{99EB1A4C-A9A6-4DFD-88C7-5D402688FA9D}"/>
    <cellStyle name="Normal 9 5 3 2 3" xfId="12566" xr:uid="{3A693098-E30F-4E2A-BCCD-6AE46FDA689C}"/>
    <cellStyle name="Normal 9 5 3 2 4" xfId="21013" xr:uid="{005D1773-F7A5-40E6-A4A9-1E8AD708C46E}"/>
    <cellStyle name="Normal 9 5 3 2 5" xfId="29460" xr:uid="{7B1977E6-359B-455B-8A82-0DC99DB2DF60}"/>
    <cellStyle name="Normal 9 5 3 3" xfId="5312" xr:uid="{00000000-0005-0000-0000-000062200000}"/>
    <cellStyle name="Normal 9 5 3 3 2" xfId="14638" xr:uid="{3CA7A654-2F5C-4B6F-A1F8-53CED653083A}"/>
    <cellStyle name="Normal 9 5 3 3 3" xfId="23085" xr:uid="{2E6C7756-2892-4AF3-A733-9189BF34A504}"/>
    <cellStyle name="Normal 9 5 3 3 4" xfId="31532" xr:uid="{30FBEF24-161A-4231-B986-C20635BD3B14}"/>
    <cellStyle name="Normal 9 5 3 4" xfId="9273" xr:uid="{AE6CB61B-02C5-436E-A328-3B2AC8AC9E53}"/>
    <cellStyle name="Normal 9 5 3 5" xfId="10421" xr:uid="{EE6E9A70-1946-4EF6-9E9D-2351CCBDF662}"/>
    <cellStyle name="Normal 9 5 3 6" xfId="18868" xr:uid="{6E3CE66D-651A-4B1B-9C86-83D16EBA57F2}"/>
    <cellStyle name="Normal 9 5 3 7" xfId="27315" xr:uid="{3AC59493-05CD-4186-8098-2ABD3173AAA6}"/>
    <cellStyle name="Normal 9 5 4" xfId="1418" xr:uid="{00000000-0005-0000-0000-000063200000}"/>
    <cellStyle name="Normal 9 5 4 2" xfId="3648" xr:uid="{00000000-0005-0000-0000-000064200000}"/>
    <cellStyle name="Normal 9 5 4 2 2" xfId="7870" xr:uid="{00000000-0005-0000-0000-000065200000}"/>
    <cellStyle name="Normal 9 5 4 2 2 2" xfId="17196" xr:uid="{2862C4A7-CCB3-447A-AFA4-BE195E974CC1}"/>
    <cellStyle name="Normal 9 5 4 2 2 3" xfId="25643" xr:uid="{206C314E-8A91-410E-97D1-E4ADEF137191}"/>
    <cellStyle name="Normal 9 5 4 2 2 4" xfId="34090" xr:uid="{0F1ADA1B-7375-495A-B5E2-D607C3389B51}"/>
    <cellStyle name="Normal 9 5 4 2 3" xfId="12979" xr:uid="{FB6C6AE6-9CD7-4961-B51E-C13C89F04D07}"/>
    <cellStyle name="Normal 9 5 4 2 4" xfId="21426" xr:uid="{AAD3802A-C117-459D-99B5-C6FCF7EDE258}"/>
    <cellStyle name="Normal 9 5 4 2 5" xfId="29873" xr:uid="{2E6819BC-9796-4B00-B874-157AFCE0E94F}"/>
    <cellStyle name="Normal 9 5 4 3" xfId="5725" xr:uid="{00000000-0005-0000-0000-000066200000}"/>
    <cellStyle name="Normal 9 5 4 3 2" xfId="15051" xr:uid="{DA613839-207A-4D06-A814-8D4CCE21F13F}"/>
    <cellStyle name="Normal 9 5 4 3 3" xfId="23498" xr:uid="{92474F76-7DCC-464B-95F1-7C678305C5BD}"/>
    <cellStyle name="Normal 9 5 4 3 4" xfId="31945" xr:uid="{02BD0BEC-8DA1-4AEB-A572-AA28669F4464}"/>
    <cellStyle name="Normal 9 5 4 4" xfId="10834" xr:uid="{8F07984E-3843-4F50-8104-24072FBBDC1E}"/>
    <cellStyle name="Normal 9 5 4 5" xfId="19281" xr:uid="{77A22821-29B4-494F-9120-A00D6C79A7BF}"/>
    <cellStyle name="Normal 9 5 4 6" xfId="27728" xr:uid="{2D7E6522-C91B-4BF8-8830-D294D3903B7F}"/>
    <cellStyle name="Normal 9 5 5" xfId="1831" xr:uid="{00000000-0005-0000-0000-000067200000}"/>
    <cellStyle name="Normal 9 5 5 2" xfId="4061" xr:uid="{00000000-0005-0000-0000-000068200000}"/>
    <cellStyle name="Normal 9 5 5 2 2" xfId="8283" xr:uid="{00000000-0005-0000-0000-000069200000}"/>
    <cellStyle name="Normal 9 5 5 2 2 2" xfId="17609" xr:uid="{1F0A005E-C19C-4043-868F-4D60E42EE03F}"/>
    <cellStyle name="Normal 9 5 5 2 2 3" xfId="26056" xr:uid="{210E6E2C-A01E-46A0-A02A-234018969BC6}"/>
    <cellStyle name="Normal 9 5 5 2 2 4" xfId="34503" xr:uid="{98C7B480-92E5-4892-9957-BED2DA4D1541}"/>
    <cellStyle name="Normal 9 5 5 2 3" xfId="13392" xr:uid="{2CD22D3E-4BC3-488D-AE61-6D0D8BC9DF2B}"/>
    <cellStyle name="Normal 9 5 5 2 4" xfId="21839" xr:uid="{709330B8-CB1C-47E0-BBE0-D43B5221FF21}"/>
    <cellStyle name="Normal 9 5 5 2 5" xfId="30286" xr:uid="{81EB7B85-C9AF-4994-A7B8-8E8D9920578A}"/>
    <cellStyle name="Normal 9 5 5 3" xfId="6138" xr:uid="{00000000-0005-0000-0000-00006A200000}"/>
    <cellStyle name="Normal 9 5 5 3 2" xfId="15464" xr:uid="{9189EEAD-E3A1-4CB3-B049-184DE240AEF4}"/>
    <cellStyle name="Normal 9 5 5 3 3" xfId="23911" xr:uid="{22D218B9-53C2-4D01-ADAC-68565DA3B397}"/>
    <cellStyle name="Normal 9 5 5 3 4" xfId="32358" xr:uid="{55905851-2B90-4CE9-856A-D15A4648D650}"/>
    <cellStyle name="Normal 9 5 5 4" xfId="11247" xr:uid="{BA53F613-4D3B-449C-9778-8E63E5C63981}"/>
    <cellStyle name="Normal 9 5 5 5" xfId="19694" xr:uid="{670C9725-9384-42E5-9CEB-A55373512FF1}"/>
    <cellStyle name="Normal 9 5 5 6" xfId="28141" xr:uid="{4F508BC5-31FF-4594-B69B-420ADABD858E}"/>
    <cellStyle name="Normal 9 5 6" xfId="2245" xr:uid="{00000000-0005-0000-0000-00006B200000}"/>
    <cellStyle name="Normal 9 5 6 2" xfId="4474" xr:uid="{00000000-0005-0000-0000-00006C200000}"/>
    <cellStyle name="Normal 9 5 6 2 2" xfId="8696" xr:uid="{00000000-0005-0000-0000-00006D200000}"/>
    <cellStyle name="Normal 9 5 6 2 2 2" xfId="18022" xr:uid="{D4910542-7C9D-4993-A846-E6967FEE5334}"/>
    <cellStyle name="Normal 9 5 6 2 2 3" xfId="26469" xr:uid="{C57D2EF2-5B6F-4A4A-8D9A-1D7F687A3CE6}"/>
    <cellStyle name="Normal 9 5 6 2 2 4" xfId="34916" xr:uid="{9AF81584-A6EC-4B22-968C-429091CE7EAB}"/>
    <cellStyle name="Normal 9 5 6 2 3" xfId="13805" xr:uid="{B6DE163E-D47E-4AB1-8FB4-3031A0011D01}"/>
    <cellStyle name="Normal 9 5 6 2 4" xfId="22252" xr:uid="{6BCBE134-CC7B-428D-A6C2-9724797D0037}"/>
    <cellStyle name="Normal 9 5 6 2 5" xfId="30699" xr:uid="{4B545905-CEB5-48CE-A7DC-05D46BBACF4B}"/>
    <cellStyle name="Normal 9 5 6 3" xfId="6551" xr:uid="{00000000-0005-0000-0000-00006E200000}"/>
    <cellStyle name="Normal 9 5 6 3 2" xfId="15877" xr:uid="{1D5691C1-F718-44CF-B60E-FB09CA5CFC8C}"/>
    <cellStyle name="Normal 9 5 6 3 3" xfId="24324" xr:uid="{B98C3848-F41B-4E90-BB80-6C3B973CB97F}"/>
    <cellStyle name="Normal 9 5 6 3 4" xfId="32771" xr:uid="{F1303074-7681-4E5E-9516-CADA8BAD40FA}"/>
    <cellStyle name="Normal 9 5 6 4" xfId="11660" xr:uid="{EF4A1658-6A51-452A-8745-672CCC1002FE}"/>
    <cellStyle name="Normal 9 5 6 5" xfId="20107" xr:uid="{39FF7D22-0764-4781-879E-DD368B71F91F}"/>
    <cellStyle name="Normal 9 5 6 6" xfId="28554" xr:uid="{26795813-9D90-46CF-B6AB-F9F038917FC7}"/>
    <cellStyle name="Normal 9 5 7" xfId="2681" xr:uid="{00000000-0005-0000-0000-00006F200000}"/>
    <cellStyle name="Normal 9 5 7 2" xfId="6964" xr:uid="{00000000-0005-0000-0000-000070200000}"/>
    <cellStyle name="Normal 9 5 7 2 2" xfId="16290" xr:uid="{071417EA-5E75-4734-A03D-B9D7E509C0CE}"/>
    <cellStyle name="Normal 9 5 7 2 3" xfId="24737" xr:uid="{588F6A01-200D-4D61-A6F8-871E2649D8B8}"/>
    <cellStyle name="Normal 9 5 7 2 4" xfId="33184" xr:uid="{F8D80A13-4687-4522-80A0-08D997757429}"/>
    <cellStyle name="Normal 9 5 7 3" xfId="12073" xr:uid="{CC7D8476-F909-434D-B41B-B29C17ACDF3A}"/>
    <cellStyle name="Normal 9 5 7 4" xfId="20520" xr:uid="{00D5AD86-8F1B-4E78-A489-869EF3298CD5}"/>
    <cellStyle name="Normal 9 5 7 5" xfId="28967" xr:uid="{F22D4332-D201-4B71-89ED-1A094E7CDD29}"/>
    <cellStyle name="Normal 9 5 8" xfId="4899" xr:uid="{00000000-0005-0000-0000-000071200000}"/>
    <cellStyle name="Normal 9 5 8 2" xfId="14225" xr:uid="{5305789C-7AA4-4C23-9782-5954E80ABC84}"/>
    <cellStyle name="Normal 9 5 8 3" xfId="22672" xr:uid="{EC9EBB1F-5000-4B76-A858-1574168A61DD}"/>
    <cellStyle name="Normal 9 5 8 4" xfId="31119" xr:uid="{596F77A5-1DB6-4DF0-9C80-5500E910B7C1}"/>
    <cellStyle name="Normal 9 5 9" xfId="8848" xr:uid="{B1BE5F70-14E5-42B6-9EBA-D267F3B60A08}"/>
    <cellStyle name="Normal 9 6" xfId="538" xr:uid="{00000000-0005-0000-0000-000072200000}"/>
    <cellStyle name="Normal 9 6 10" xfId="18457" xr:uid="{73243D27-4CFF-4078-8D0A-FA10148AB840}"/>
    <cellStyle name="Normal 9 6 11" xfId="26904" xr:uid="{E0DB11A8-C38A-44B5-8178-F2E9400420A4}"/>
    <cellStyle name="Normal 9 6 2" xfId="1005" xr:uid="{00000000-0005-0000-0000-000073200000}"/>
    <cellStyle name="Normal 9 6 2 2" xfId="3237" xr:uid="{00000000-0005-0000-0000-000074200000}"/>
    <cellStyle name="Normal 9 6 2 2 2" xfId="7459" xr:uid="{00000000-0005-0000-0000-000075200000}"/>
    <cellStyle name="Normal 9 6 2 2 2 2" xfId="16785" xr:uid="{005831EA-B3DA-40B9-BEF0-12132F18F229}"/>
    <cellStyle name="Normal 9 6 2 2 2 3" xfId="25232" xr:uid="{DAFAE3A2-58D3-4053-B06A-1BBE9878BB4B}"/>
    <cellStyle name="Normal 9 6 2 2 2 4" xfId="33679" xr:uid="{FBF8E966-500A-4B74-BF49-F383773457DB}"/>
    <cellStyle name="Normal 9 6 2 2 3" xfId="12568" xr:uid="{A2E91ADF-8F49-4E6A-B005-75590A262B2C}"/>
    <cellStyle name="Normal 9 6 2 2 4" xfId="21015" xr:uid="{ED302C88-7D49-48A3-AF91-3505A2841AE7}"/>
    <cellStyle name="Normal 9 6 2 2 5" xfId="29462" xr:uid="{5673C239-45FD-40D0-B61E-30B23E3E0F4A}"/>
    <cellStyle name="Normal 9 6 2 3" xfId="5314" xr:uid="{00000000-0005-0000-0000-000076200000}"/>
    <cellStyle name="Normal 9 6 2 3 2" xfId="14640" xr:uid="{04924C4A-F19B-46D3-9D67-E3E627F844E6}"/>
    <cellStyle name="Normal 9 6 2 3 3" xfId="23087" xr:uid="{F228AF7C-66CB-4559-AFBD-137FC6013120}"/>
    <cellStyle name="Normal 9 6 2 3 4" xfId="31534" xr:uid="{BACFE6A8-0F41-4951-8E7A-061047764B15}"/>
    <cellStyle name="Normal 9 6 2 4" xfId="9389" xr:uid="{2A0458F6-466A-4C3B-BA39-FF09FD770FDD}"/>
    <cellStyle name="Normal 9 6 2 5" xfId="10423" xr:uid="{CC01632E-26F9-4C15-8045-AE0183BD3A64}"/>
    <cellStyle name="Normal 9 6 2 6" xfId="18870" xr:uid="{248D4D1A-52B9-4AE9-B08B-565D4347B2E4}"/>
    <cellStyle name="Normal 9 6 2 7" xfId="27317" xr:uid="{641FCA53-F0CC-4635-982C-4038CFED4C6F}"/>
    <cellStyle name="Normal 9 6 3" xfId="1420" xr:uid="{00000000-0005-0000-0000-000077200000}"/>
    <cellStyle name="Normal 9 6 3 2" xfId="3650" xr:uid="{00000000-0005-0000-0000-000078200000}"/>
    <cellStyle name="Normal 9 6 3 2 2" xfId="7872" xr:uid="{00000000-0005-0000-0000-000079200000}"/>
    <cellStyle name="Normal 9 6 3 2 2 2" xfId="17198" xr:uid="{846C7EA4-6998-4F50-97CE-41ABF9BE4416}"/>
    <cellStyle name="Normal 9 6 3 2 2 3" xfId="25645" xr:uid="{5E246300-B67B-42F8-99E5-77A85871BB85}"/>
    <cellStyle name="Normal 9 6 3 2 2 4" xfId="34092" xr:uid="{EF85D664-0586-4F41-9972-B9C10854FB9A}"/>
    <cellStyle name="Normal 9 6 3 2 3" xfId="12981" xr:uid="{98827D1E-0421-469B-A1E6-778F1AB4DCAF}"/>
    <cellStyle name="Normal 9 6 3 2 4" xfId="21428" xr:uid="{E71B4EEA-56F5-4E66-ADC1-71BE981FF4A0}"/>
    <cellStyle name="Normal 9 6 3 2 5" xfId="29875" xr:uid="{BBC299B6-F1D8-4418-951B-3910B854FC33}"/>
    <cellStyle name="Normal 9 6 3 3" xfId="5727" xr:uid="{00000000-0005-0000-0000-00007A200000}"/>
    <cellStyle name="Normal 9 6 3 3 2" xfId="15053" xr:uid="{9AFC06A8-F936-47CE-8721-117DF7C43CD6}"/>
    <cellStyle name="Normal 9 6 3 3 3" xfId="23500" xr:uid="{9EE5A15F-2330-465B-BA1A-FCAF1572C7AF}"/>
    <cellStyle name="Normal 9 6 3 3 4" xfId="31947" xr:uid="{785A4B53-6FE2-4298-AE6E-44210A48FDF4}"/>
    <cellStyle name="Normal 9 6 3 4" xfId="10836" xr:uid="{3D77116C-49AA-4A05-8B02-BB4986EC034A}"/>
    <cellStyle name="Normal 9 6 3 5" xfId="19283" xr:uid="{2DE2B9BC-8141-43B5-B1DB-F7FE628E8096}"/>
    <cellStyle name="Normal 9 6 3 6" xfId="27730" xr:uid="{B67E8C2B-44FF-4AEE-AD0F-66241221D66F}"/>
    <cellStyle name="Normal 9 6 4" xfId="1833" xr:uid="{00000000-0005-0000-0000-00007B200000}"/>
    <cellStyle name="Normal 9 6 4 2" xfId="4063" xr:uid="{00000000-0005-0000-0000-00007C200000}"/>
    <cellStyle name="Normal 9 6 4 2 2" xfId="8285" xr:uid="{00000000-0005-0000-0000-00007D200000}"/>
    <cellStyle name="Normal 9 6 4 2 2 2" xfId="17611" xr:uid="{DF062C05-9D43-4B76-BEA2-BC9697717684}"/>
    <cellStyle name="Normal 9 6 4 2 2 3" xfId="26058" xr:uid="{1286E117-0034-4C99-84BC-6F8F956E6A5D}"/>
    <cellStyle name="Normal 9 6 4 2 2 4" xfId="34505" xr:uid="{A194233E-0A5A-4442-B720-EB07173A719F}"/>
    <cellStyle name="Normal 9 6 4 2 3" xfId="13394" xr:uid="{C5A59F69-51FB-4726-B922-FFBA430AC230}"/>
    <cellStyle name="Normal 9 6 4 2 4" xfId="21841" xr:uid="{0DA3D1E5-683C-4FDF-A7A8-BC2EFEAD52F6}"/>
    <cellStyle name="Normal 9 6 4 2 5" xfId="30288" xr:uid="{C7C3F046-85E3-4008-9EEB-C181FFDE17FA}"/>
    <cellStyle name="Normal 9 6 4 3" xfId="6140" xr:uid="{00000000-0005-0000-0000-00007E200000}"/>
    <cellStyle name="Normal 9 6 4 3 2" xfId="15466" xr:uid="{A251E891-B094-4EA3-8500-055D2105D5CB}"/>
    <cellStyle name="Normal 9 6 4 3 3" xfId="23913" xr:uid="{092FB0FB-F15D-4EA6-9868-E64629EFBB3D}"/>
    <cellStyle name="Normal 9 6 4 3 4" xfId="32360" xr:uid="{89989CA3-1783-4A07-AAFD-7802B9ADFF39}"/>
    <cellStyle name="Normal 9 6 4 4" xfId="11249" xr:uid="{1A1EDD21-5B2D-457B-B12C-764D61896FD3}"/>
    <cellStyle name="Normal 9 6 4 5" xfId="19696" xr:uid="{DEE38AB2-93FE-458C-A473-7FA9C67E69E8}"/>
    <cellStyle name="Normal 9 6 4 6" xfId="28143" xr:uid="{FFA525BC-FA17-4AE9-9F5F-36F1D71C3945}"/>
    <cellStyle name="Normal 9 6 5" xfId="2247" xr:uid="{00000000-0005-0000-0000-00007F200000}"/>
    <cellStyle name="Normal 9 6 5 2" xfId="4476" xr:uid="{00000000-0005-0000-0000-000080200000}"/>
    <cellStyle name="Normal 9 6 5 2 2" xfId="8698" xr:uid="{00000000-0005-0000-0000-000081200000}"/>
    <cellStyle name="Normal 9 6 5 2 2 2" xfId="18024" xr:uid="{4B850C8E-9ECD-4D6A-8372-04F9FA40942B}"/>
    <cellStyle name="Normal 9 6 5 2 2 3" xfId="26471" xr:uid="{CBC1EA81-7BFB-469F-B767-005A35D7718A}"/>
    <cellStyle name="Normal 9 6 5 2 2 4" xfId="34918" xr:uid="{1A3761DD-6390-47C2-AE04-E8F8D471E3DD}"/>
    <cellStyle name="Normal 9 6 5 2 3" xfId="13807" xr:uid="{AF162604-FF3F-4934-A940-ED0E3D7A8CB6}"/>
    <cellStyle name="Normal 9 6 5 2 4" xfId="22254" xr:uid="{79F7687D-326D-4B12-B41D-7B5BBAE0247A}"/>
    <cellStyle name="Normal 9 6 5 2 5" xfId="30701" xr:uid="{7451262C-C294-40C1-BB09-9D20482D539A}"/>
    <cellStyle name="Normal 9 6 5 3" xfId="6553" xr:uid="{00000000-0005-0000-0000-000082200000}"/>
    <cellStyle name="Normal 9 6 5 3 2" xfId="15879" xr:uid="{05D1795C-220F-4408-B238-C2E72DBA1E10}"/>
    <cellStyle name="Normal 9 6 5 3 3" xfId="24326" xr:uid="{385C6879-9197-41BA-A770-F0984DFD2C43}"/>
    <cellStyle name="Normal 9 6 5 3 4" xfId="32773" xr:uid="{3B5DDE84-4A46-47A0-B58E-3266565A2480}"/>
    <cellStyle name="Normal 9 6 5 4" xfId="11662" xr:uid="{199A5DC9-87E3-49ED-ADAA-B9B7C2CD0058}"/>
    <cellStyle name="Normal 9 6 5 5" xfId="20109" xr:uid="{7DF13441-9F60-45DC-B1AC-EB39501F9B9A}"/>
    <cellStyle name="Normal 9 6 5 6" xfId="28556" xr:uid="{97729AF2-1EBC-4A6A-9F98-4E9E5E151BBD}"/>
    <cellStyle name="Normal 9 6 6" xfId="2683" xr:uid="{00000000-0005-0000-0000-000083200000}"/>
    <cellStyle name="Normal 9 6 6 2" xfId="6966" xr:uid="{00000000-0005-0000-0000-000084200000}"/>
    <cellStyle name="Normal 9 6 6 2 2" xfId="16292" xr:uid="{7163E781-1F7E-46B1-B877-C76ECD7655AC}"/>
    <cellStyle name="Normal 9 6 6 2 3" xfId="24739" xr:uid="{E720564D-9B2F-447F-8926-3671E90032E8}"/>
    <cellStyle name="Normal 9 6 6 2 4" xfId="33186" xr:uid="{93954202-AEFC-47A6-A980-783030EF48ED}"/>
    <cellStyle name="Normal 9 6 6 3" xfId="12075" xr:uid="{DCD2233E-DA95-4F3A-9C5D-3AB2A47BA7C1}"/>
    <cellStyle name="Normal 9 6 6 4" xfId="20522" xr:uid="{DDF099C0-AF4C-4E74-8C9B-3B9851B275AD}"/>
    <cellStyle name="Normal 9 6 6 5" xfId="28969" xr:uid="{3D13D48A-0E1B-4D5A-9294-4A047F7A85BE}"/>
    <cellStyle name="Normal 9 6 7" xfId="4901" xr:uid="{00000000-0005-0000-0000-000085200000}"/>
    <cellStyle name="Normal 9 6 7 2" xfId="14227" xr:uid="{9B47D1BD-2C2D-4A86-8C62-685ADE5071E4}"/>
    <cellStyle name="Normal 9 6 7 3" xfId="22674" xr:uid="{CBDAA7EE-494E-49FE-9C65-DAD596864D80}"/>
    <cellStyle name="Normal 9 6 7 4" xfId="31121" xr:uid="{4A2781F4-2C11-46DB-A1E6-9C1D4221BD6B}"/>
    <cellStyle name="Normal 9 6 8" xfId="8964" xr:uid="{9BBC9C46-7A3A-4BC9-9542-DC33DFA165C2}"/>
    <cellStyle name="Normal 9 6 9" xfId="10010" xr:uid="{1CCED2E3-8EA3-4D29-8A0B-4E7E27AFDC8F}"/>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16373" xr:uid="{0F0401F2-949D-4E23-8BA9-21E5AFDEE386}"/>
    <cellStyle name="Note 2 2 10 2 3" xfId="24820" xr:uid="{2BE418DD-2D92-4F58-A001-88C28633FEE8}"/>
    <cellStyle name="Note 2 2 10 2 4" xfId="33267" xr:uid="{97AD1F5F-7E39-46F4-A269-216E84283DBB}"/>
    <cellStyle name="Note 2 2 10 3" xfId="12156" xr:uid="{1A6EFA61-86EA-4326-AEF0-7B053A13D824}"/>
    <cellStyle name="Note 2 2 10 4" xfId="20603" xr:uid="{DD6CDCA6-218A-4061-A5C0-D49979969810}"/>
    <cellStyle name="Note 2 2 10 5" xfId="29050" xr:uid="{0343C7FB-08C9-462F-8827-048F3B73015F}"/>
    <cellStyle name="Note 2 2 11" xfId="4902" xr:uid="{00000000-0005-0000-0000-000094200000}"/>
    <cellStyle name="Note 2 2 11 2" xfId="14228" xr:uid="{4F4274F4-1589-4788-9EE2-3FAF7B871820}"/>
    <cellStyle name="Note 2 2 11 3" xfId="22675" xr:uid="{63F398CA-20E2-4EAB-A8D4-D485F5EA5BD3}"/>
    <cellStyle name="Note 2 2 11 4" xfId="31122" xr:uid="{C2D596F9-4FDF-40C6-A4E8-1BEF69437206}"/>
    <cellStyle name="Note 2 2 12" xfId="8841" xr:uid="{E94E1FD8-31C4-4718-9658-C7A587CBF323}"/>
    <cellStyle name="Note 2 2 13" xfId="10011" xr:uid="{FD749F12-3471-4A0A-9FAB-232783D5E12E}"/>
    <cellStyle name="Note 2 2 14" xfId="18458" xr:uid="{6ABAE1FE-1231-4EAE-BF60-E01469B3732F}"/>
    <cellStyle name="Note 2 2 15" xfId="26905" xr:uid="{6E6A25BC-F44F-46E8-AF49-C9C61D19D76C}"/>
    <cellStyle name="Note 2 2 2" xfId="546" xr:uid="{00000000-0005-0000-0000-000095200000}"/>
    <cellStyle name="Note 2 2 2 10" xfId="4903" xr:uid="{00000000-0005-0000-0000-000096200000}"/>
    <cellStyle name="Note 2 2 2 10 2" xfId="14229" xr:uid="{83601279-576C-4F8F-8BFA-29CCBCF4966E}"/>
    <cellStyle name="Note 2 2 2 10 3" xfId="22676" xr:uid="{6DD2D429-E83F-422A-B49D-E8029FFC241E}"/>
    <cellStyle name="Note 2 2 2 10 4" xfId="31123" xr:uid="{B36EECAE-4106-4CD9-BB68-9F2A88F314F1}"/>
    <cellStyle name="Note 2 2 2 11" xfId="8944" xr:uid="{B75A3404-A4A3-41D6-B6C3-54560C6DD592}"/>
    <cellStyle name="Note 2 2 2 12" xfId="10012" xr:uid="{15B60DCF-EEC7-49A5-91AB-EDE4AAD4472E}"/>
    <cellStyle name="Note 2 2 2 13" xfId="18459" xr:uid="{1194F3ED-3E15-40F7-9B9C-8780A69D9DB9}"/>
    <cellStyle name="Note 2 2 2 14" xfId="26906" xr:uid="{7CFA8905-0108-4890-981B-65B0EAA3E45E}"/>
    <cellStyle name="Note 2 2 2 2" xfId="547" xr:uid="{00000000-0005-0000-0000-000097200000}"/>
    <cellStyle name="Note 2 2 2 2 10" xfId="9151" xr:uid="{DE810DD8-00EC-4339-9CFC-C84D5E182971}"/>
    <cellStyle name="Note 2 2 2 2 11" xfId="10013" xr:uid="{F84E2CEC-3E4E-41D7-A718-766BE7E73201}"/>
    <cellStyle name="Note 2 2 2 2 12" xfId="18460" xr:uid="{BD298472-0E54-4A48-90AD-68A9B5901DF5}"/>
    <cellStyle name="Note 2 2 2 2 13" xfId="26907" xr:uid="{C4660FB1-6AB0-44B0-9DDC-AC90046205F8}"/>
    <cellStyle name="Note 2 2 2 2 2" xfId="1008" xr:uid="{00000000-0005-0000-0000-000098200000}"/>
    <cellStyle name="Note 2 2 2 2 2 2" xfId="3240" xr:uid="{00000000-0005-0000-0000-000099200000}"/>
    <cellStyle name="Note 2 2 2 2 2 2 2" xfId="7462" xr:uid="{00000000-0005-0000-0000-00009A200000}"/>
    <cellStyle name="Note 2 2 2 2 2 2 2 2" xfId="16788" xr:uid="{7A02E80A-73C4-415D-98BF-F96D7DA6AAEE}"/>
    <cellStyle name="Note 2 2 2 2 2 2 2 3" xfId="25235" xr:uid="{2B43BC9F-F727-4A4D-9766-CE085049C1B0}"/>
    <cellStyle name="Note 2 2 2 2 2 2 2 4" xfId="33682" xr:uid="{2F85FCF4-6C3A-4781-A0FD-D3BC4BEF8CC0}"/>
    <cellStyle name="Note 2 2 2 2 2 2 3" xfId="12571" xr:uid="{BED11C29-7602-42D2-98B9-73783F93BCBC}"/>
    <cellStyle name="Note 2 2 2 2 2 2 4" xfId="21018" xr:uid="{5DA04097-0F1C-47D4-ACEA-D5F24777D3A8}"/>
    <cellStyle name="Note 2 2 2 2 2 2 5" xfId="29465" xr:uid="{FD5FF3DB-F825-4409-8C7A-BB758FDE00F3}"/>
    <cellStyle name="Note 2 2 2 2 2 3" xfId="5317" xr:uid="{00000000-0005-0000-0000-00009B200000}"/>
    <cellStyle name="Note 2 2 2 2 2 3 2" xfId="14643" xr:uid="{59169F62-2A4D-463B-B573-72202AF05A10}"/>
    <cellStyle name="Note 2 2 2 2 2 3 3" xfId="23090" xr:uid="{C901CDA5-C372-49F7-9B1E-FCEFD83876AD}"/>
    <cellStyle name="Note 2 2 2 2 2 3 4" xfId="31537" xr:uid="{299C6042-1030-4094-A6DC-CFE2455CCDCA}"/>
    <cellStyle name="Note 2 2 2 2 2 4" xfId="9576" xr:uid="{375E296C-598F-454E-B7C4-9E851CE02ED2}"/>
    <cellStyle name="Note 2 2 2 2 2 5" xfId="10426" xr:uid="{D1CB8AF5-267E-4EE8-ADD3-2A38C3522ACE}"/>
    <cellStyle name="Note 2 2 2 2 2 6" xfId="18873" xr:uid="{A2BA1189-471B-4210-A6CC-268655AD8231}"/>
    <cellStyle name="Note 2 2 2 2 2 7" xfId="27320" xr:uid="{B75FAF1E-53AA-4871-8C97-46E56F67726D}"/>
    <cellStyle name="Note 2 2 2 2 3" xfId="1423" xr:uid="{00000000-0005-0000-0000-00009C200000}"/>
    <cellStyle name="Note 2 2 2 2 3 2" xfId="3653" xr:uid="{00000000-0005-0000-0000-00009D200000}"/>
    <cellStyle name="Note 2 2 2 2 3 2 2" xfId="7875" xr:uid="{00000000-0005-0000-0000-00009E200000}"/>
    <cellStyle name="Note 2 2 2 2 3 2 2 2" xfId="17201" xr:uid="{92096588-AFB3-41B2-AEDA-54B6F4DED2DB}"/>
    <cellStyle name="Note 2 2 2 2 3 2 2 3" xfId="25648" xr:uid="{28327E9A-F8B1-4C8F-9E3B-C7EDFB46D52E}"/>
    <cellStyle name="Note 2 2 2 2 3 2 2 4" xfId="34095" xr:uid="{B9E08063-335E-4372-9CE2-3A7202865539}"/>
    <cellStyle name="Note 2 2 2 2 3 2 3" xfId="12984" xr:uid="{01A3B702-FD6D-4CA1-8567-5C4429CDEBF0}"/>
    <cellStyle name="Note 2 2 2 2 3 2 4" xfId="21431" xr:uid="{8559059D-45D8-4392-8CCD-0CF385176949}"/>
    <cellStyle name="Note 2 2 2 2 3 2 5" xfId="29878" xr:uid="{D481DD5B-F225-4E5F-A110-150B10B9A40D}"/>
    <cellStyle name="Note 2 2 2 2 3 3" xfId="5730" xr:uid="{00000000-0005-0000-0000-00009F200000}"/>
    <cellStyle name="Note 2 2 2 2 3 3 2" xfId="15056" xr:uid="{4394F2F3-FCD6-4F1F-B897-3B7A3DFC638C}"/>
    <cellStyle name="Note 2 2 2 2 3 3 3" xfId="23503" xr:uid="{7A613484-CF2D-41E6-AAEF-C6D71A9602EF}"/>
    <cellStyle name="Note 2 2 2 2 3 3 4" xfId="31950" xr:uid="{1042791E-9B44-4BD3-8445-EDB7A45010BA}"/>
    <cellStyle name="Note 2 2 2 2 3 4" xfId="10839" xr:uid="{A983B24B-F154-4764-853F-44B5918C3B3C}"/>
    <cellStyle name="Note 2 2 2 2 3 5" xfId="19286" xr:uid="{60F949BA-75F3-4568-8212-2F12B735EC65}"/>
    <cellStyle name="Note 2 2 2 2 3 6" xfId="27733" xr:uid="{3A0D0CB7-836C-4D3D-B0A5-41721FE9E1B6}"/>
    <cellStyle name="Note 2 2 2 2 4" xfId="1837" xr:uid="{00000000-0005-0000-0000-0000A0200000}"/>
    <cellStyle name="Note 2 2 2 2 4 2" xfId="4066" xr:uid="{00000000-0005-0000-0000-0000A1200000}"/>
    <cellStyle name="Note 2 2 2 2 4 2 2" xfId="8288" xr:uid="{00000000-0005-0000-0000-0000A2200000}"/>
    <cellStyle name="Note 2 2 2 2 4 2 2 2" xfId="17614" xr:uid="{F289BFED-077B-4B68-A378-14DB0ACFDC23}"/>
    <cellStyle name="Note 2 2 2 2 4 2 2 3" xfId="26061" xr:uid="{122107C3-6E86-4B6C-9640-0A840AA2DA7F}"/>
    <cellStyle name="Note 2 2 2 2 4 2 2 4" xfId="34508" xr:uid="{240C221F-DC81-436C-B0B7-A34B0269A2D7}"/>
    <cellStyle name="Note 2 2 2 2 4 2 3" xfId="13397" xr:uid="{7842CB1E-51A1-4F00-A4E5-A55BCB9C8896}"/>
    <cellStyle name="Note 2 2 2 2 4 2 4" xfId="21844" xr:uid="{636D9A24-F43D-4276-A56A-D0E2344DEA7D}"/>
    <cellStyle name="Note 2 2 2 2 4 2 5" xfId="30291" xr:uid="{45EB06E6-D6F8-4139-BA74-9AC357BB0D22}"/>
    <cellStyle name="Note 2 2 2 2 4 3" xfId="6143" xr:uid="{00000000-0005-0000-0000-0000A3200000}"/>
    <cellStyle name="Note 2 2 2 2 4 3 2" xfId="15469" xr:uid="{F2571B61-00B0-4F9C-B5D6-049A252F75DB}"/>
    <cellStyle name="Note 2 2 2 2 4 3 3" xfId="23916" xr:uid="{8A703EB9-243D-4C50-BF82-625343999ECD}"/>
    <cellStyle name="Note 2 2 2 2 4 3 4" xfId="32363" xr:uid="{6FF0D0F7-B396-4C49-8991-242E88CB5045}"/>
    <cellStyle name="Note 2 2 2 2 4 4" xfId="11252" xr:uid="{53CA33E2-B1C7-442A-A67A-5619042DE11F}"/>
    <cellStyle name="Note 2 2 2 2 4 5" xfId="19699" xr:uid="{49A9EE6B-7AA2-4EC1-BC14-DF5F6E591806}"/>
    <cellStyle name="Note 2 2 2 2 4 6" xfId="28146" xr:uid="{A4FFEC51-3883-466E-9148-74100E00A040}"/>
    <cellStyle name="Note 2 2 2 2 5" xfId="2250" xr:uid="{00000000-0005-0000-0000-0000A4200000}"/>
    <cellStyle name="Note 2 2 2 2 5 2" xfId="4479" xr:uid="{00000000-0005-0000-0000-0000A5200000}"/>
    <cellStyle name="Note 2 2 2 2 5 2 2" xfId="8701" xr:uid="{00000000-0005-0000-0000-0000A6200000}"/>
    <cellStyle name="Note 2 2 2 2 5 2 2 2" xfId="18027" xr:uid="{D72CD09A-EBFF-427A-A211-2E964C78CCE5}"/>
    <cellStyle name="Note 2 2 2 2 5 2 2 3" xfId="26474" xr:uid="{EEF1461C-1750-4B09-BD40-79273423E5AC}"/>
    <cellStyle name="Note 2 2 2 2 5 2 2 4" xfId="34921" xr:uid="{FE464517-01AF-43A0-A357-BFE50A38DD5D}"/>
    <cellStyle name="Note 2 2 2 2 5 2 3" xfId="13810" xr:uid="{32787CD1-9ECF-4C07-B957-6A483EF48D39}"/>
    <cellStyle name="Note 2 2 2 2 5 2 4" xfId="22257" xr:uid="{827F199F-CEBF-42E6-8CB1-B4A8E385D47C}"/>
    <cellStyle name="Note 2 2 2 2 5 2 5" xfId="30704" xr:uid="{9A69B02E-91D3-4F50-A46C-BAEF742A009E}"/>
    <cellStyle name="Note 2 2 2 2 5 3" xfId="6556" xr:uid="{00000000-0005-0000-0000-0000A7200000}"/>
    <cellStyle name="Note 2 2 2 2 5 3 2" xfId="15882" xr:uid="{DAC04767-4332-455D-9EBC-A429EA2CD2F5}"/>
    <cellStyle name="Note 2 2 2 2 5 3 3" xfId="24329" xr:uid="{1C7B0E8A-0406-42BC-9B86-5A704DC7B876}"/>
    <cellStyle name="Note 2 2 2 2 5 3 4" xfId="32776" xr:uid="{1750FBF9-3FBD-4179-8118-1D695259E286}"/>
    <cellStyle name="Note 2 2 2 2 5 4" xfId="11665" xr:uid="{F31FA03B-659B-4E83-BA89-5ABE5D79A490}"/>
    <cellStyle name="Note 2 2 2 2 5 5" xfId="20112" xr:uid="{296E628C-6F16-443F-AB95-13580CE85FE9}"/>
    <cellStyle name="Note 2 2 2 2 5 6" xfId="28559" xr:uid="{B506D9A8-4743-4068-A785-1883E9CE2A77}"/>
    <cellStyle name="Note 2 2 2 2 6" xfId="2686" xr:uid="{00000000-0005-0000-0000-0000A8200000}"/>
    <cellStyle name="Note 2 2 2 2 6 2" xfId="6969" xr:uid="{00000000-0005-0000-0000-0000A9200000}"/>
    <cellStyle name="Note 2 2 2 2 6 2 2" xfId="16295" xr:uid="{5E2CA6E7-9DE7-4A2A-8082-77C295D5C865}"/>
    <cellStyle name="Note 2 2 2 2 6 2 3" xfId="24742" xr:uid="{43D15084-3305-45B0-A150-D2ABE2ABC83E}"/>
    <cellStyle name="Note 2 2 2 2 6 2 4" xfId="33189" xr:uid="{C5EB3812-B164-42D6-AA40-DA6E21832D39}"/>
    <cellStyle name="Note 2 2 2 2 6 3" xfId="12078" xr:uid="{C2F0D52A-56DF-4853-BF4E-219A11473A73}"/>
    <cellStyle name="Note 2 2 2 2 6 4" xfId="20525" xr:uid="{BDBEA404-F43D-4D76-BEF8-FD0BE28F4886}"/>
    <cellStyle name="Note 2 2 2 2 6 5" xfId="28972" xr:uid="{3F4C52ED-FB64-4783-A098-0FCE4FE2C02D}"/>
    <cellStyle name="Note 2 2 2 2 7" xfId="2745" xr:uid="{00000000-0005-0000-0000-0000AA200000}"/>
    <cellStyle name="Note 2 2 2 2 8" xfId="2826" xr:uid="{00000000-0005-0000-0000-0000AB200000}"/>
    <cellStyle name="Note 2 2 2 2 8 2" xfId="7049" xr:uid="{00000000-0005-0000-0000-0000AC200000}"/>
    <cellStyle name="Note 2 2 2 2 8 2 2" xfId="16375" xr:uid="{899C985D-408E-478A-8DFC-3D786AC5BEE9}"/>
    <cellStyle name="Note 2 2 2 2 8 2 3" xfId="24822" xr:uid="{7D02C34A-0861-4225-AB5C-2EEC2E922BF7}"/>
    <cellStyle name="Note 2 2 2 2 8 2 4" xfId="33269" xr:uid="{D5215AB6-194A-4E9B-B82B-CB67DABC887F}"/>
    <cellStyle name="Note 2 2 2 2 8 3" xfId="12158" xr:uid="{DAD42E61-5CDA-4D89-B08D-24EC86516D92}"/>
    <cellStyle name="Note 2 2 2 2 8 4" xfId="20605" xr:uid="{793CB955-A134-4C64-95A5-874DB3F9679F}"/>
    <cellStyle name="Note 2 2 2 2 8 5" xfId="29052" xr:uid="{81FDB8A6-8F26-4985-819B-823052E6ED06}"/>
    <cellStyle name="Note 2 2 2 2 9" xfId="4904" xr:uid="{00000000-0005-0000-0000-0000AD200000}"/>
    <cellStyle name="Note 2 2 2 2 9 2" xfId="14230" xr:uid="{65ABCA73-EE62-4287-A3AD-0A506957B8E0}"/>
    <cellStyle name="Note 2 2 2 2 9 3" xfId="22677" xr:uid="{E5D88A69-1ACD-4374-A84C-E5F0F602225D}"/>
    <cellStyle name="Note 2 2 2 2 9 4" xfId="31124" xr:uid="{3B18262A-502C-42A6-885C-BD746516FA08}"/>
    <cellStyle name="Note 2 2 2 3" xfId="1007" xr:uid="{00000000-0005-0000-0000-0000AE200000}"/>
    <cellStyle name="Note 2 2 2 3 2" xfId="3239" xr:uid="{00000000-0005-0000-0000-0000AF200000}"/>
    <cellStyle name="Note 2 2 2 3 2 2" xfId="7461" xr:uid="{00000000-0005-0000-0000-0000B0200000}"/>
    <cellStyle name="Note 2 2 2 3 2 2 2" xfId="16787" xr:uid="{C595A9C0-4CD0-4A70-B308-948626926645}"/>
    <cellStyle name="Note 2 2 2 3 2 2 3" xfId="25234" xr:uid="{8175F52D-8743-433A-B6E3-4E31EE44FA87}"/>
    <cellStyle name="Note 2 2 2 3 2 2 4" xfId="33681" xr:uid="{72F3F796-3617-4B3A-B5FC-7D5D8AE5347E}"/>
    <cellStyle name="Note 2 2 2 3 2 3" xfId="12570" xr:uid="{3CF73C2D-3020-4C3B-AAEE-F08ADE4088EC}"/>
    <cellStyle name="Note 2 2 2 3 2 4" xfId="21017" xr:uid="{05F39DF0-C6B3-4961-ACAA-3C679759EAF7}"/>
    <cellStyle name="Note 2 2 2 3 2 5" xfId="29464" xr:uid="{00BA19F3-EBCB-4E9A-BB44-1B46A0715C7B}"/>
    <cellStyle name="Note 2 2 2 3 3" xfId="5316" xr:uid="{00000000-0005-0000-0000-0000B1200000}"/>
    <cellStyle name="Note 2 2 2 3 3 2" xfId="14642" xr:uid="{B1BAEBD8-8D9E-43B6-88EE-097965A706AD}"/>
    <cellStyle name="Note 2 2 2 3 3 3" xfId="23089" xr:uid="{1FA156AB-7AAC-4382-8814-3FEE39FFC471}"/>
    <cellStyle name="Note 2 2 2 3 3 4" xfId="31536" xr:uid="{49168BA2-AF63-48A0-9CE9-C7C108F107CE}"/>
    <cellStyle name="Note 2 2 2 3 4" xfId="9369" xr:uid="{37FCA23B-964B-404F-A343-B489211FDCDC}"/>
    <cellStyle name="Note 2 2 2 3 5" xfId="10425" xr:uid="{F4FA7DFE-4B6A-4E2B-A86F-A455CAF137DB}"/>
    <cellStyle name="Note 2 2 2 3 6" xfId="18872" xr:uid="{ABF32B46-40C4-47D0-8C68-D995BD539337}"/>
    <cellStyle name="Note 2 2 2 3 7" xfId="27319" xr:uid="{84D9C37A-82FF-436B-8062-B3BD51558564}"/>
    <cellStyle name="Note 2 2 2 4" xfId="1422" xr:uid="{00000000-0005-0000-0000-0000B2200000}"/>
    <cellStyle name="Note 2 2 2 4 2" xfId="3652" xr:uid="{00000000-0005-0000-0000-0000B3200000}"/>
    <cellStyle name="Note 2 2 2 4 2 2" xfId="7874" xr:uid="{00000000-0005-0000-0000-0000B4200000}"/>
    <cellStyle name="Note 2 2 2 4 2 2 2" xfId="17200" xr:uid="{0CB798C1-3330-488E-8394-FFA539D0A82A}"/>
    <cellStyle name="Note 2 2 2 4 2 2 3" xfId="25647" xr:uid="{CB76080C-943A-46FB-B872-2A52114F9CC6}"/>
    <cellStyle name="Note 2 2 2 4 2 2 4" xfId="34094" xr:uid="{EEBD6C3D-432E-405B-9205-BE4DDAC247D0}"/>
    <cellStyle name="Note 2 2 2 4 2 3" xfId="12983" xr:uid="{D6506086-214E-44BB-9EE5-A681942F3DE3}"/>
    <cellStyle name="Note 2 2 2 4 2 4" xfId="21430" xr:uid="{EC62118E-A86F-48E2-BEAE-B915E2236641}"/>
    <cellStyle name="Note 2 2 2 4 2 5" xfId="29877" xr:uid="{769A16F4-E771-4E47-ABB9-AF8A960E381E}"/>
    <cellStyle name="Note 2 2 2 4 3" xfId="5729" xr:uid="{00000000-0005-0000-0000-0000B5200000}"/>
    <cellStyle name="Note 2 2 2 4 3 2" xfId="15055" xr:uid="{44B64ABC-AC5B-4F54-A731-4F482D6B54CD}"/>
    <cellStyle name="Note 2 2 2 4 3 3" xfId="23502" xr:uid="{3B79F274-0A3A-4FE0-9A65-87970CA926DD}"/>
    <cellStyle name="Note 2 2 2 4 3 4" xfId="31949" xr:uid="{FBB7BE33-1CC6-4B14-9FC8-27B0B62B65CD}"/>
    <cellStyle name="Note 2 2 2 4 4" xfId="10838" xr:uid="{A655EE34-5EDD-4CEA-88C2-E1C03C4E8FA9}"/>
    <cellStyle name="Note 2 2 2 4 5" xfId="19285" xr:uid="{C0A24696-48DE-45E9-8120-40202F1D4654}"/>
    <cellStyle name="Note 2 2 2 4 6" xfId="27732" xr:uid="{C6B872C1-1494-478B-8EB1-BA1C8E4104E7}"/>
    <cellStyle name="Note 2 2 2 5" xfId="1836" xr:uid="{00000000-0005-0000-0000-0000B6200000}"/>
    <cellStyle name="Note 2 2 2 5 2" xfId="4065" xr:uid="{00000000-0005-0000-0000-0000B7200000}"/>
    <cellStyle name="Note 2 2 2 5 2 2" xfId="8287" xr:uid="{00000000-0005-0000-0000-0000B8200000}"/>
    <cellStyle name="Note 2 2 2 5 2 2 2" xfId="17613" xr:uid="{0AD318B2-EB7B-43A3-8871-1EE8EF502EFB}"/>
    <cellStyle name="Note 2 2 2 5 2 2 3" xfId="26060" xr:uid="{80F62BAA-12FF-443A-B658-CAD70B0509A9}"/>
    <cellStyle name="Note 2 2 2 5 2 2 4" xfId="34507" xr:uid="{C85F2AFB-3533-4E2B-85AB-1D1B57A450E5}"/>
    <cellStyle name="Note 2 2 2 5 2 3" xfId="13396" xr:uid="{30B5534E-F49C-4B50-A0E5-3358785E8322}"/>
    <cellStyle name="Note 2 2 2 5 2 4" xfId="21843" xr:uid="{9D054D6B-D340-41C2-A4C5-95D32D22A6C1}"/>
    <cellStyle name="Note 2 2 2 5 2 5" xfId="30290" xr:uid="{13B1CD6A-AD4F-47B0-B675-533F9E3D4EDD}"/>
    <cellStyle name="Note 2 2 2 5 3" xfId="6142" xr:uid="{00000000-0005-0000-0000-0000B9200000}"/>
    <cellStyle name="Note 2 2 2 5 3 2" xfId="15468" xr:uid="{0750E524-940C-4F1A-AAD7-12C4C8F5902F}"/>
    <cellStyle name="Note 2 2 2 5 3 3" xfId="23915" xr:uid="{53ABDA95-1830-4C17-9997-669066EECF24}"/>
    <cellStyle name="Note 2 2 2 5 3 4" xfId="32362" xr:uid="{F81B91A2-D8B4-4C95-8ACC-F31A35009B44}"/>
    <cellStyle name="Note 2 2 2 5 4" xfId="11251" xr:uid="{94398065-3F01-49AB-A8F3-315033C5F946}"/>
    <cellStyle name="Note 2 2 2 5 5" xfId="19698" xr:uid="{EF99DA4C-C975-412F-8A36-B1EEE91D9815}"/>
    <cellStyle name="Note 2 2 2 5 6" xfId="28145" xr:uid="{67A68489-A0F1-4C37-8170-B0B2A287D0FE}"/>
    <cellStyle name="Note 2 2 2 6" xfId="2249" xr:uid="{00000000-0005-0000-0000-0000BA200000}"/>
    <cellStyle name="Note 2 2 2 6 2" xfId="4478" xr:uid="{00000000-0005-0000-0000-0000BB200000}"/>
    <cellStyle name="Note 2 2 2 6 2 2" xfId="8700" xr:uid="{00000000-0005-0000-0000-0000BC200000}"/>
    <cellStyle name="Note 2 2 2 6 2 2 2" xfId="18026" xr:uid="{F6673F77-27EA-4870-A762-F853028076B9}"/>
    <cellStyle name="Note 2 2 2 6 2 2 3" xfId="26473" xr:uid="{DA6AEFF0-2C30-44D7-868B-695D09569B69}"/>
    <cellStyle name="Note 2 2 2 6 2 2 4" xfId="34920" xr:uid="{94DDB17D-EEF9-4D4E-9AE2-4BAC5005DAA5}"/>
    <cellStyle name="Note 2 2 2 6 2 3" xfId="13809" xr:uid="{393BCD95-CF0D-4257-AF73-5D308988CAB8}"/>
    <cellStyle name="Note 2 2 2 6 2 4" xfId="22256" xr:uid="{D30FADEF-F2B8-45C7-A34A-612D272CBE93}"/>
    <cellStyle name="Note 2 2 2 6 2 5" xfId="30703" xr:uid="{654F3AC8-E1F7-4BFE-8359-8C2A25DB9556}"/>
    <cellStyle name="Note 2 2 2 6 3" xfId="6555" xr:uid="{00000000-0005-0000-0000-0000BD200000}"/>
    <cellStyle name="Note 2 2 2 6 3 2" xfId="15881" xr:uid="{938ED399-727F-4E05-B765-D64F47B84D83}"/>
    <cellStyle name="Note 2 2 2 6 3 3" xfId="24328" xr:uid="{6FF69AC8-A621-44F0-8C67-FDBFEF845316}"/>
    <cellStyle name="Note 2 2 2 6 3 4" xfId="32775" xr:uid="{612DC6DE-014D-47D4-814F-31685479871E}"/>
    <cellStyle name="Note 2 2 2 6 4" xfId="11664" xr:uid="{850B0970-0A49-4D53-A378-ACCBD18C0EC2}"/>
    <cellStyle name="Note 2 2 2 6 5" xfId="20111" xr:uid="{BF5BC4F1-9162-49B8-A0DF-71BAC1804A74}"/>
    <cellStyle name="Note 2 2 2 6 6" xfId="28558" xr:uid="{6D0E5E48-3A50-4EB3-9537-9445ED54B19A}"/>
    <cellStyle name="Note 2 2 2 7" xfId="2685" xr:uid="{00000000-0005-0000-0000-0000BE200000}"/>
    <cellStyle name="Note 2 2 2 7 2" xfId="6968" xr:uid="{00000000-0005-0000-0000-0000BF200000}"/>
    <cellStyle name="Note 2 2 2 7 2 2" xfId="16294" xr:uid="{88890991-A22B-46AE-9BE8-79ADA1CEE6C5}"/>
    <cellStyle name="Note 2 2 2 7 2 3" xfId="24741" xr:uid="{3B6B3637-3B46-4482-9EC4-3E88304C3AAB}"/>
    <cellStyle name="Note 2 2 2 7 2 4" xfId="33188" xr:uid="{1E729B34-2D27-4822-941D-046F7E5AE007}"/>
    <cellStyle name="Note 2 2 2 7 3" xfId="12077" xr:uid="{93B0206D-D5B2-49CB-A297-EC25F0CE4D66}"/>
    <cellStyle name="Note 2 2 2 7 4" xfId="20524" xr:uid="{59DB4C13-6797-4CFA-8A54-F24A18B3DA1D}"/>
    <cellStyle name="Note 2 2 2 7 5" xfId="28971" xr:uid="{D52D6361-DF63-4F98-A32F-723E09EA3CC6}"/>
    <cellStyle name="Note 2 2 2 8" xfId="2744" xr:uid="{00000000-0005-0000-0000-0000C0200000}"/>
    <cellStyle name="Note 2 2 2 9" xfId="2825" xr:uid="{00000000-0005-0000-0000-0000C1200000}"/>
    <cellStyle name="Note 2 2 2 9 2" xfId="7048" xr:uid="{00000000-0005-0000-0000-0000C2200000}"/>
    <cellStyle name="Note 2 2 2 9 2 2" xfId="16374" xr:uid="{394BEB00-3922-47C4-8BB1-6F72F3A437A1}"/>
    <cellStyle name="Note 2 2 2 9 2 3" xfId="24821" xr:uid="{D52DBA03-744B-44A3-937D-E826AC51585F}"/>
    <cellStyle name="Note 2 2 2 9 2 4" xfId="33268" xr:uid="{091789DD-B874-49D9-93ED-953F89DF8A27}"/>
    <cellStyle name="Note 2 2 2 9 3" xfId="12157" xr:uid="{19167751-359C-4954-84F0-59B20BD7C99E}"/>
    <cellStyle name="Note 2 2 2 9 4" xfId="20604" xr:uid="{1B19FACC-3E00-4557-9AB5-2109F88FDE6A}"/>
    <cellStyle name="Note 2 2 2 9 5" xfId="29051" xr:uid="{A1325B9A-E173-411A-B4A5-830472154B88}"/>
    <cellStyle name="Note 2 2 3" xfId="548" xr:uid="{00000000-0005-0000-0000-0000C3200000}"/>
    <cellStyle name="Note 2 2 3 10" xfId="9048" xr:uid="{894401FF-B7D8-49E8-91E6-A1C42DD04D54}"/>
    <cellStyle name="Note 2 2 3 11" xfId="10014" xr:uid="{F56C61A5-11AC-45F3-B236-110D8839112A}"/>
    <cellStyle name="Note 2 2 3 12" xfId="18461" xr:uid="{FE1D217C-06E3-4446-8AFC-40468660CCDF}"/>
    <cellStyle name="Note 2 2 3 13" xfId="26908" xr:uid="{828B4101-4FDA-4E93-BB2F-1B3B5BE3BAB7}"/>
    <cellStyle name="Note 2 2 3 2" xfId="1009" xr:uid="{00000000-0005-0000-0000-0000C4200000}"/>
    <cellStyle name="Note 2 2 3 2 2" xfId="3241" xr:uid="{00000000-0005-0000-0000-0000C5200000}"/>
    <cellStyle name="Note 2 2 3 2 2 2" xfId="7463" xr:uid="{00000000-0005-0000-0000-0000C6200000}"/>
    <cellStyle name="Note 2 2 3 2 2 2 2" xfId="16789" xr:uid="{2BA57265-E5A8-40FF-BF2F-8A749B13509E}"/>
    <cellStyle name="Note 2 2 3 2 2 2 3" xfId="25236" xr:uid="{7491CB95-D228-43BC-BD09-54DCCF6D8F90}"/>
    <cellStyle name="Note 2 2 3 2 2 2 4" xfId="33683" xr:uid="{9452D2CE-255F-4069-B6F8-FD205558B402}"/>
    <cellStyle name="Note 2 2 3 2 2 3" xfId="12572" xr:uid="{599B5B34-EBC8-45C0-AD26-7541D8BD580B}"/>
    <cellStyle name="Note 2 2 3 2 2 4" xfId="21019" xr:uid="{58BB8078-CE89-4B8C-BD82-296FD29725A2}"/>
    <cellStyle name="Note 2 2 3 2 2 5" xfId="29466" xr:uid="{950E8FF1-3E00-4A50-B4F4-9C0817386908}"/>
    <cellStyle name="Note 2 2 3 2 3" xfId="5318" xr:uid="{00000000-0005-0000-0000-0000C7200000}"/>
    <cellStyle name="Note 2 2 3 2 3 2" xfId="14644" xr:uid="{3FCC85EA-AE58-4557-8E2E-AB297E446D59}"/>
    <cellStyle name="Note 2 2 3 2 3 3" xfId="23091" xr:uid="{9ECCFEA2-8FCA-451A-96BE-6F1923D5ADE1}"/>
    <cellStyle name="Note 2 2 3 2 3 4" xfId="31538" xr:uid="{71917731-BFDA-4CDC-B4CF-3492DD12D46D}"/>
    <cellStyle name="Note 2 2 3 2 4" xfId="9473" xr:uid="{7711F4E0-385B-44CD-ACEA-5E9D7E4CD8DC}"/>
    <cellStyle name="Note 2 2 3 2 5" xfId="10427" xr:uid="{C0E8DFF7-5563-456A-B289-F4D0814BF4C1}"/>
    <cellStyle name="Note 2 2 3 2 6" xfId="18874" xr:uid="{B01808F4-8B2B-43CE-91AA-78E95E882B90}"/>
    <cellStyle name="Note 2 2 3 2 7" xfId="27321" xr:uid="{22D7AF7A-754A-413F-9022-916BE2822936}"/>
    <cellStyle name="Note 2 2 3 3" xfId="1424" xr:uid="{00000000-0005-0000-0000-0000C8200000}"/>
    <cellStyle name="Note 2 2 3 3 2" xfId="3654" xr:uid="{00000000-0005-0000-0000-0000C9200000}"/>
    <cellStyle name="Note 2 2 3 3 2 2" xfId="7876" xr:uid="{00000000-0005-0000-0000-0000CA200000}"/>
    <cellStyle name="Note 2 2 3 3 2 2 2" xfId="17202" xr:uid="{B2701E42-7BF8-46F2-8250-EFCCC792DDD3}"/>
    <cellStyle name="Note 2 2 3 3 2 2 3" xfId="25649" xr:uid="{E5EB4450-156D-4909-BC15-B70917B1ED56}"/>
    <cellStyle name="Note 2 2 3 3 2 2 4" xfId="34096" xr:uid="{70AF223D-5F3B-4AC4-99E0-123193273BF6}"/>
    <cellStyle name="Note 2 2 3 3 2 3" xfId="12985" xr:uid="{FF35D2E1-6982-4A46-AC3E-3D4065EE6666}"/>
    <cellStyle name="Note 2 2 3 3 2 4" xfId="21432" xr:uid="{8162408B-6EF8-426C-A635-C04B06EEC38E}"/>
    <cellStyle name="Note 2 2 3 3 2 5" xfId="29879" xr:uid="{73FA14E4-49B7-4B3F-A77E-60B55C010879}"/>
    <cellStyle name="Note 2 2 3 3 3" xfId="5731" xr:uid="{00000000-0005-0000-0000-0000CB200000}"/>
    <cellStyle name="Note 2 2 3 3 3 2" xfId="15057" xr:uid="{F8502CAF-0BC5-4955-A54D-2CF357AECEEC}"/>
    <cellStyle name="Note 2 2 3 3 3 3" xfId="23504" xr:uid="{D829405A-10E4-40A6-92ED-8DCF5DF11B81}"/>
    <cellStyle name="Note 2 2 3 3 3 4" xfId="31951" xr:uid="{DABD64D6-538E-4D99-92FC-BD385EC5BCDB}"/>
    <cellStyle name="Note 2 2 3 3 4" xfId="10840" xr:uid="{DE888FCB-3B17-465A-83B8-114D5D5C1BCB}"/>
    <cellStyle name="Note 2 2 3 3 5" xfId="19287" xr:uid="{197DCEC2-28D1-4C3A-9FCB-FC34E8B60256}"/>
    <cellStyle name="Note 2 2 3 3 6" xfId="27734" xr:uid="{89D9FB43-AC77-4CB6-B223-80A599D95B9C}"/>
    <cellStyle name="Note 2 2 3 4" xfId="1838" xr:uid="{00000000-0005-0000-0000-0000CC200000}"/>
    <cellStyle name="Note 2 2 3 4 2" xfId="4067" xr:uid="{00000000-0005-0000-0000-0000CD200000}"/>
    <cellStyle name="Note 2 2 3 4 2 2" xfId="8289" xr:uid="{00000000-0005-0000-0000-0000CE200000}"/>
    <cellStyle name="Note 2 2 3 4 2 2 2" xfId="17615" xr:uid="{1953CC77-0103-493C-9C90-636A4FE52BB5}"/>
    <cellStyle name="Note 2 2 3 4 2 2 3" xfId="26062" xr:uid="{0EA62B3E-A2F9-454C-87E7-35647B7B226A}"/>
    <cellStyle name="Note 2 2 3 4 2 2 4" xfId="34509" xr:uid="{A6ADC407-A043-40A4-9E8A-DD79B507091C}"/>
    <cellStyle name="Note 2 2 3 4 2 3" xfId="13398" xr:uid="{1F11BA37-EF66-46C2-8774-128B47EFD4B6}"/>
    <cellStyle name="Note 2 2 3 4 2 4" xfId="21845" xr:uid="{57D24B4B-B74D-4756-93F8-679FED691A97}"/>
    <cellStyle name="Note 2 2 3 4 2 5" xfId="30292" xr:uid="{0C7079AC-5D47-4B48-940E-74C0DFF8E0C6}"/>
    <cellStyle name="Note 2 2 3 4 3" xfId="6144" xr:uid="{00000000-0005-0000-0000-0000CF200000}"/>
    <cellStyle name="Note 2 2 3 4 3 2" xfId="15470" xr:uid="{9D6EA5EC-22A6-448B-9AA1-ABE9D7774A84}"/>
    <cellStyle name="Note 2 2 3 4 3 3" xfId="23917" xr:uid="{EF6FF383-D1CA-46F7-8FEF-381E36C9CCCF}"/>
    <cellStyle name="Note 2 2 3 4 3 4" xfId="32364" xr:uid="{49422BA1-0332-4376-A51F-C5B7247986B1}"/>
    <cellStyle name="Note 2 2 3 4 4" xfId="11253" xr:uid="{FBFC351B-ABCC-47EE-9E32-F2E1B69AE425}"/>
    <cellStyle name="Note 2 2 3 4 5" xfId="19700" xr:uid="{9E0FC460-E71B-486E-8712-C6272DC6E336}"/>
    <cellStyle name="Note 2 2 3 4 6" xfId="28147" xr:uid="{8CA42ED7-F085-492F-8A92-7F3637226DDD}"/>
    <cellStyle name="Note 2 2 3 5" xfId="2251" xr:uid="{00000000-0005-0000-0000-0000D0200000}"/>
    <cellStyle name="Note 2 2 3 5 2" xfId="4480" xr:uid="{00000000-0005-0000-0000-0000D1200000}"/>
    <cellStyle name="Note 2 2 3 5 2 2" xfId="8702" xr:uid="{00000000-0005-0000-0000-0000D2200000}"/>
    <cellStyle name="Note 2 2 3 5 2 2 2" xfId="18028" xr:uid="{2B651A0F-8E55-46F5-BBFE-DB00B6D7E5B0}"/>
    <cellStyle name="Note 2 2 3 5 2 2 3" xfId="26475" xr:uid="{C1EB01BE-8F1C-48D6-9632-30D0581E3ABA}"/>
    <cellStyle name="Note 2 2 3 5 2 2 4" xfId="34922" xr:uid="{01740DEE-15AF-439D-B730-595788149F73}"/>
    <cellStyle name="Note 2 2 3 5 2 3" xfId="13811" xr:uid="{F236C271-19CD-4946-B319-F618FF3E93CC}"/>
    <cellStyle name="Note 2 2 3 5 2 4" xfId="22258" xr:uid="{D7435B5F-7688-4E94-B2CA-ABBDFE5F4CE3}"/>
    <cellStyle name="Note 2 2 3 5 2 5" xfId="30705" xr:uid="{0098241A-847D-4BDA-958E-5A2527D47776}"/>
    <cellStyle name="Note 2 2 3 5 3" xfId="6557" xr:uid="{00000000-0005-0000-0000-0000D3200000}"/>
    <cellStyle name="Note 2 2 3 5 3 2" xfId="15883" xr:uid="{C82E339A-A49C-47FB-973C-4DCABBE84146}"/>
    <cellStyle name="Note 2 2 3 5 3 3" xfId="24330" xr:uid="{A83326A8-9CBD-49E2-967D-E34631C41C57}"/>
    <cellStyle name="Note 2 2 3 5 3 4" xfId="32777" xr:uid="{5D8AC44E-8061-47CF-85A3-B1E0BC6FB76C}"/>
    <cellStyle name="Note 2 2 3 5 4" xfId="11666" xr:uid="{173C02EF-5086-4396-9F6D-760C5551BEB3}"/>
    <cellStyle name="Note 2 2 3 5 5" xfId="20113" xr:uid="{78EC86EA-C8A8-4BF7-931C-DB89DBE459BE}"/>
    <cellStyle name="Note 2 2 3 5 6" xfId="28560" xr:uid="{E24B7A85-58F2-4D26-A08D-21B1F144BE31}"/>
    <cellStyle name="Note 2 2 3 6" xfId="2687" xr:uid="{00000000-0005-0000-0000-0000D4200000}"/>
    <cellStyle name="Note 2 2 3 6 2" xfId="6970" xr:uid="{00000000-0005-0000-0000-0000D5200000}"/>
    <cellStyle name="Note 2 2 3 6 2 2" xfId="16296" xr:uid="{A8918F16-834E-4EA5-9691-9999C7EBAF6F}"/>
    <cellStyle name="Note 2 2 3 6 2 3" xfId="24743" xr:uid="{791240E8-32C7-406B-AA06-A4CD0D789AD7}"/>
    <cellStyle name="Note 2 2 3 6 2 4" xfId="33190" xr:uid="{30CD9DC1-DFCA-4030-BCE9-BC455AD0A194}"/>
    <cellStyle name="Note 2 2 3 6 3" xfId="12079" xr:uid="{58413313-8362-492E-BF2F-F93D57DFC4B1}"/>
    <cellStyle name="Note 2 2 3 6 4" xfId="20526" xr:uid="{7974FD8D-F16E-46E8-8B2C-2D6047F11F60}"/>
    <cellStyle name="Note 2 2 3 6 5" xfId="28973" xr:uid="{A44AC2B8-5491-4396-BEF6-EC2E60900DB7}"/>
    <cellStyle name="Note 2 2 3 7" xfId="2746" xr:uid="{00000000-0005-0000-0000-0000D6200000}"/>
    <cellStyle name="Note 2 2 3 8" xfId="2827" xr:uid="{00000000-0005-0000-0000-0000D7200000}"/>
    <cellStyle name="Note 2 2 3 8 2" xfId="7050" xr:uid="{00000000-0005-0000-0000-0000D8200000}"/>
    <cellStyle name="Note 2 2 3 8 2 2" xfId="16376" xr:uid="{7D8FBFD2-F99A-4D93-AE15-056DB2963B69}"/>
    <cellStyle name="Note 2 2 3 8 2 3" xfId="24823" xr:uid="{6E2183F6-132C-4DEE-B79F-A8B6F7E9D028}"/>
    <cellStyle name="Note 2 2 3 8 2 4" xfId="33270" xr:uid="{AF7DF430-B5BD-42D4-AA88-29D121AD738A}"/>
    <cellStyle name="Note 2 2 3 8 3" xfId="12159" xr:uid="{F2820872-D382-474B-BA67-CC25C9BBC700}"/>
    <cellStyle name="Note 2 2 3 8 4" xfId="20606" xr:uid="{0CB7CA46-A981-42A5-A2D8-DED89D31410D}"/>
    <cellStyle name="Note 2 2 3 8 5" xfId="29053" xr:uid="{C706BA81-4890-455D-B7AB-4017AF7E1042}"/>
    <cellStyle name="Note 2 2 3 9" xfId="4905" xr:uid="{00000000-0005-0000-0000-0000D9200000}"/>
    <cellStyle name="Note 2 2 3 9 2" xfId="14231" xr:uid="{88CBF1F3-BFB5-4332-8EA4-8E4F226287C0}"/>
    <cellStyle name="Note 2 2 3 9 3" xfId="22678" xr:uid="{74AC697E-624E-4117-B1CE-3B359EB3C950}"/>
    <cellStyle name="Note 2 2 3 9 4" xfId="31125" xr:uid="{0070F940-C4FF-4383-B6B3-D8C0C3709E84}"/>
    <cellStyle name="Note 2 2 4" xfId="1006" xr:uid="{00000000-0005-0000-0000-0000DA200000}"/>
    <cellStyle name="Note 2 2 4 2" xfId="3238" xr:uid="{00000000-0005-0000-0000-0000DB200000}"/>
    <cellStyle name="Note 2 2 4 2 2" xfId="7460" xr:uid="{00000000-0005-0000-0000-0000DC200000}"/>
    <cellStyle name="Note 2 2 4 2 2 2" xfId="16786" xr:uid="{F83741B8-6ADF-4F05-AE84-768B838B7DA3}"/>
    <cellStyle name="Note 2 2 4 2 2 3" xfId="25233" xr:uid="{8BD1F63D-4FFC-4799-A61A-40E68214C5DC}"/>
    <cellStyle name="Note 2 2 4 2 2 4" xfId="33680" xr:uid="{79EF0894-11ED-4EB1-A8AC-B13DFE473CA6}"/>
    <cellStyle name="Note 2 2 4 2 3" xfId="12569" xr:uid="{7B972044-3D8D-43E1-B72B-B7FDB27E8199}"/>
    <cellStyle name="Note 2 2 4 2 4" xfId="21016" xr:uid="{9EC7EDBC-3593-485E-9393-E6AC61D8F99D}"/>
    <cellStyle name="Note 2 2 4 2 5" xfId="29463" xr:uid="{DAD9833D-AA99-4653-917B-0E75BA876B79}"/>
    <cellStyle name="Note 2 2 4 3" xfId="5315" xr:uid="{00000000-0005-0000-0000-0000DD200000}"/>
    <cellStyle name="Note 2 2 4 3 2" xfId="14641" xr:uid="{78675425-8F83-43F7-8FD1-CB3AD55D50D8}"/>
    <cellStyle name="Note 2 2 4 3 3" xfId="23088" xr:uid="{A1DD91FD-D82B-43EA-8662-8D3DF07AF9B5}"/>
    <cellStyle name="Note 2 2 4 3 4" xfId="31535" xr:uid="{D2A19739-7AB7-4460-B5A2-738AD2C08E54}"/>
    <cellStyle name="Note 2 2 4 4" xfId="9266" xr:uid="{8B6F7B8D-50FA-47DA-836F-17B0F9492E54}"/>
    <cellStyle name="Note 2 2 4 5" xfId="10424" xr:uid="{327A4992-EADF-46DF-A9FD-A5C8C3FB037E}"/>
    <cellStyle name="Note 2 2 4 6" xfId="18871" xr:uid="{2093F54D-6B08-4315-8997-7FF73719CB89}"/>
    <cellStyle name="Note 2 2 4 7" xfId="27318" xr:uid="{402EBBB8-C134-4026-9C47-F8407AAC715B}"/>
    <cellStyle name="Note 2 2 5" xfId="1421" xr:uid="{00000000-0005-0000-0000-0000DE200000}"/>
    <cellStyle name="Note 2 2 5 2" xfId="3651" xr:uid="{00000000-0005-0000-0000-0000DF200000}"/>
    <cellStyle name="Note 2 2 5 2 2" xfId="7873" xr:uid="{00000000-0005-0000-0000-0000E0200000}"/>
    <cellStyle name="Note 2 2 5 2 2 2" xfId="17199" xr:uid="{B5A70DE8-9538-4865-A2C3-FCD19C6A199A}"/>
    <cellStyle name="Note 2 2 5 2 2 3" xfId="25646" xr:uid="{768EFFF3-8271-48FD-88E8-B55D375A4C5B}"/>
    <cellStyle name="Note 2 2 5 2 2 4" xfId="34093" xr:uid="{BE8874AA-16D3-488F-A639-3545D9E8641D}"/>
    <cellStyle name="Note 2 2 5 2 3" xfId="12982" xr:uid="{71B6A7F8-EF76-4DB1-B92B-742AD29BA65D}"/>
    <cellStyle name="Note 2 2 5 2 4" xfId="21429" xr:uid="{483F9927-F184-4AE1-ABE1-FFCAB4777149}"/>
    <cellStyle name="Note 2 2 5 2 5" xfId="29876" xr:uid="{06647221-2816-4A32-B7DA-B286060D2BF9}"/>
    <cellStyle name="Note 2 2 5 3" xfId="5728" xr:uid="{00000000-0005-0000-0000-0000E1200000}"/>
    <cellStyle name="Note 2 2 5 3 2" xfId="15054" xr:uid="{0474DAA0-C583-4969-9755-63B02280EDB5}"/>
    <cellStyle name="Note 2 2 5 3 3" xfId="23501" xr:uid="{7926D343-16AC-4504-A540-D4E20FE6B0CF}"/>
    <cellStyle name="Note 2 2 5 3 4" xfId="31948" xr:uid="{EDB905D9-235A-4858-BCA1-60068BDC4715}"/>
    <cellStyle name="Note 2 2 5 4" xfId="10837" xr:uid="{5AB1772C-180D-4243-8B5D-77024D3A5D0D}"/>
    <cellStyle name="Note 2 2 5 5" xfId="19284" xr:uid="{F31C81EB-CB81-476D-A5C1-D14371A653C6}"/>
    <cellStyle name="Note 2 2 5 6" xfId="27731" xr:uid="{B0CCE65C-BF97-496D-BEE5-FC28669C72FB}"/>
    <cellStyle name="Note 2 2 6" xfId="1835" xr:uid="{00000000-0005-0000-0000-0000E2200000}"/>
    <cellStyle name="Note 2 2 6 2" xfId="4064" xr:uid="{00000000-0005-0000-0000-0000E3200000}"/>
    <cellStyle name="Note 2 2 6 2 2" xfId="8286" xr:uid="{00000000-0005-0000-0000-0000E4200000}"/>
    <cellStyle name="Note 2 2 6 2 2 2" xfId="17612" xr:uid="{B6BBD4B6-1EE8-499E-8099-5F8B3D820E95}"/>
    <cellStyle name="Note 2 2 6 2 2 3" xfId="26059" xr:uid="{FB9D9372-6466-4C63-9D8C-22A4CA214574}"/>
    <cellStyle name="Note 2 2 6 2 2 4" xfId="34506" xr:uid="{05FAB1BE-A81C-4112-B7C3-98A8339BF8FE}"/>
    <cellStyle name="Note 2 2 6 2 3" xfId="13395" xr:uid="{BD64D6D3-4101-419E-944C-DDA95D639E9E}"/>
    <cellStyle name="Note 2 2 6 2 4" xfId="21842" xr:uid="{0F38F1BE-D1D0-4EA8-8124-B46FC45B9763}"/>
    <cellStyle name="Note 2 2 6 2 5" xfId="30289" xr:uid="{B6D7B395-BDF4-44A8-92EF-DE2FEC231490}"/>
    <cellStyle name="Note 2 2 6 3" xfId="6141" xr:uid="{00000000-0005-0000-0000-0000E5200000}"/>
    <cellStyle name="Note 2 2 6 3 2" xfId="15467" xr:uid="{BEB868AD-2BD0-4A7D-91E5-6717F2983609}"/>
    <cellStyle name="Note 2 2 6 3 3" xfId="23914" xr:uid="{911A7EA7-DE18-4E0A-910B-26135A7CE1F7}"/>
    <cellStyle name="Note 2 2 6 3 4" xfId="32361" xr:uid="{D7911243-D505-41FD-94D2-526D4F6C56BA}"/>
    <cellStyle name="Note 2 2 6 4" xfId="11250" xr:uid="{4524DE96-4692-4EFE-88FE-0715EC849EF2}"/>
    <cellStyle name="Note 2 2 6 5" xfId="19697" xr:uid="{E93050F0-4C0F-46A4-890C-0B10A13971F2}"/>
    <cellStyle name="Note 2 2 6 6" xfId="28144" xr:uid="{31A87751-7C32-4DB0-A529-DC5A719B3ADA}"/>
    <cellStyle name="Note 2 2 7" xfId="2248" xr:uid="{00000000-0005-0000-0000-0000E6200000}"/>
    <cellStyle name="Note 2 2 7 2" xfId="4477" xr:uid="{00000000-0005-0000-0000-0000E7200000}"/>
    <cellStyle name="Note 2 2 7 2 2" xfId="8699" xr:uid="{00000000-0005-0000-0000-0000E8200000}"/>
    <cellStyle name="Note 2 2 7 2 2 2" xfId="18025" xr:uid="{063498EC-53AF-4FDB-9262-A9190262F029}"/>
    <cellStyle name="Note 2 2 7 2 2 3" xfId="26472" xr:uid="{C9D0F227-0398-414B-8F30-8B877D388178}"/>
    <cellStyle name="Note 2 2 7 2 2 4" xfId="34919" xr:uid="{404CC992-354D-4FBB-9184-1503320372D2}"/>
    <cellStyle name="Note 2 2 7 2 3" xfId="13808" xr:uid="{1F5710C8-D492-4932-AD05-2C36673BF864}"/>
    <cellStyle name="Note 2 2 7 2 4" xfId="22255" xr:uid="{7CFF4D6B-F493-4268-AFE7-D3CA3E6C1763}"/>
    <cellStyle name="Note 2 2 7 2 5" xfId="30702" xr:uid="{0FBFAE97-2057-4623-A76C-153E687A4B15}"/>
    <cellStyle name="Note 2 2 7 3" xfId="6554" xr:uid="{00000000-0005-0000-0000-0000E9200000}"/>
    <cellStyle name="Note 2 2 7 3 2" xfId="15880" xr:uid="{7A5C8F81-894B-4503-86F3-F4A32F2171C3}"/>
    <cellStyle name="Note 2 2 7 3 3" xfId="24327" xr:uid="{8A5B261B-6CA0-485A-B0C9-B6C9BF006E61}"/>
    <cellStyle name="Note 2 2 7 3 4" xfId="32774" xr:uid="{2C8B9C3A-92DC-441B-AF87-4A621FDD4C35}"/>
    <cellStyle name="Note 2 2 7 4" xfId="11663" xr:uid="{E528A123-E965-4FFF-A9B0-67E9226EC6E7}"/>
    <cellStyle name="Note 2 2 7 5" xfId="20110" xr:uid="{613227F5-8CB6-4BC3-B0F1-81241DF254B6}"/>
    <cellStyle name="Note 2 2 7 6" xfId="28557" xr:uid="{3BCE996E-FA82-4BE7-BDBA-6CBB5BDACC66}"/>
    <cellStyle name="Note 2 2 8" xfId="2684" xr:uid="{00000000-0005-0000-0000-0000EA200000}"/>
    <cellStyle name="Note 2 2 8 2" xfId="6967" xr:uid="{00000000-0005-0000-0000-0000EB200000}"/>
    <cellStyle name="Note 2 2 8 2 2" xfId="16293" xr:uid="{B492734D-885F-4C33-B5B6-00127E38E1EB}"/>
    <cellStyle name="Note 2 2 8 2 3" xfId="24740" xr:uid="{E0F62BB6-B45D-4819-8134-40B1B12E497A}"/>
    <cellStyle name="Note 2 2 8 2 4" xfId="33187" xr:uid="{96C64587-D463-413D-8DAC-6F9B497A7D2D}"/>
    <cellStyle name="Note 2 2 8 3" xfId="12076" xr:uid="{B694B6EB-B869-416D-8401-A212C2BCA5FE}"/>
    <cellStyle name="Note 2 2 8 4" xfId="20523" xr:uid="{01BF0839-3708-4FBA-AEC9-9DEF19D8FAC6}"/>
    <cellStyle name="Note 2 2 8 5" xfId="28970" xr:uid="{A374191E-9E74-4DB3-86BB-B5A2D9B617B1}"/>
    <cellStyle name="Note 2 2 9" xfId="2743" xr:uid="{00000000-0005-0000-0000-0000EC200000}"/>
    <cellStyle name="Note 2 3" xfId="549" xr:uid="{00000000-0005-0000-0000-0000ED200000}"/>
    <cellStyle name="Note 2 3 10" xfId="4906" xr:uid="{00000000-0005-0000-0000-0000EE200000}"/>
    <cellStyle name="Note 2 3 10 2" xfId="14232" xr:uid="{A6103B4E-3F3A-472C-A646-83FF5F6C86D0}"/>
    <cellStyle name="Note 2 3 10 3" xfId="22679" xr:uid="{DF81F8D9-9224-47F3-BE3D-8E8BA0EC4932}"/>
    <cellStyle name="Note 2 3 10 4" xfId="31126" xr:uid="{1ED807C6-52A5-4FC3-8F08-A69FBFF6C17F}"/>
    <cellStyle name="Note 2 3 11" xfId="8894" xr:uid="{2BFFE8D0-DA42-4876-8895-58F80713E965}"/>
    <cellStyle name="Note 2 3 12" xfId="10015" xr:uid="{5AA5A4B8-9095-40E0-AA15-C7C62B9D32D5}"/>
    <cellStyle name="Note 2 3 13" xfId="18462" xr:uid="{29FD5DD1-4147-4E08-ACCE-73392FE63A6E}"/>
    <cellStyle name="Note 2 3 14" xfId="26909" xr:uid="{B8795FCE-1C33-438F-A1BF-7337812A6F32}"/>
    <cellStyle name="Note 2 3 2" xfId="550" xr:uid="{00000000-0005-0000-0000-0000EF200000}"/>
    <cellStyle name="Note 2 3 2 10" xfId="9101" xr:uid="{1822EEA2-225E-465E-B4CD-D4615440EC62}"/>
    <cellStyle name="Note 2 3 2 11" xfId="10016" xr:uid="{F960AA3B-F30F-4700-9AE4-40EAE4368AC5}"/>
    <cellStyle name="Note 2 3 2 12" xfId="18463" xr:uid="{A6F34A27-364D-4F1A-9BBA-4B7AD7A29BF5}"/>
    <cellStyle name="Note 2 3 2 13" xfId="26910" xr:uid="{E7BC0750-9E4A-4AB9-BD50-AE0F6C09692A}"/>
    <cellStyle name="Note 2 3 2 2" xfId="1011" xr:uid="{00000000-0005-0000-0000-0000F0200000}"/>
    <cellStyle name="Note 2 3 2 2 2" xfId="3243" xr:uid="{00000000-0005-0000-0000-0000F1200000}"/>
    <cellStyle name="Note 2 3 2 2 2 2" xfId="7465" xr:uid="{00000000-0005-0000-0000-0000F2200000}"/>
    <cellStyle name="Note 2 3 2 2 2 2 2" xfId="16791" xr:uid="{E3D7F8B9-92B8-4614-8B21-18BF100A605A}"/>
    <cellStyle name="Note 2 3 2 2 2 2 3" xfId="25238" xr:uid="{8F24288B-FFA8-42DA-BD31-A2D88FBFC8E8}"/>
    <cellStyle name="Note 2 3 2 2 2 2 4" xfId="33685" xr:uid="{A9B241AD-9E97-4461-8C66-1A8361AA5B10}"/>
    <cellStyle name="Note 2 3 2 2 2 3" xfId="12574" xr:uid="{E73839A3-4A71-4805-8971-EBAD0B5342CC}"/>
    <cellStyle name="Note 2 3 2 2 2 4" xfId="21021" xr:uid="{06D0FD4B-27E4-4BA8-89CF-8017F80E1DA4}"/>
    <cellStyle name="Note 2 3 2 2 2 5" xfId="29468" xr:uid="{4596A245-036B-4D4E-A83B-9CB606526CEF}"/>
    <cellStyle name="Note 2 3 2 2 3" xfId="5320" xr:uid="{00000000-0005-0000-0000-0000F3200000}"/>
    <cellStyle name="Note 2 3 2 2 3 2" xfId="14646" xr:uid="{3050985E-CE41-44EE-817F-EE94DDB93A9B}"/>
    <cellStyle name="Note 2 3 2 2 3 3" xfId="23093" xr:uid="{15ECC54D-4775-4B67-9786-FEDD7C621C54}"/>
    <cellStyle name="Note 2 3 2 2 3 4" xfId="31540" xr:uid="{DB07B50D-241E-40D2-ADE2-A38E13FAC246}"/>
    <cellStyle name="Note 2 3 2 2 4" xfId="9526" xr:uid="{1C428179-0C82-4F5D-9FE4-E11D597F9E89}"/>
    <cellStyle name="Note 2 3 2 2 5" xfId="10429" xr:uid="{11065DBE-4BB2-48ED-A1C9-B610E7F0BF33}"/>
    <cellStyle name="Note 2 3 2 2 6" xfId="18876" xr:uid="{C70E9A6C-F843-4039-8A9A-0CA42417D78C}"/>
    <cellStyle name="Note 2 3 2 2 7" xfId="27323" xr:uid="{27AC1440-E27E-4605-9DB2-ED68B45631D8}"/>
    <cellStyle name="Note 2 3 2 3" xfId="1426" xr:uid="{00000000-0005-0000-0000-0000F4200000}"/>
    <cellStyle name="Note 2 3 2 3 2" xfId="3656" xr:uid="{00000000-0005-0000-0000-0000F5200000}"/>
    <cellStyle name="Note 2 3 2 3 2 2" xfId="7878" xr:uid="{00000000-0005-0000-0000-0000F6200000}"/>
    <cellStyle name="Note 2 3 2 3 2 2 2" xfId="17204" xr:uid="{015EFA11-C7F5-4064-AB8D-8D8176ABC553}"/>
    <cellStyle name="Note 2 3 2 3 2 2 3" xfId="25651" xr:uid="{C70EB369-8C06-4C70-B713-A5E5EDDFEE20}"/>
    <cellStyle name="Note 2 3 2 3 2 2 4" xfId="34098" xr:uid="{A19BA3BE-1AD0-4E2D-9D89-BF7B2B4A74B0}"/>
    <cellStyle name="Note 2 3 2 3 2 3" xfId="12987" xr:uid="{1872F799-FF3F-48F3-86B2-726F228E464B}"/>
    <cellStyle name="Note 2 3 2 3 2 4" xfId="21434" xr:uid="{3EC72835-1587-49A1-BEC5-427FCE47B0F0}"/>
    <cellStyle name="Note 2 3 2 3 2 5" xfId="29881" xr:uid="{3D658A69-D885-4DDF-9677-D3B6E26BF077}"/>
    <cellStyle name="Note 2 3 2 3 3" xfId="5733" xr:uid="{00000000-0005-0000-0000-0000F7200000}"/>
    <cellStyle name="Note 2 3 2 3 3 2" xfId="15059" xr:uid="{00882084-004A-499B-A832-3BCBB078EFBD}"/>
    <cellStyle name="Note 2 3 2 3 3 3" xfId="23506" xr:uid="{13F800B9-5CBD-4E1E-8B10-8552D65490F7}"/>
    <cellStyle name="Note 2 3 2 3 3 4" xfId="31953" xr:uid="{B6F9671A-5430-4495-B75C-704FCE6118BD}"/>
    <cellStyle name="Note 2 3 2 3 4" xfId="10842" xr:uid="{FFFE9A86-57AE-4A1F-892C-9F7085CBCBCA}"/>
    <cellStyle name="Note 2 3 2 3 5" xfId="19289" xr:uid="{265FBDE0-446A-4119-A6A3-793B1194424A}"/>
    <cellStyle name="Note 2 3 2 3 6" xfId="27736" xr:uid="{108B8EEE-498D-48F4-B39D-467C475DCF00}"/>
    <cellStyle name="Note 2 3 2 4" xfId="1840" xr:uid="{00000000-0005-0000-0000-0000F8200000}"/>
    <cellStyle name="Note 2 3 2 4 2" xfId="4069" xr:uid="{00000000-0005-0000-0000-0000F9200000}"/>
    <cellStyle name="Note 2 3 2 4 2 2" xfId="8291" xr:uid="{00000000-0005-0000-0000-0000FA200000}"/>
    <cellStyle name="Note 2 3 2 4 2 2 2" xfId="17617" xr:uid="{DB79780E-DB5E-4167-A8DC-A6D432D3B32F}"/>
    <cellStyle name="Note 2 3 2 4 2 2 3" xfId="26064" xr:uid="{B62F4781-059B-4335-B860-95D1B333D010}"/>
    <cellStyle name="Note 2 3 2 4 2 2 4" xfId="34511" xr:uid="{B5CDA704-114E-4ED5-8E53-1BD39051375D}"/>
    <cellStyle name="Note 2 3 2 4 2 3" xfId="13400" xr:uid="{340D1F4E-2C47-4BC3-A2C6-8A39FC1F3210}"/>
    <cellStyle name="Note 2 3 2 4 2 4" xfId="21847" xr:uid="{22AAE4AF-EF3F-4989-8A51-878D22ECEFB7}"/>
    <cellStyle name="Note 2 3 2 4 2 5" xfId="30294" xr:uid="{14C7E7DB-1EDF-46A1-9AA2-7E1C9EE477DF}"/>
    <cellStyle name="Note 2 3 2 4 3" xfId="6146" xr:uid="{00000000-0005-0000-0000-0000FB200000}"/>
    <cellStyle name="Note 2 3 2 4 3 2" xfId="15472" xr:uid="{BED3B545-E68F-497D-9660-A832F63AD1BB}"/>
    <cellStyle name="Note 2 3 2 4 3 3" xfId="23919" xr:uid="{0C0FF69E-362A-410F-8EBA-C00092F8B045}"/>
    <cellStyle name="Note 2 3 2 4 3 4" xfId="32366" xr:uid="{5F5BB556-E06C-4CAB-BBC2-2A86DEC898DA}"/>
    <cellStyle name="Note 2 3 2 4 4" xfId="11255" xr:uid="{232D5366-959E-475C-8C91-95CCDC964F08}"/>
    <cellStyle name="Note 2 3 2 4 5" xfId="19702" xr:uid="{18796F3E-0E2A-4E10-A6EA-5F53F440C35E}"/>
    <cellStyle name="Note 2 3 2 4 6" xfId="28149" xr:uid="{6871EAF1-1165-4F61-84BB-5C3B4E5C57FC}"/>
    <cellStyle name="Note 2 3 2 5" xfId="2253" xr:uid="{00000000-0005-0000-0000-0000FC200000}"/>
    <cellStyle name="Note 2 3 2 5 2" xfId="4482" xr:uid="{00000000-0005-0000-0000-0000FD200000}"/>
    <cellStyle name="Note 2 3 2 5 2 2" xfId="8704" xr:uid="{00000000-0005-0000-0000-0000FE200000}"/>
    <cellStyle name="Note 2 3 2 5 2 2 2" xfId="18030" xr:uid="{5AE58F98-C22B-4572-B105-D2E8F8AACEAD}"/>
    <cellStyle name="Note 2 3 2 5 2 2 3" xfId="26477" xr:uid="{8806F9C3-43A7-4200-8C5A-3399D364A00B}"/>
    <cellStyle name="Note 2 3 2 5 2 2 4" xfId="34924" xr:uid="{419015D6-275C-4663-A4C9-23D0EF51B272}"/>
    <cellStyle name="Note 2 3 2 5 2 3" xfId="13813" xr:uid="{FAEA0345-59A2-4ED2-9906-175185B2D86B}"/>
    <cellStyle name="Note 2 3 2 5 2 4" xfId="22260" xr:uid="{F6A954B8-32E1-4C55-A5FF-23B2C9A711E0}"/>
    <cellStyle name="Note 2 3 2 5 2 5" xfId="30707" xr:uid="{52101428-600F-45B1-ADAF-275E7202CEC0}"/>
    <cellStyle name="Note 2 3 2 5 3" xfId="6559" xr:uid="{00000000-0005-0000-0000-0000FF200000}"/>
    <cellStyle name="Note 2 3 2 5 3 2" xfId="15885" xr:uid="{D84AEED3-37AA-4220-A633-C7094DF726A1}"/>
    <cellStyle name="Note 2 3 2 5 3 3" xfId="24332" xr:uid="{32D32527-2C9C-4D97-AD6D-00EB17D7B06C}"/>
    <cellStyle name="Note 2 3 2 5 3 4" xfId="32779" xr:uid="{BC3596F6-9567-412B-8B35-49830A4D635A}"/>
    <cellStyle name="Note 2 3 2 5 4" xfId="11668" xr:uid="{28485D50-47A2-4E5A-AD6A-851A776D0BCD}"/>
    <cellStyle name="Note 2 3 2 5 5" xfId="20115" xr:uid="{8E41B8A4-17EC-4693-990B-7E9F4D7E6C9C}"/>
    <cellStyle name="Note 2 3 2 5 6" xfId="28562" xr:uid="{54213EE5-87CD-4AD1-95D7-E5EFE6C9D3D2}"/>
    <cellStyle name="Note 2 3 2 6" xfId="2689" xr:uid="{00000000-0005-0000-0000-000000210000}"/>
    <cellStyle name="Note 2 3 2 6 2" xfId="6972" xr:uid="{00000000-0005-0000-0000-000001210000}"/>
    <cellStyle name="Note 2 3 2 6 2 2" xfId="16298" xr:uid="{CA93D4F3-0FF9-423E-9DA5-EB5ED7602E7C}"/>
    <cellStyle name="Note 2 3 2 6 2 3" xfId="24745" xr:uid="{E2ACB6E1-E1CE-47EE-8667-309C9726A1F6}"/>
    <cellStyle name="Note 2 3 2 6 2 4" xfId="33192" xr:uid="{E1D90716-31EB-4F59-AC04-5EF31943DBAD}"/>
    <cellStyle name="Note 2 3 2 6 3" xfId="12081" xr:uid="{A9A93C3D-8B3C-41FB-9001-09959F1BB490}"/>
    <cellStyle name="Note 2 3 2 6 4" xfId="20528" xr:uid="{1931986E-1F54-495F-B5D1-606AFBDCC652}"/>
    <cellStyle name="Note 2 3 2 6 5" xfId="28975" xr:uid="{1A49B1E1-DE5E-4808-AA6C-4D8851AD8412}"/>
    <cellStyle name="Note 2 3 2 7" xfId="2748" xr:uid="{00000000-0005-0000-0000-000002210000}"/>
    <cellStyle name="Note 2 3 2 8" xfId="2829" xr:uid="{00000000-0005-0000-0000-000003210000}"/>
    <cellStyle name="Note 2 3 2 8 2" xfId="7052" xr:uid="{00000000-0005-0000-0000-000004210000}"/>
    <cellStyle name="Note 2 3 2 8 2 2" xfId="16378" xr:uid="{191F4CDF-D30C-4882-9499-A2F27DC48263}"/>
    <cellStyle name="Note 2 3 2 8 2 3" xfId="24825" xr:uid="{F5D7F097-6282-4968-9D5F-32C95DB6B999}"/>
    <cellStyle name="Note 2 3 2 8 2 4" xfId="33272" xr:uid="{ADB074E2-A397-48B7-B794-F49A0FE0EBFF}"/>
    <cellStyle name="Note 2 3 2 8 3" xfId="12161" xr:uid="{10E6988A-92D3-4B8A-9E56-39CB98CDC95B}"/>
    <cellStyle name="Note 2 3 2 8 4" xfId="20608" xr:uid="{70A80A0E-7268-4B23-BEA2-9837B76564EF}"/>
    <cellStyle name="Note 2 3 2 8 5" xfId="29055" xr:uid="{3557DE34-3506-4FA4-8CEB-D1F7F01FEB5B}"/>
    <cellStyle name="Note 2 3 2 9" xfId="4907" xr:uid="{00000000-0005-0000-0000-000005210000}"/>
    <cellStyle name="Note 2 3 2 9 2" xfId="14233" xr:uid="{E61B8774-5ADD-4D64-A6D7-1FE22372E0F1}"/>
    <cellStyle name="Note 2 3 2 9 3" xfId="22680" xr:uid="{3BC61DBC-7438-4816-97FD-2E62CA71E867}"/>
    <cellStyle name="Note 2 3 2 9 4" xfId="31127" xr:uid="{A37F67E0-862C-4CC5-B541-D9A31FBA7121}"/>
    <cellStyle name="Note 2 3 3" xfId="1010" xr:uid="{00000000-0005-0000-0000-000006210000}"/>
    <cellStyle name="Note 2 3 3 2" xfId="3242" xr:uid="{00000000-0005-0000-0000-000007210000}"/>
    <cellStyle name="Note 2 3 3 2 2" xfId="7464" xr:uid="{00000000-0005-0000-0000-000008210000}"/>
    <cellStyle name="Note 2 3 3 2 2 2" xfId="16790" xr:uid="{DFCA1996-78B9-4840-B4F9-972A4846BF02}"/>
    <cellStyle name="Note 2 3 3 2 2 3" xfId="25237" xr:uid="{7038E175-5C93-4819-B036-B18A1A6A9F4D}"/>
    <cellStyle name="Note 2 3 3 2 2 4" xfId="33684" xr:uid="{D60DDC59-E1B7-453F-ADF5-E984FB00F713}"/>
    <cellStyle name="Note 2 3 3 2 3" xfId="12573" xr:uid="{136D6FEC-BB40-4570-85E4-C5E8BEBC1DC6}"/>
    <cellStyle name="Note 2 3 3 2 4" xfId="21020" xr:uid="{0F209D96-F926-4F6C-9C04-3EA5F6835332}"/>
    <cellStyle name="Note 2 3 3 2 5" xfId="29467" xr:uid="{13E620E4-373F-47E4-B3FD-A7EAE8D2D5C7}"/>
    <cellStyle name="Note 2 3 3 3" xfId="5319" xr:uid="{00000000-0005-0000-0000-000009210000}"/>
    <cellStyle name="Note 2 3 3 3 2" xfId="14645" xr:uid="{454F57FE-49D7-4FD9-B63C-3B5A063516A0}"/>
    <cellStyle name="Note 2 3 3 3 3" xfId="23092" xr:uid="{4B474CF6-70C1-493B-B5DF-35FEA26E8BA6}"/>
    <cellStyle name="Note 2 3 3 3 4" xfId="31539" xr:uid="{51746470-5976-4208-85A8-F79FAE8EC180}"/>
    <cellStyle name="Note 2 3 3 4" xfId="9319" xr:uid="{06E4A3C6-5CAA-4424-B4C3-41162F21AE7D}"/>
    <cellStyle name="Note 2 3 3 5" xfId="10428" xr:uid="{3B368C9C-4A41-4893-ACCE-542025993B1E}"/>
    <cellStyle name="Note 2 3 3 6" xfId="18875" xr:uid="{6CC28C3D-DC76-4F53-AAD4-FC28BA15CDE3}"/>
    <cellStyle name="Note 2 3 3 7" xfId="27322" xr:uid="{DC0386A7-0A25-4988-8519-CD5B3AECF0B3}"/>
    <cellStyle name="Note 2 3 4" xfId="1425" xr:uid="{00000000-0005-0000-0000-00000A210000}"/>
    <cellStyle name="Note 2 3 4 2" xfId="3655" xr:uid="{00000000-0005-0000-0000-00000B210000}"/>
    <cellStyle name="Note 2 3 4 2 2" xfId="7877" xr:uid="{00000000-0005-0000-0000-00000C210000}"/>
    <cellStyle name="Note 2 3 4 2 2 2" xfId="17203" xr:uid="{2CA82905-E095-4B7B-96D4-277197F24B95}"/>
    <cellStyle name="Note 2 3 4 2 2 3" xfId="25650" xr:uid="{564C4C6B-AF09-481A-9E24-61443326CC93}"/>
    <cellStyle name="Note 2 3 4 2 2 4" xfId="34097" xr:uid="{6F5BF5AE-9BAA-4E6A-BE1C-999C98E26A76}"/>
    <cellStyle name="Note 2 3 4 2 3" xfId="12986" xr:uid="{E8A81FE5-16FC-4009-9B46-0A14B50DA417}"/>
    <cellStyle name="Note 2 3 4 2 4" xfId="21433" xr:uid="{948E56F0-E511-4AC2-B758-F537067AE2AC}"/>
    <cellStyle name="Note 2 3 4 2 5" xfId="29880" xr:uid="{67F9EB38-4931-44DC-8987-F5EF02C5D689}"/>
    <cellStyle name="Note 2 3 4 3" xfId="5732" xr:uid="{00000000-0005-0000-0000-00000D210000}"/>
    <cellStyle name="Note 2 3 4 3 2" xfId="15058" xr:uid="{E31BA78E-EA96-4C5A-991F-B4ECDCE8858D}"/>
    <cellStyle name="Note 2 3 4 3 3" xfId="23505" xr:uid="{844F4A7D-251A-4207-AECE-CE3B7C8EA446}"/>
    <cellStyle name="Note 2 3 4 3 4" xfId="31952" xr:uid="{A04E6A16-BAB2-4846-A695-29CBD6B1C339}"/>
    <cellStyle name="Note 2 3 4 4" xfId="10841" xr:uid="{D46CCC1A-0E61-4A8E-A08F-1FE476F41AEB}"/>
    <cellStyle name="Note 2 3 4 5" xfId="19288" xr:uid="{22EE0949-27EF-4869-A5E1-7E931188F6E5}"/>
    <cellStyle name="Note 2 3 4 6" xfId="27735" xr:uid="{C4C4EBEF-B37D-42B0-AA78-0EEF20120437}"/>
    <cellStyle name="Note 2 3 5" xfId="1839" xr:uid="{00000000-0005-0000-0000-00000E210000}"/>
    <cellStyle name="Note 2 3 5 2" xfId="4068" xr:uid="{00000000-0005-0000-0000-00000F210000}"/>
    <cellStyle name="Note 2 3 5 2 2" xfId="8290" xr:uid="{00000000-0005-0000-0000-000010210000}"/>
    <cellStyle name="Note 2 3 5 2 2 2" xfId="17616" xr:uid="{843137DE-D610-4B5A-9B7C-518035E88302}"/>
    <cellStyle name="Note 2 3 5 2 2 3" xfId="26063" xr:uid="{094C0B62-D093-4925-9DFC-CA24EF30DC6B}"/>
    <cellStyle name="Note 2 3 5 2 2 4" xfId="34510" xr:uid="{8E680EEC-17A3-4AE9-B972-DA1EBA98A75C}"/>
    <cellStyle name="Note 2 3 5 2 3" xfId="13399" xr:uid="{FD3A9EAB-9126-43BF-B44C-D99ECDBB1690}"/>
    <cellStyle name="Note 2 3 5 2 4" xfId="21846" xr:uid="{6B09E111-A5B6-4466-97CA-2A7F02CC55E3}"/>
    <cellStyle name="Note 2 3 5 2 5" xfId="30293" xr:uid="{EA4B012B-57C5-4768-AE48-8B9CC8D906BE}"/>
    <cellStyle name="Note 2 3 5 3" xfId="6145" xr:uid="{00000000-0005-0000-0000-000011210000}"/>
    <cellStyle name="Note 2 3 5 3 2" xfId="15471" xr:uid="{8BFD533D-2C85-4404-AE26-ACEAD9AA821E}"/>
    <cellStyle name="Note 2 3 5 3 3" xfId="23918" xr:uid="{F0B84019-65E9-4673-B89E-E10CA719386A}"/>
    <cellStyle name="Note 2 3 5 3 4" xfId="32365" xr:uid="{EFFFF1F6-BC85-43AF-A61E-D1159DAFFDDC}"/>
    <cellStyle name="Note 2 3 5 4" xfId="11254" xr:uid="{F612F03B-A9A7-4482-A6B3-DC231BAE595C}"/>
    <cellStyle name="Note 2 3 5 5" xfId="19701" xr:uid="{3FFDB73C-8974-4DF1-9291-69AEC7AC9911}"/>
    <cellStyle name="Note 2 3 5 6" xfId="28148" xr:uid="{0C05F2A2-7B04-49EE-9685-B5BC19B26F87}"/>
    <cellStyle name="Note 2 3 6" xfId="2252" xr:uid="{00000000-0005-0000-0000-000012210000}"/>
    <cellStyle name="Note 2 3 6 2" xfId="4481" xr:uid="{00000000-0005-0000-0000-000013210000}"/>
    <cellStyle name="Note 2 3 6 2 2" xfId="8703" xr:uid="{00000000-0005-0000-0000-000014210000}"/>
    <cellStyle name="Note 2 3 6 2 2 2" xfId="18029" xr:uid="{F030780F-75C9-4F9C-A609-56826E1C0FEF}"/>
    <cellStyle name="Note 2 3 6 2 2 3" xfId="26476" xr:uid="{3DFFE020-0726-4FF6-B52D-BE3F979377F3}"/>
    <cellStyle name="Note 2 3 6 2 2 4" xfId="34923" xr:uid="{D0C8347C-FFEA-4FA6-A2C2-52D34C28035E}"/>
    <cellStyle name="Note 2 3 6 2 3" xfId="13812" xr:uid="{7D5EC5EA-36F7-4FD3-949A-07BBB7142E1C}"/>
    <cellStyle name="Note 2 3 6 2 4" xfId="22259" xr:uid="{B871EEE9-D596-4F99-B2CC-7A860A6B25F3}"/>
    <cellStyle name="Note 2 3 6 2 5" xfId="30706" xr:uid="{34CB7228-20CF-47BD-BABE-A2CEEF2A5CE0}"/>
    <cellStyle name="Note 2 3 6 3" xfId="6558" xr:uid="{00000000-0005-0000-0000-000015210000}"/>
    <cellStyle name="Note 2 3 6 3 2" xfId="15884" xr:uid="{A88B8B47-70CF-4B64-8B4B-3AEFD460B242}"/>
    <cellStyle name="Note 2 3 6 3 3" xfId="24331" xr:uid="{9E3EFB80-E621-4A8D-941D-4AAD6AB230C4}"/>
    <cellStyle name="Note 2 3 6 3 4" xfId="32778" xr:uid="{8D6446BF-AC63-41EB-BC76-B315573DD383}"/>
    <cellStyle name="Note 2 3 6 4" xfId="11667" xr:uid="{8B54AA2A-1355-4FEA-89DD-6493AE2F0D94}"/>
    <cellStyle name="Note 2 3 6 5" xfId="20114" xr:uid="{16B78B52-D606-4B3A-A2C4-27B202272488}"/>
    <cellStyle name="Note 2 3 6 6" xfId="28561" xr:uid="{507A4B39-5B18-4607-9A21-76039B268C7D}"/>
    <cellStyle name="Note 2 3 7" xfId="2688" xr:uid="{00000000-0005-0000-0000-000016210000}"/>
    <cellStyle name="Note 2 3 7 2" xfId="6971" xr:uid="{00000000-0005-0000-0000-000017210000}"/>
    <cellStyle name="Note 2 3 7 2 2" xfId="16297" xr:uid="{B8B77E03-CEA9-4FB1-AC72-227AC3609760}"/>
    <cellStyle name="Note 2 3 7 2 3" xfId="24744" xr:uid="{3E7B7BA2-73BD-4223-8207-B54B327636AA}"/>
    <cellStyle name="Note 2 3 7 2 4" xfId="33191" xr:uid="{0F127D56-9F02-4888-89FF-7CD7266E2E42}"/>
    <cellStyle name="Note 2 3 7 3" xfId="12080" xr:uid="{190E0278-C09D-470D-AADA-6300EFCD5479}"/>
    <cellStyle name="Note 2 3 7 4" xfId="20527" xr:uid="{CB55E878-B104-46A4-907C-A48CCD0EC874}"/>
    <cellStyle name="Note 2 3 7 5" xfId="28974" xr:uid="{54D8423A-32DB-49F0-AEDE-2B1D7AC8EA08}"/>
    <cellStyle name="Note 2 3 8" xfId="2747" xr:uid="{00000000-0005-0000-0000-000018210000}"/>
    <cellStyle name="Note 2 3 9" xfId="2828" xr:uid="{00000000-0005-0000-0000-000019210000}"/>
    <cellStyle name="Note 2 3 9 2" xfId="7051" xr:uid="{00000000-0005-0000-0000-00001A210000}"/>
    <cellStyle name="Note 2 3 9 2 2" xfId="16377" xr:uid="{E17A991D-FE65-4E25-9D1B-4C145BC68D9B}"/>
    <cellStyle name="Note 2 3 9 2 3" xfId="24824" xr:uid="{B582B6E7-D112-471B-BDFD-01F5AF86521B}"/>
    <cellStyle name="Note 2 3 9 2 4" xfId="33271" xr:uid="{3D19F8FA-BAEE-4107-9C89-32DD5B85E110}"/>
    <cellStyle name="Note 2 3 9 3" xfId="12160" xr:uid="{71BE8029-ADAD-46E8-ACE0-054A2F7DEFC7}"/>
    <cellStyle name="Note 2 3 9 4" xfId="20607" xr:uid="{C93358BE-FE72-470A-AFDB-1854503A7BC5}"/>
    <cellStyle name="Note 2 3 9 5" xfId="29054" xr:uid="{02E83350-9BBC-4F4B-BA0B-31ACA92641A9}"/>
    <cellStyle name="Note 2 4" xfId="551" xr:uid="{00000000-0005-0000-0000-00001B210000}"/>
    <cellStyle name="Note 2 4 10" xfId="8998" xr:uid="{AC87C288-14A9-4FB3-A26C-1706964E6651}"/>
    <cellStyle name="Note 2 4 11" xfId="10017" xr:uid="{E369C39C-B991-4E21-B03E-3604831A8DCE}"/>
    <cellStyle name="Note 2 4 12" xfId="18464" xr:uid="{7029BC77-2BED-4E80-A1DD-A9E6D29393D8}"/>
    <cellStyle name="Note 2 4 13" xfId="26911" xr:uid="{06C5ABAD-E587-4215-98BF-9B23E4650E34}"/>
    <cellStyle name="Note 2 4 2" xfId="1012" xr:uid="{00000000-0005-0000-0000-00001C210000}"/>
    <cellStyle name="Note 2 4 2 2" xfId="3244" xr:uid="{00000000-0005-0000-0000-00001D210000}"/>
    <cellStyle name="Note 2 4 2 2 2" xfId="7466" xr:uid="{00000000-0005-0000-0000-00001E210000}"/>
    <cellStyle name="Note 2 4 2 2 2 2" xfId="16792" xr:uid="{22C46801-133E-4A55-B47B-415E2639C61A}"/>
    <cellStyle name="Note 2 4 2 2 2 3" xfId="25239" xr:uid="{4D7D2763-8A6F-4AE1-99B5-9435D4004FED}"/>
    <cellStyle name="Note 2 4 2 2 2 4" xfId="33686" xr:uid="{CE924E54-6F49-4848-A007-416A6C18F3AE}"/>
    <cellStyle name="Note 2 4 2 2 3" xfId="12575" xr:uid="{5528C2C1-F0D6-4863-81D4-F0C8EEC21253}"/>
    <cellStyle name="Note 2 4 2 2 4" xfId="21022" xr:uid="{D40D2A2B-ABAB-4D25-A452-648953853BAE}"/>
    <cellStyle name="Note 2 4 2 2 5" xfId="29469" xr:uid="{636DDE9A-51D7-4A11-B4B2-6E1CF3219310}"/>
    <cellStyle name="Note 2 4 2 3" xfId="5321" xr:uid="{00000000-0005-0000-0000-00001F210000}"/>
    <cellStyle name="Note 2 4 2 3 2" xfId="14647" xr:uid="{2D18B62F-75A8-4D52-8F21-4A14ECE2EDAA}"/>
    <cellStyle name="Note 2 4 2 3 3" xfId="23094" xr:uid="{E93F054D-5E1D-432A-B77B-C54ACE59E215}"/>
    <cellStyle name="Note 2 4 2 3 4" xfId="31541" xr:uid="{40C2DC06-8167-41EE-A6BF-612FD1113916}"/>
    <cellStyle name="Note 2 4 2 4" xfId="9423" xr:uid="{43B93802-BE55-43D9-BEBC-4095E3C1FF74}"/>
    <cellStyle name="Note 2 4 2 5" xfId="10430" xr:uid="{18B29BA8-B480-44C5-8C06-1302E6A486B3}"/>
    <cellStyle name="Note 2 4 2 6" xfId="18877" xr:uid="{00E2DFF1-5CFA-46A6-BB9C-4BDFDF9AEB3F}"/>
    <cellStyle name="Note 2 4 2 7" xfId="27324" xr:uid="{E61184DE-78B1-4D3A-8CAA-A35EAC90DC5A}"/>
    <cellStyle name="Note 2 4 3" xfId="1427" xr:uid="{00000000-0005-0000-0000-000020210000}"/>
    <cellStyle name="Note 2 4 3 2" xfId="3657" xr:uid="{00000000-0005-0000-0000-000021210000}"/>
    <cellStyle name="Note 2 4 3 2 2" xfId="7879" xr:uid="{00000000-0005-0000-0000-000022210000}"/>
    <cellStyle name="Note 2 4 3 2 2 2" xfId="17205" xr:uid="{5EC4699B-B6A7-4634-83CE-D25577177B23}"/>
    <cellStyle name="Note 2 4 3 2 2 3" xfId="25652" xr:uid="{C7DDE86F-434E-4BAF-9BBB-8EA9261133FC}"/>
    <cellStyle name="Note 2 4 3 2 2 4" xfId="34099" xr:uid="{BDA6FF4B-BB24-45E2-9F17-67743E332BFB}"/>
    <cellStyle name="Note 2 4 3 2 3" xfId="12988" xr:uid="{C22FEAE5-C31B-49D5-9070-BACA3AD434E4}"/>
    <cellStyle name="Note 2 4 3 2 4" xfId="21435" xr:uid="{0004F859-3C5E-4697-84B7-3EC8B8A0563A}"/>
    <cellStyle name="Note 2 4 3 2 5" xfId="29882" xr:uid="{AFE5448A-1857-4B46-8F3B-624BC09EA304}"/>
    <cellStyle name="Note 2 4 3 3" xfId="5734" xr:uid="{00000000-0005-0000-0000-000023210000}"/>
    <cellStyle name="Note 2 4 3 3 2" xfId="15060" xr:uid="{82031C25-355D-4FB4-95D3-06D52F1A62BF}"/>
    <cellStyle name="Note 2 4 3 3 3" xfId="23507" xr:uid="{E28665F9-4235-4C94-99B0-75E917070F53}"/>
    <cellStyle name="Note 2 4 3 3 4" xfId="31954" xr:uid="{9F7DCF7A-65FC-4850-A3A0-6AEB2697C31D}"/>
    <cellStyle name="Note 2 4 3 4" xfId="10843" xr:uid="{B6FC97DB-2B1E-4345-81CE-34B2353F37B7}"/>
    <cellStyle name="Note 2 4 3 5" xfId="19290" xr:uid="{FDE33D55-601C-4B9C-9F78-9546762D75B4}"/>
    <cellStyle name="Note 2 4 3 6" xfId="27737" xr:uid="{ED8236CA-920B-432C-8A38-D9363A9F44F5}"/>
    <cellStyle name="Note 2 4 4" xfId="1841" xr:uid="{00000000-0005-0000-0000-000024210000}"/>
    <cellStyle name="Note 2 4 4 2" xfId="4070" xr:uid="{00000000-0005-0000-0000-000025210000}"/>
    <cellStyle name="Note 2 4 4 2 2" xfId="8292" xr:uid="{00000000-0005-0000-0000-000026210000}"/>
    <cellStyle name="Note 2 4 4 2 2 2" xfId="17618" xr:uid="{3BFC50DA-76FF-4F19-B52D-E8793E0789FC}"/>
    <cellStyle name="Note 2 4 4 2 2 3" xfId="26065" xr:uid="{6FA7BB61-2776-4FBA-A1BB-D227F5D6F5F5}"/>
    <cellStyle name="Note 2 4 4 2 2 4" xfId="34512" xr:uid="{44594996-C458-4663-8001-71B5519E5994}"/>
    <cellStyle name="Note 2 4 4 2 3" xfId="13401" xr:uid="{38DBCA25-017C-44A6-8A89-5A8EC876DD16}"/>
    <cellStyle name="Note 2 4 4 2 4" xfId="21848" xr:uid="{F24847B7-AD86-4468-BE0A-14B42AF86E86}"/>
    <cellStyle name="Note 2 4 4 2 5" xfId="30295" xr:uid="{F2610BC4-CF9E-4C72-9A1E-9A45E0615D10}"/>
    <cellStyle name="Note 2 4 4 3" xfId="6147" xr:uid="{00000000-0005-0000-0000-000027210000}"/>
    <cellStyle name="Note 2 4 4 3 2" xfId="15473" xr:uid="{B8CF4928-ADE9-422A-97A1-1800E22378BB}"/>
    <cellStyle name="Note 2 4 4 3 3" xfId="23920" xr:uid="{3639C5AF-339E-48FD-81C4-99F10A88D607}"/>
    <cellStyle name="Note 2 4 4 3 4" xfId="32367" xr:uid="{D48753E4-9782-4CA8-87BD-BC7AA4DD1DD5}"/>
    <cellStyle name="Note 2 4 4 4" xfId="11256" xr:uid="{14AA6AEF-780F-4782-B1EE-FEC4C45ABB92}"/>
    <cellStyle name="Note 2 4 4 5" xfId="19703" xr:uid="{531C2CF9-A7F6-4576-9116-FDA5AF9907A1}"/>
    <cellStyle name="Note 2 4 4 6" xfId="28150" xr:uid="{E816C020-F338-472F-85E7-C376B54882CB}"/>
    <cellStyle name="Note 2 4 5" xfId="2254" xr:uid="{00000000-0005-0000-0000-000028210000}"/>
    <cellStyle name="Note 2 4 5 2" xfId="4483" xr:uid="{00000000-0005-0000-0000-000029210000}"/>
    <cellStyle name="Note 2 4 5 2 2" xfId="8705" xr:uid="{00000000-0005-0000-0000-00002A210000}"/>
    <cellStyle name="Note 2 4 5 2 2 2" xfId="18031" xr:uid="{1D6B9ACF-FBD7-408F-AA33-16E5CAC6B668}"/>
    <cellStyle name="Note 2 4 5 2 2 3" xfId="26478" xr:uid="{4AA914EB-3EA4-47B1-9B19-DB922288C32F}"/>
    <cellStyle name="Note 2 4 5 2 2 4" xfId="34925" xr:uid="{9E5BB638-F58D-4DAB-9924-D0CFB2FBB26B}"/>
    <cellStyle name="Note 2 4 5 2 3" xfId="13814" xr:uid="{FE8D07A9-734A-4670-9FC0-20451F382CDF}"/>
    <cellStyle name="Note 2 4 5 2 4" xfId="22261" xr:uid="{A825067A-EBAE-4E56-97F1-49A8D3E9B706}"/>
    <cellStyle name="Note 2 4 5 2 5" xfId="30708" xr:uid="{2C5976C8-DF84-493E-A343-251D7C8CCA12}"/>
    <cellStyle name="Note 2 4 5 3" xfId="6560" xr:uid="{00000000-0005-0000-0000-00002B210000}"/>
    <cellStyle name="Note 2 4 5 3 2" xfId="15886" xr:uid="{82E27CC1-8A77-4C33-9688-1761CF598827}"/>
    <cellStyle name="Note 2 4 5 3 3" xfId="24333" xr:uid="{091A5957-1D97-4CBD-9008-9DF5F66BD24B}"/>
    <cellStyle name="Note 2 4 5 3 4" xfId="32780" xr:uid="{6DABFECA-16A0-4328-9CD6-0803D046D2A0}"/>
    <cellStyle name="Note 2 4 5 4" xfId="11669" xr:uid="{9D553BB6-DC71-456A-8397-3930B36675F7}"/>
    <cellStyle name="Note 2 4 5 5" xfId="20116" xr:uid="{E20ACDE2-AB40-45C8-8516-2CFAC2BF1747}"/>
    <cellStyle name="Note 2 4 5 6" xfId="28563" xr:uid="{6B8B30DE-1639-4281-B1A6-BFA53C4267C0}"/>
    <cellStyle name="Note 2 4 6" xfId="2690" xr:uid="{00000000-0005-0000-0000-00002C210000}"/>
    <cellStyle name="Note 2 4 6 2" xfId="6973" xr:uid="{00000000-0005-0000-0000-00002D210000}"/>
    <cellStyle name="Note 2 4 6 2 2" xfId="16299" xr:uid="{47158430-B369-4BC9-B613-4BD382B2D708}"/>
    <cellStyle name="Note 2 4 6 2 3" xfId="24746" xr:uid="{5071E54C-9C22-4E02-8CEA-6A2CAF927188}"/>
    <cellStyle name="Note 2 4 6 2 4" xfId="33193" xr:uid="{A9C7ACFA-BB46-4F60-BCD4-1CD5A488A6C5}"/>
    <cellStyle name="Note 2 4 6 3" xfId="12082" xr:uid="{7BDE8437-92FF-422F-81C6-39F974176839}"/>
    <cellStyle name="Note 2 4 6 4" xfId="20529" xr:uid="{D252DCC8-8B7E-4A10-AA83-A15ACE0C7B4C}"/>
    <cellStyle name="Note 2 4 6 5" xfId="28976" xr:uid="{D9D073DA-6D35-4EA5-98EB-FB573D11A63F}"/>
    <cellStyle name="Note 2 4 7" xfId="2749" xr:uid="{00000000-0005-0000-0000-00002E210000}"/>
    <cellStyle name="Note 2 4 8" xfId="2830" xr:uid="{00000000-0005-0000-0000-00002F210000}"/>
    <cellStyle name="Note 2 4 8 2" xfId="7053" xr:uid="{00000000-0005-0000-0000-000030210000}"/>
    <cellStyle name="Note 2 4 8 2 2" xfId="16379" xr:uid="{57583067-CAE7-4C81-A53B-213ECD4EB8DF}"/>
    <cellStyle name="Note 2 4 8 2 3" xfId="24826" xr:uid="{9B692FBF-8D4A-4086-B57D-A6D257C1807B}"/>
    <cellStyle name="Note 2 4 8 2 4" xfId="33273" xr:uid="{1805343A-2F89-4B6C-BD91-B84F8E6C4DA7}"/>
    <cellStyle name="Note 2 4 8 3" xfId="12162" xr:uid="{D4BE2AC9-5891-4227-A98B-C8D253A0189D}"/>
    <cellStyle name="Note 2 4 8 4" xfId="20609" xr:uid="{AAF4EB74-4920-4208-8045-1AF660A7911B}"/>
    <cellStyle name="Note 2 4 8 5" xfId="29056" xr:uid="{0CF982CC-64A0-41FF-B43F-B54BEEFCDF7C}"/>
    <cellStyle name="Note 2 4 9" xfId="4908" xr:uid="{00000000-0005-0000-0000-000031210000}"/>
    <cellStyle name="Note 2 4 9 2" xfId="14234" xr:uid="{6C74124D-22A6-4A34-8D54-6F32F3863AAC}"/>
    <cellStyle name="Note 2 4 9 3" xfId="22681" xr:uid="{FE04DCE1-5644-4829-BD21-CFA3442D5E90}"/>
    <cellStyle name="Note 2 4 9 4" xfId="31128" xr:uid="{B5230563-7A1E-4AEB-98A8-33DBF87A0ED7}"/>
    <cellStyle name="Note 2 5" xfId="552" xr:uid="{00000000-0005-0000-0000-000032210000}"/>
    <cellStyle name="Note 2 5 10" xfId="9215" xr:uid="{69947D86-0683-476F-9E74-96CA08091560}"/>
    <cellStyle name="Note 2 5 11" xfId="10018" xr:uid="{77531690-5672-4037-AF65-CF6B134C9306}"/>
    <cellStyle name="Note 2 5 12" xfId="18465" xr:uid="{90860912-772D-44AD-AA65-0F371043955E}"/>
    <cellStyle name="Note 2 5 13" xfId="26912" xr:uid="{6FF37736-7B1B-4741-9560-54FC439DB6F9}"/>
    <cellStyle name="Note 2 5 2" xfId="1013" xr:uid="{00000000-0005-0000-0000-000033210000}"/>
    <cellStyle name="Note 2 5 2 2" xfId="3245" xr:uid="{00000000-0005-0000-0000-000034210000}"/>
    <cellStyle name="Note 2 5 2 2 2" xfId="7467" xr:uid="{00000000-0005-0000-0000-000035210000}"/>
    <cellStyle name="Note 2 5 2 2 2 2" xfId="16793" xr:uid="{86C93873-E83C-4A41-AE4F-30C3DA4A7C98}"/>
    <cellStyle name="Note 2 5 2 2 2 3" xfId="25240" xr:uid="{1E9D61F1-8D93-4921-81F6-6C8A0D321B4E}"/>
    <cellStyle name="Note 2 5 2 2 2 4" xfId="33687" xr:uid="{1FF20FAF-0EAE-4AAF-8C62-1F9DC884D3F0}"/>
    <cellStyle name="Note 2 5 2 2 3" xfId="12576" xr:uid="{6FC1F5C9-BBFE-4B88-9131-E18717E0F732}"/>
    <cellStyle name="Note 2 5 2 2 4" xfId="21023" xr:uid="{B942D84D-B749-41E3-965F-A8837A26B7B2}"/>
    <cellStyle name="Note 2 5 2 2 5" xfId="29470" xr:uid="{FA9EDA27-5A77-4E6E-BA43-0C0EC3177679}"/>
    <cellStyle name="Note 2 5 2 3" xfId="5322" xr:uid="{00000000-0005-0000-0000-000036210000}"/>
    <cellStyle name="Note 2 5 2 3 2" xfId="14648" xr:uid="{4B7517FB-ED00-437A-9326-907A05E84EF0}"/>
    <cellStyle name="Note 2 5 2 3 3" xfId="23095" xr:uid="{860D1451-3D7F-44C9-AAC7-481DC4D57982}"/>
    <cellStyle name="Note 2 5 2 3 4" xfId="31542" xr:uid="{D97B8950-8B27-46CC-AC31-70A33936B5AA}"/>
    <cellStyle name="Note 2 5 2 4" xfId="9610" xr:uid="{26530D10-1DF8-4FA4-8FC9-4C945AA92A94}"/>
    <cellStyle name="Note 2 5 2 5" xfId="10431" xr:uid="{C54752BA-B4AF-4879-A166-5FFB85BF8EC6}"/>
    <cellStyle name="Note 2 5 2 6" xfId="18878" xr:uid="{3E7597AC-A800-4FA5-89E9-CA2B587E3395}"/>
    <cellStyle name="Note 2 5 2 7" xfId="27325" xr:uid="{1C16EE4D-D3D0-4892-8945-CE6372E4E944}"/>
    <cellStyle name="Note 2 5 3" xfId="1428" xr:uid="{00000000-0005-0000-0000-000037210000}"/>
    <cellStyle name="Note 2 5 3 2" xfId="3658" xr:uid="{00000000-0005-0000-0000-000038210000}"/>
    <cellStyle name="Note 2 5 3 2 2" xfId="7880" xr:uid="{00000000-0005-0000-0000-000039210000}"/>
    <cellStyle name="Note 2 5 3 2 2 2" xfId="17206" xr:uid="{CA66F8DB-F539-469B-93BF-3BA75FF7762E}"/>
    <cellStyle name="Note 2 5 3 2 2 3" xfId="25653" xr:uid="{927A24B2-6A9E-43EA-BEF1-5AA77078261E}"/>
    <cellStyle name="Note 2 5 3 2 2 4" xfId="34100" xr:uid="{080B9BEB-EFCA-46BA-A4B6-88685C802FD4}"/>
    <cellStyle name="Note 2 5 3 2 3" xfId="12989" xr:uid="{7A915F1F-D25E-4836-B273-2F6B0D428841}"/>
    <cellStyle name="Note 2 5 3 2 4" xfId="21436" xr:uid="{DB0DBAC9-965B-4D6C-908B-792399346AC3}"/>
    <cellStyle name="Note 2 5 3 2 5" xfId="29883" xr:uid="{15B6301F-13E0-4930-8C50-5395D3621A69}"/>
    <cellStyle name="Note 2 5 3 3" xfId="5735" xr:uid="{00000000-0005-0000-0000-00003A210000}"/>
    <cellStyle name="Note 2 5 3 3 2" xfId="15061" xr:uid="{DF483E71-6044-47B8-AAB1-00186EF6A8A3}"/>
    <cellStyle name="Note 2 5 3 3 3" xfId="23508" xr:uid="{4B5F35C5-250E-4269-8522-F5DCB7B444E9}"/>
    <cellStyle name="Note 2 5 3 3 4" xfId="31955" xr:uid="{1DC9E90D-96D9-4DC2-85FB-E77838EB3908}"/>
    <cellStyle name="Note 2 5 3 4" xfId="10844" xr:uid="{C1B70AB7-109E-4F6F-87FB-4165D6FC83B7}"/>
    <cellStyle name="Note 2 5 3 5" xfId="19291" xr:uid="{2503EF44-6190-4704-8F71-EB67BF090248}"/>
    <cellStyle name="Note 2 5 3 6" xfId="27738" xr:uid="{34A021F4-6BE2-4391-8B09-891A4A565FAC}"/>
    <cellStyle name="Note 2 5 4" xfId="1842" xr:uid="{00000000-0005-0000-0000-00003B210000}"/>
    <cellStyle name="Note 2 5 4 2" xfId="4071" xr:uid="{00000000-0005-0000-0000-00003C210000}"/>
    <cellStyle name="Note 2 5 4 2 2" xfId="8293" xr:uid="{00000000-0005-0000-0000-00003D210000}"/>
    <cellStyle name="Note 2 5 4 2 2 2" xfId="17619" xr:uid="{02EEA9DA-AFF4-4C68-830C-BC63DD632C8A}"/>
    <cellStyle name="Note 2 5 4 2 2 3" xfId="26066" xr:uid="{D937076D-FF69-41DA-AEAA-A61F1725BBEC}"/>
    <cellStyle name="Note 2 5 4 2 2 4" xfId="34513" xr:uid="{8BFC40CD-E016-4150-88A9-134F278A2746}"/>
    <cellStyle name="Note 2 5 4 2 3" xfId="13402" xr:uid="{EA32EF57-E28C-4FEC-AFD3-2BCA5875685B}"/>
    <cellStyle name="Note 2 5 4 2 4" xfId="21849" xr:uid="{87DF15B0-C807-4284-A018-1F422400D175}"/>
    <cellStyle name="Note 2 5 4 2 5" xfId="30296" xr:uid="{0E83A588-3085-4480-BAF6-EA2C3A94E0A6}"/>
    <cellStyle name="Note 2 5 4 3" xfId="6148" xr:uid="{00000000-0005-0000-0000-00003E210000}"/>
    <cellStyle name="Note 2 5 4 3 2" xfId="15474" xr:uid="{3637FEC6-FEFE-421A-AB7A-1AA92402DBF0}"/>
    <cellStyle name="Note 2 5 4 3 3" xfId="23921" xr:uid="{C648D855-D1EA-4505-A046-1E27E9B493FA}"/>
    <cellStyle name="Note 2 5 4 3 4" xfId="32368" xr:uid="{355A3C2D-CA11-4BD7-8AE2-6122C6E17513}"/>
    <cellStyle name="Note 2 5 4 4" xfId="11257" xr:uid="{F2C0345F-C148-4C60-BF16-9194BB528CAA}"/>
    <cellStyle name="Note 2 5 4 5" xfId="19704" xr:uid="{C41EFE88-4953-44C7-9147-247055F72E8E}"/>
    <cellStyle name="Note 2 5 4 6" xfId="28151" xr:uid="{2BAE4514-BD72-4F1A-815F-4A32CFC65780}"/>
    <cellStyle name="Note 2 5 5" xfId="2255" xr:uid="{00000000-0005-0000-0000-00003F210000}"/>
    <cellStyle name="Note 2 5 5 2" xfId="4484" xr:uid="{00000000-0005-0000-0000-000040210000}"/>
    <cellStyle name="Note 2 5 5 2 2" xfId="8706" xr:uid="{00000000-0005-0000-0000-000041210000}"/>
    <cellStyle name="Note 2 5 5 2 2 2" xfId="18032" xr:uid="{026D18C9-5357-4824-8FE3-3B9C5768482A}"/>
    <cellStyle name="Note 2 5 5 2 2 3" xfId="26479" xr:uid="{A5B861AB-222F-4D1E-80CE-BB167BA5C20D}"/>
    <cellStyle name="Note 2 5 5 2 2 4" xfId="34926" xr:uid="{6B69A032-D9E5-4393-A958-7FB664465971}"/>
    <cellStyle name="Note 2 5 5 2 3" xfId="13815" xr:uid="{627CEBFE-5ED9-46BA-83C6-2FDCA437E9A2}"/>
    <cellStyle name="Note 2 5 5 2 4" xfId="22262" xr:uid="{EF694DBC-5BDD-4AD0-BB9A-BA44AE405D36}"/>
    <cellStyle name="Note 2 5 5 2 5" xfId="30709" xr:uid="{DC1E66E7-FC17-41B9-B82C-A73DD06E35BC}"/>
    <cellStyle name="Note 2 5 5 3" xfId="6561" xr:uid="{00000000-0005-0000-0000-000042210000}"/>
    <cellStyle name="Note 2 5 5 3 2" xfId="15887" xr:uid="{F58185C1-A632-4D95-8873-E240700B1CD5}"/>
    <cellStyle name="Note 2 5 5 3 3" xfId="24334" xr:uid="{C167A86C-EA57-4D7D-962E-A6E2AC8E75A8}"/>
    <cellStyle name="Note 2 5 5 3 4" xfId="32781" xr:uid="{63E1D91B-B52A-4B6D-A9F0-E61D2C8DB612}"/>
    <cellStyle name="Note 2 5 5 4" xfId="11670" xr:uid="{2A7BE8C4-05FE-4ABE-8309-BC0881CC7914}"/>
    <cellStyle name="Note 2 5 5 5" xfId="20117" xr:uid="{15715305-4C9C-44C0-8D53-FA8A51A28718}"/>
    <cellStyle name="Note 2 5 5 6" xfId="28564" xr:uid="{4A7F4FE1-46E2-4EC6-8D62-82BFFA43FB0A}"/>
    <cellStyle name="Note 2 5 6" xfId="2691" xr:uid="{00000000-0005-0000-0000-000043210000}"/>
    <cellStyle name="Note 2 5 6 2" xfId="6974" xr:uid="{00000000-0005-0000-0000-000044210000}"/>
    <cellStyle name="Note 2 5 6 2 2" xfId="16300" xr:uid="{5AD27741-02B3-4912-8058-B75B2783F387}"/>
    <cellStyle name="Note 2 5 6 2 3" xfId="24747" xr:uid="{562A5044-F155-4E39-9D42-D4DF897628EF}"/>
    <cellStyle name="Note 2 5 6 2 4" xfId="33194" xr:uid="{CA544267-88AD-4CFB-904D-1D8CEC6F68BA}"/>
    <cellStyle name="Note 2 5 6 3" xfId="12083" xr:uid="{3C48CFE0-E62E-4656-A3AD-56855BB721E9}"/>
    <cellStyle name="Note 2 5 6 4" xfId="20530" xr:uid="{A3655C2B-2F77-41F6-8802-6DD7A40C0952}"/>
    <cellStyle name="Note 2 5 6 5" xfId="28977" xr:uid="{2E2B2D29-FBA0-469D-BEA0-BEC2FF7B0C1E}"/>
    <cellStyle name="Note 2 5 7" xfId="2750" xr:uid="{00000000-0005-0000-0000-000045210000}"/>
    <cellStyle name="Note 2 5 8" xfId="2831" xr:uid="{00000000-0005-0000-0000-000046210000}"/>
    <cellStyle name="Note 2 5 8 2" xfId="7054" xr:uid="{00000000-0005-0000-0000-000047210000}"/>
    <cellStyle name="Note 2 5 8 2 2" xfId="16380" xr:uid="{80E6B2A9-2A85-4932-977D-E936796B0E78}"/>
    <cellStyle name="Note 2 5 8 2 3" xfId="24827" xr:uid="{B5122899-EF99-4B45-924E-1D71612BF487}"/>
    <cellStyle name="Note 2 5 8 2 4" xfId="33274" xr:uid="{09D96B65-4882-4DA5-B7E9-6DD63863E5FF}"/>
    <cellStyle name="Note 2 5 8 3" xfId="12163" xr:uid="{F0060B65-5A85-453F-A492-E9D2615CA964}"/>
    <cellStyle name="Note 2 5 8 4" xfId="20610" xr:uid="{63E62DBB-C0E9-4245-80D8-94D08E804409}"/>
    <cellStyle name="Note 2 5 8 5" xfId="29057" xr:uid="{0F37920C-4BB0-4AE6-A08D-40DAA84547F9}"/>
    <cellStyle name="Note 2 5 9" xfId="4909" xr:uid="{00000000-0005-0000-0000-000048210000}"/>
    <cellStyle name="Note 2 5 9 2" xfId="14235" xr:uid="{1F4100B6-78AD-41E3-B972-15ACFFE2C6AE}"/>
    <cellStyle name="Note 2 5 9 3" xfId="22682" xr:uid="{BC84717F-274A-4E22-800D-79A8408EE507}"/>
    <cellStyle name="Note 2 5 9 4" xfId="31129" xr:uid="{93039853-D4CD-4374-B639-69C86C48F9B5}"/>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16381" xr:uid="{883B5662-55E4-4037-BC3A-4BBF0CB78442}"/>
    <cellStyle name="Note 3 2 10 2 3" xfId="24828" xr:uid="{4BE8277D-1FF9-4634-A7B9-A4F7507FF74A}"/>
    <cellStyle name="Note 3 2 10 2 4" xfId="33275" xr:uid="{9CEA4484-4EE8-4C2B-B24E-FA7EACA7D8E4}"/>
    <cellStyle name="Note 3 2 10 3" xfId="12164" xr:uid="{C4273220-7462-4601-8EF8-C09944245293}"/>
    <cellStyle name="Note 3 2 10 4" xfId="20611" xr:uid="{A6B61AEA-1D31-47D1-B54B-1E35FD2C036A}"/>
    <cellStyle name="Note 3 2 10 5" xfId="29058" xr:uid="{38CCC16F-C224-4AE5-9C18-E76C444C372D}"/>
    <cellStyle name="Note 3 2 11" xfId="4910" xr:uid="{00000000-0005-0000-0000-00004D210000}"/>
    <cellStyle name="Note 3 2 11 2" xfId="14236" xr:uid="{6C9AB25C-407E-4CD8-87C0-6F722B7C4638}"/>
    <cellStyle name="Note 3 2 11 3" xfId="22683" xr:uid="{59FA18F6-91AA-4CF3-BCD8-B5CDB7C80ECF}"/>
    <cellStyle name="Note 3 2 11 4" xfId="31130" xr:uid="{823E8715-6022-47AE-9931-3FCC97EC83E7}"/>
    <cellStyle name="Note 3 2 12" xfId="8842" xr:uid="{646587AC-B7A9-43E2-AC1E-1B77745805D8}"/>
    <cellStyle name="Note 3 2 13" xfId="10019" xr:uid="{FFE2A3B4-1069-4987-B3C2-3BC0F98541E0}"/>
    <cellStyle name="Note 3 2 14" xfId="18466" xr:uid="{AC6BAF74-996B-4887-83DE-565F728FFD6F}"/>
    <cellStyle name="Note 3 2 15" xfId="26913" xr:uid="{6EF816A6-BBED-441F-A86F-3803DC1E424D}"/>
    <cellStyle name="Note 3 2 2" xfId="555" xr:uid="{00000000-0005-0000-0000-00004E210000}"/>
    <cellStyle name="Note 3 2 2 10" xfId="4911" xr:uid="{00000000-0005-0000-0000-00004F210000}"/>
    <cellStyle name="Note 3 2 2 10 2" xfId="14237" xr:uid="{DF469B64-1DA5-4898-B067-BBFFDADFFA8B}"/>
    <cellStyle name="Note 3 2 2 10 3" xfId="22684" xr:uid="{9C490DF5-862C-405F-A9DA-738A39122C18}"/>
    <cellStyle name="Note 3 2 2 10 4" xfId="31131" xr:uid="{9FFB3856-9912-43CA-8949-DE1F106E9C15}"/>
    <cellStyle name="Note 3 2 2 11" xfId="8945" xr:uid="{D320AF38-4F47-4266-9CB9-3BD7E15BFDAE}"/>
    <cellStyle name="Note 3 2 2 12" xfId="10020" xr:uid="{A19A719B-968A-4BFB-8B83-B55E07E41241}"/>
    <cellStyle name="Note 3 2 2 13" xfId="18467" xr:uid="{E8D80DBA-C47D-4037-8755-166A06549CB8}"/>
    <cellStyle name="Note 3 2 2 14" xfId="26914" xr:uid="{2866728C-F74C-4BF4-A8BC-7B85C2FDE564}"/>
    <cellStyle name="Note 3 2 2 2" xfId="556" xr:uid="{00000000-0005-0000-0000-000050210000}"/>
    <cellStyle name="Note 3 2 2 2 10" xfId="9152" xr:uid="{24874F5B-4700-44ED-9556-84C4E89A274D}"/>
    <cellStyle name="Note 3 2 2 2 11" xfId="10021" xr:uid="{45F3891B-98E2-4DF8-B2DA-3168D24BD928}"/>
    <cellStyle name="Note 3 2 2 2 12" xfId="18468" xr:uid="{201D5659-EE8A-41AD-9967-F48B24E8F0C9}"/>
    <cellStyle name="Note 3 2 2 2 13" xfId="26915" xr:uid="{BD8EF817-7403-46C4-8F43-4CF9E4EC319E}"/>
    <cellStyle name="Note 3 2 2 2 2" xfId="1016" xr:uid="{00000000-0005-0000-0000-000051210000}"/>
    <cellStyle name="Note 3 2 2 2 2 2" xfId="3248" xr:uid="{00000000-0005-0000-0000-000052210000}"/>
    <cellStyle name="Note 3 2 2 2 2 2 2" xfId="7470" xr:uid="{00000000-0005-0000-0000-000053210000}"/>
    <cellStyle name="Note 3 2 2 2 2 2 2 2" xfId="16796" xr:uid="{1ABB4354-AFEC-4240-9E6B-C8C01D0CC7F7}"/>
    <cellStyle name="Note 3 2 2 2 2 2 2 3" xfId="25243" xr:uid="{61629722-BCE7-49FF-8CBF-F8F909F261BE}"/>
    <cellStyle name="Note 3 2 2 2 2 2 2 4" xfId="33690" xr:uid="{FC084CD3-56A1-41C6-93D5-81283D216609}"/>
    <cellStyle name="Note 3 2 2 2 2 2 3" xfId="12579" xr:uid="{F252B52C-5D64-4922-9208-E34397419661}"/>
    <cellStyle name="Note 3 2 2 2 2 2 4" xfId="21026" xr:uid="{BD7C9F04-96FE-4389-B45D-CD1214F38A02}"/>
    <cellStyle name="Note 3 2 2 2 2 2 5" xfId="29473" xr:uid="{D11BF4B1-FA8C-4F52-8C1F-ECB15F4CC84F}"/>
    <cellStyle name="Note 3 2 2 2 2 3" xfId="5325" xr:uid="{00000000-0005-0000-0000-000054210000}"/>
    <cellStyle name="Note 3 2 2 2 2 3 2" xfId="14651" xr:uid="{A74C28CD-3B38-448E-B740-9AD798F4DA61}"/>
    <cellStyle name="Note 3 2 2 2 2 3 3" xfId="23098" xr:uid="{60067E91-6BB8-4268-AEEB-78985ACE17B2}"/>
    <cellStyle name="Note 3 2 2 2 2 3 4" xfId="31545" xr:uid="{04D80DED-F835-4F3C-A097-A0E7CA0B8406}"/>
    <cellStyle name="Note 3 2 2 2 2 4" xfId="9577" xr:uid="{7C0C89D7-CA14-4942-89B2-D584AC810EDC}"/>
    <cellStyle name="Note 3 2 2 2 2 5" xfId="10434" xr:uid="{D7FB4C1F-6712-4D6C-83C3-58E404BCDF23}"/>
    <cellStyle name="Note 3 2 2 2 2 6" xfId="18881" xr:uid="{07158F78-43B4-4A11-89D1-F6CBC14A1C32}"/>
    <cellStyle name="Note 3 2 2 2 2 7" xfId="27328" xr:uid="{5CA54002-111C-4316-B250-D2F23151DDD3}"/>
    <cellStyle name="Note 3 2 2 2 3" xfId="1431" xr:uid="{00000000-0005-0000-0000-000055210000}"/>
    <cellStyle name="Note 3 2 2 2 3 2" xfId="3661" xr:uid="{00000000-0005-0000-0000-000056210000}"/>
    <cellStyle name="Note 3 2 2 2 3 2 2" xfId="7883" xr:uid="{00000000-0005-0000-0000-000057210000}"/>
    <cellStyle name="Note 3 2 2 2 3 2 2 2" xfId="17209" xr:uid="{F65FF03D-D97A-4CA0-87BF-CE249552646A}"/>
    <cellStyle name="Note 3 2 2 2 3 2 2 3" xfId="25656" xr:uid="{4B9A3C42-15BE-4F43-A273-61025211DE8B}"/>
    <cellStyle name="Note 3 2 2 2 3 2 2 4" xfId="34103" xr:uid="{906251C8-D8BC-4A3B-9539-D021E624E828}"/>
    <cellStyle name="Note 3 2 2 2 3 2 3" xfId="12992" xr:uid="{8DF905B1-3D0E-49A0-9650-0066268F0768}"/>
    <cellStyle name="Note 3 2 2 2 3 2 4" xfId="21439" xr:uid="{17BEBFD6-65A3-48CD-B0C2-95F9463BCE96}"/>
    <cellStyle name="Note 3 2 2 2 3 2 5" xfId="29886" xr:uid="{3B2E8009-D286-4EBD-AC99-009903A7F8CA}"/>
    <cellStyle name="Note 3 2 2 2 3 3" xfId="5738" xr:uid="{00000000-0005-0000-0000-000058210000}"/>
    <cellStyle name="Note 3 2 2 2 3 3 2" xfId="15064" xr:uid="{C313F0C9-C987-48F6-BABC-09A2AB1CC26F}"/>
    <cellStyle name="Note 3 2 2 2 3 3 3" xfId="23511" xr:uid="{81126563-190A-4BBB-BF54-BB636E776F3F}"/>
    <cellStyle name="Note 3 2 2 2 3 3 4" xfId="31958" xr:uid="{61C9016E-5F11-4C2A-8130-AD7050005AC0}"/>
    <cellStyle name="Note 3 2 2 2 3 4" xfId="10847" xr:uid="{7D4BD3AB-3809-43B6-AD6E-D57CD65FFE96}"/>
    <cellStyle name="Note 3 2 2 2 3 5" xfId="19294" xr:uid="{73700642-3A0F-4DC1-A657-106B3E056E69}"/>
    <cellStyle name="Note 3 2 2 2 3 6" xfId="27741" xr:uid="{3137DA2C-B6FE-4BB3-B2C1-69C3DD40A314}"/>
    <cellStyle name="Note 3 2 2 2 4" xfId="1845" xr:uid="{00000000-0005-0000-0000-000059210000}"/>
    <cellStyle name="Note 3 2 2 2 4 2" xfId="4074" xr:uid="{00000000-0005-0000-0000-00005A210000}"/>
    <cellStyle name="Note 3 2 2 2 4 2 2" xfId="8296" xr:uid="{00000000-0005-0000-0000-00005B210000}"/>
    <cellStyle name="Note 3 2 2 2 4 2 2 2" xfId="17622" xr:uid="{FA6AFB7A-8191-4260-A382-BAC601359CC9}"/>
    <cellStyle name="Note 3 2 2 2 4 2 2 3" xfId="26069" xr:uid="{801D6CF7-89D0-456C-8D1E-CA1047199373}"/>
    <cellStyle name="Note 3 2 2 2 4 2 2 4" xfId="34516" xr:uid="{ACBCAE0F-08DC-4D4A-9359-EF45B0589342}"/>
    <cellStyle name="Note 3 2 2 2 4 2 3" xfId="13405" xr:uid="{851E385E-F9E1-4F83-B832-560A30EB620B}"/>
    <cellStyle name="Note 3 2 2 2 4 2 4" xfId="21852" xr:uid="{B3CD8BD7-735A-4E76-99C3-39E80BC747C3}"/>
    <cellStyle name="Note 3 2 2 2 4 2 5" xfId="30299" xr:uid="{DD0BADC5-0989-4A3F-821A-F002F48C54D7}"/>
    <cellStyle name="Note 3 2 2 2 4 3" xfId="6151" xr:uid="{00000000-0005-0000-0000-00005C210000}"/>
    <cellStyle name="Note 3 2 2 2 4 3 2" xfId="15477" xr:uid="{F825E373-CE71-4126-8083-A167258A3BCA}"/>
    <cellStyle name="Note 3 2 2 2 4 3 3" xfId="23924" xr:uid="{C52136B8-81CD-41FA-A16A-CB217BF85A84}"/>
    <cellStyle name="Note 3 2 2 2 4 3 4" xfId="32371" xr:uid="{9832C6AA-C30B-4E95-8EEA-BC0F0C4B2B85}"/>
    <cellStyle name="Note 3 2 2 2 4 4" xfId="11260" xr:uid="{204E2BAE-6A77-4118-93B2-B4F5F5365A36}"/>
    <cellStyle name="Note 3 2 2 2 4 5" xfId="19707" xr:uid="{4F4663FD-DC4C-42B2-BA96-ED017CCB2248}"/>
    <cellStyle name="Note 3 2 2 2 4 6" xfId="28154" xr:uid="{2765F687-0A02-432C-A4E9-3A8D23CA8BAB}"/>
    <cellStyle name="Note 3 2 2 2 5" xfId="2258" xr:uid="{00000000-0005-0000-0000-00005D210000}"/>
    <cellStyle name="Note 3 2 2 2 5 2" xfId="4487" xr:uid="{00000000-0005-0000-0000-00005E210000}"/>
    <cellStyle name="Note 3 2 2 2 5 2 2" xfId="8709" xr:uid="{00000000-0005-0000-0000-00005F210000}"/>
    <cellStyle name="Note 3 2 2 2 5 2 2 2" xfId="18035" xr:uid="{E6ECF2F7-7424-4F6F-8A53-7BA59DA13CA3}"/>
    <cellStyle name="Note 3 2 2 2 5 2 2 3" xfId="26482" xr:uid="{3BFF7D7C-B570-4910-B18B-109DC9BFB8EF}"/>
    <cellStyle name="Note 3 2 2 2 5 2 2 4" xfId="34929" xr:uid="{D7384313-60C4-40C7-88D0-B5934B332DDA}"/>
    <cellStyle name="Note 3 2 2 2 5 2 3" xfId="13818" xr:uid="{7ECFDDC7-4BEA-450F-9048-77380883015A}"/>
    <cellStyle name="Note 3 2 2 2 5 2 4" xfId="22265" xr:uid="{16DFE531-3AF2-443A-A822-F262ADEC4333}"/>
    <cellStyle name="Note 3 2 2 2 5 2 5" xfId="30712" xr:uid="{D4BC147F-E95D-4BDB-9D56-B7EE38204C95}"/>
    <cellStyle name="Note 3 2 2 2 5 3" xfId="6564" xr:uid="{00000000-0005-0000-0000-000060210000}"/>
    <cellStyle name="Note 3 2 2 2 5 3 2" xfId="15890" xr:uid="{51DD3E3C-E5A1-4ADC-8AD8-E0E2F6A2D7DA}"/>
    <cellStyle name="Note 3 2 2 2 5 3 3" xfId="24337" xr:uid="{DEABBEC0-70D1-41C6-9DF4-68A6D2CC120E}"/>
    <cellStyle name="Note 3 2 2 2 5 3 4" xfId="32784" xr:uid="{DCD5549F-478E-4947-A788-30116C3D1BE8}"/>
    <cellStyle name="Note 3 2 2 2 5 4" xfId="11673" xr:uid="{FE4F14B0-BAD8-41DC-B6B1-A92BFBBC5FE3}"/>
    <cellStyle name="Note 3 2 2 2 5 5" xfId="20120" xr:uid="{0E6DE0A4-A819-4B5E-899E-6030279826B7}"/>
    <cellStyle name="Note 3 2 2 2 5 6" xfId="28567" xr:uid="{9AB10037-6EEF-4BA7-A993-1265DA4E1E34}"/>
    <cellStyle name="Note 3 2 2 2 6" xfId="2694" xr:uid="{00000000-0005-0000-0000-000061210000}"/>
    <cellStyle name="Note 3 2 2 2 6 2" xfId="6977" xr:uid="{00000000-0005-0000-0000-000062210000}"/>
    <cellStyle name="Note 3 2 2 2 6 2 2" xfId="16303" xr:uid="{6875E523-CCE3-407A-ABC3-F1457AC47876}"/>
    <cellStyle name="Note 3 2 2 2 6 2 3" xfId="24750" xr:uid="{97EC08A2-3C04-4778-80A8-F0323B5D311A}"/>
    <cellStyle name="Note 3 2 2 2 6 2 4" xfId="33197" xr:uid="{DB55E59E-B6A6-4EB7-9019-342B4EB88EB3}"/>
    <cellStyle name="Note 3 2 2 2 6 3" xfId="12086" xr:uid="{9A5409F4-1FDB-4391-A627-024F4283E49D}"/>
    <cellStyle name="Note 3 2 2 2 6 4" xfId="20533" xr:uid="{E1F304AD-BEE2-4FE2-B35D-334A1815E95F}"/>
    <cellStyle name="Note 3 2 2 2 6 5" xfId="28980" xr:uid="{3A51BD95-ACF8-4F5E-AA25-37E79305B6A9}"/>
    <cellStyle name="Note 3 2 2 2 7" xfId="2753" xr:uid="{00000000-0005-0000-0000-000063210000}"/>
    <cellStyle name="Note 3 2 2 2 8" xfId="2834" xr:uid="{00000000-0005-0000-0000-000064210000}"/>
    <cellStyle name="Note 3 2 2 2 8 2" xfId="7057" xr:uid="{00000000-0005-0000-0000-000065210000}"/>
    <cellStyle name="Note 3 2 2 2 8 2 2" xfId="16383" xr:uid="{42BE4290-1E99-491B-8432-FB936C27C909}"/>
    <cellStyle name="Note 3 2 2 2 8 2 3" xfId="24830" xr:uid="{C835C899-682C-4E25-A5DF-4617C9747C74}"/>
    <cellStyle name="Note 3 2 2 2 8 2 4" xfId="33277" xr:uid="{538B34E0-6FAE-4FAF-A932-00A723BC5448}"/>
    <cellStyle name="Note 3 2 2 2 8 3" xfId="12166" xr:uid="{634EA828-5725-48AD-8070-D9F027E24139}"/>
    <cellStyle name="Note 3 2 2 2 8 4" xfId="20613" xr:uid="{684B5A0D-C3E8-4D49-AAD0-DBEAA828CCFA}"/>
    <cellStyle name="Note 3 2 2 2 8 5" xfId="29060" xr:uid="{39022316-C3C6-48CB-A427-8BBD723D5BBE}"/>
    <cellStyle name="Note 3 2 2 2 9" xfId="4912" xr:uid="{00000000-0005-0000-0000-000066210000}"/>
    <cellStyle name="Note 3 2 2 2 9 2" xfId="14238" xr:uid="{08239766-CC36-409A-8909-5EAA1C9C2D92}"/>
    <cellStyle name="Note 3 2 2 2 9 3" xfId="22685" xr:uid="{5B404F6B-2CB6-4A19-B9BD-6DCDD2881BAB}"/>
    <cellStyle name="Note 3 2 2 2 9 4" xfId="31132" xr:uid="{7B83D9CC-9BCF-4EB6-AA1A-CD33A38C2B71}"/>
    <cellStyle name="Note 3 2 2 3" xfId="1015" xr:uid="{00000000-0005-0000-0000-000067210000}"/>
    <cellStyle name="Note 3 2 2 3 2" xfId="3247" xr:uid="{00000000-0005-0000-0000-000068210000}"/>
    <cellStyle name="Note 3 2 2 3 2 2" xfId="7469" xr:uid="{00000000-0005-0000-0000-000069210000}"/>
    <cellStyle name="Note 3 2 2 3 2 2 2" xfId="16795" xr:uid="{6F08A0FF-B46F-4F54-8F5B-191E5EE8B6C1}"/>
    <cellStyle name="Note 3 2 2 3 2 2 3" xfId="25242" xr:uid="{20B0A13F-9077-46FD-9B6D-DD7316144D63}"/>
    <cellStyle name="Note 3 2 2 3 2 2 4" xfId="33689" xr:uid="{0CBB7801-EFE4-4773-BAEF-934100F38D4F}"/>
    <cellStyle name="Note 3 2 2 3 2 3" xfId="12578" xr:uid="{08FE9D64-C8A5-429C-B9B3-4000E8F3468C}"/>
    <cellStyle name="Note 3 2 2 3 2 4" xfId="21025" xr:uid="{7DBCF55B-B32D-4422-B8C8-794A5A722C30}"/>
    <cellStyle name="Note 3 2 2 3 2 5" xfId="29472" xr:uid="{4503DAB2-E383-4B1F-B2C0-63E555ACB68B}"/>
    <cellStyle name="Note 3 2 2 3 3" xfId="5324" xr:uid="{00000000-0005-0000-0000-00006A210000}"/>
    <cellStyle name="Note 3 2 2 3 3 2" xfId="14650" xr:uid="{791D60FD-F06E-49D2-8DE6-610C05757671}"/>
    <cellStyle name="Note 3 2 2 3 3 3" xfId="23097" xr:uid="{AC2E4B0F-16E0-4F79-BCAC-E1AEF1529E55}"/>
    <cellStyle name="Note 3 2 2 3 3 4" xfId="31544" xr:uid="{4200FE30-9ED8-4C8A-B32E-4A629AB634B9}"/>
    <cellStyle name="Note 3 2 2 3 4" xfId="9370" xr:uid="{7A803908-679B-4EF0-9BD4-89724B1FB321}"/>
    <cellStyle name="Note 3 2 2 3 5" xfId="10433" xr:uid="{BD1016C8-16F7-4AC3-B5F9-DAFAEBA65009}"/>
    <cellStyle name="Note 3 2 2 3 6" xfId="18880" xr:uid="{C41FA965-9304-4726-8EBF-19DEC1FDEBB8}"/>
    <cellStyle name="Note 3 2 2 3 7" xfId="27327" xr:uid="{92C116CA-FCB9-44A3-85D5-1D39243CD33E}"/>
    <cellStyle name="Note 3 2 2 4" xfId="1430" xr:uid="{00000000-0005-0000-0000-00006B210000}"/>
    <cellStyle name="Note 3 2 2 4 2" xfId="3660" xr:uid="{00000000-0005-0000-0000-00006C210000}"/>
    <cellStyle name="Note 3 2 2 4 2 2" xfId="7882" xr:uid="{00000000-0005-0000-0000-00006D210000}"/>
    <cellStyle name="Note 3 2 2 4 2 2 2" xfId="17208" xr:uid="{783503FE-AA0A-45C2-8AAA-0A740E249773}"/>
    <cellStyle name="Note 3 2 2 4 2 2 3" xfId="25655" xr:uid="{82F155DF-0E47-4043-B28D-65B85F308F84}"/>
    <cellStyle name="Note 3 2 2 4 2 2 4" xfId="34102" xr:uid="{19AFCB68-CA0C-4BD9-AEE6-0925CAFAC7D4}"/>
    <cellStyle name="Note 3 2 2 4 2 3" xfId="12991" xr:uid="{81C7FCE2-EAF5-48EF-BB53-1701B58C42C9}"/>
    <cellStyle name="Note 3 2 2 4 2 4" xfId="21438" xr:uid="{E567670E-7A1A-4AC3-A22F-39C18906BD72}"/>
    <cellStyle name="Note 3 2 2 4 2 5" xfId="29885" xr:uid="{7C243A51-6E15-48BA-835E-5693EA9217A0}"/>
    <cellStyle name="Note 3 2 2 4 3" xfId="5737" xr:uid="{00000000-0005-0000-0000-00006E210000}"/>
    <cellStyle name="Note 3 2 2 4 3 2" xfId="15063" xr:uid="{93A0A4DB-2BE9-4AC0-B95E-B81D2C7AAAC8}"/>
    <cellStyle name="Note 3 2 2 4 3 3" xfId="23510" xr:uid="{B4B19B06-1605-417C-A425-D1D1E6D4800B}"/>
    <cellStyle name="Note 3 2 2 4 3 4" xfId="31957" xr:uid="{F54CE262-5BC1-4617-B5AA-218B6BA958E0}"/>
    <cellStyle name="Note 3 2 2 4 4" xfId="10846" xr:uid="{6FE9AE4A-A09A-4278-AB04-513EA4B18EA3}"/>
    <cellStyle name="Note 3 2 2 4 5" xfId="19293" xr:uid="{35A9A41E-0B88-4C5A-AADC-51DC62AC97FA}"/>
    <cellStyle name="Note 3 2 2 4 6" xfId="27740" xr:uid="{146F88BC-8ACE-4630-9D81-9DF523D0E4B7}"/>
    <cellStyle name="Note 3 2 2 5" xfId="1844" xr:uid="{00000000-0005-0000-0000-00006F210000}"/>
    <cellStyle name="Note 3 2 2 5 2" xfId="4073" xr:uid="{00000000-0005-0000-0000-000070210000}"/>
    <cellStyle name="Note 3 2 2 5 2 2" xfId="8295" xr:uid="{00000000-0005-0000-0000-000071210000}"/>
    <cellStyle name="Note 3 2 2 5 2 2 2" xfId="17621" xr:uid="{F5B20CA6-8F3D-44C2-AF2B-309BF33804C9}"/>
    <cellStyle name="Note 3 2 2 5 2 2 3" xfId="26068" xr:uid="{25ACC6D9-41C8-4C62-8814-5BB6165220C9}"/>
    <cellStyle name="Note 3 2 2 5 2 2 4" xfId="34515" xr:uid="{8E533F24-94C0-48EC-928A-8A64CD949327}"/>
    <cellStyle name="Note 3 2 2 5 2 3" xfId="13404" xr:uid="{688A9E67-5697-46F3-924A-F81FD785EC5E}"/>
    <cellStyle name="Note 3 2 2 5 2 4" xfId="21851" xr:uid="{8CD738E1-5A11-4962-A7CE-E804E5F8B54A}"/>
    <cellStyle name="Note 3 2 2 5 2 5" xfId="30298" xr:uid="{D5CC6635-CB6E-466C-9DB3-C94E686C529F}"/>
    <cellStyle name="Note 3 2 2 5 3" xfId="6150" xr:uid="{00000000-0005-0000-0000-000072210000}"/>
    <cellStyle name="Note 3 2 2 5 3 2" xfId="15476" xr:uid="{F65B5F0B-724E-4265-84FC-3E1D9D8B0928}"/>
    <cellStyle name="Note 3 2 2 5 3 3" xfId="23923" xr:uid="{AA50979B-F963-44AF-9FB7-157B81B2C880}"/>
    <cellStyle name="Note 3 2 2 5 3 4" xfId="32370" xr:uid="{9E958D0B-0D3F-4BD2-9AC5-B1CA27DB6353}"/>
    <cellStyle name="Note 3 2 2 5 4" xfId="11259" xr:uid="{C480B03D-C824-42CB-96CD-A7C263F80924}"/>
    <cellStyle name="Note 3 2 2 5 5" xfId="19706" xr:uid="{6ACA59BD-9656-4032-BB7F-F140EB33D698}"/>
    <cellStyle name="Note 3 2 2 5 6" xfId="28153" xr:uid="{5DC63684-0B99-4783-9B38-FFAB4A6C1839}"/>
    <cellStyle name="Note 3 2 2 6" xfId="2257" xr:uid="{00000000-0005-0000-0000-000073210000}"/>
    <cellStyle name="Note 3 2 2 6 2" xfId="4486" xr:uid="{00000000-0005-0000-0000-000074210000}"/>
    <cellStyle name="Note 3 2 2 6 2 2" xfId="8708" xr:uid="{00000000-0005-0000-0000-000075210000}"/>
    <cellStyle name="Note 3 2 2 6 2 2 2" xfId="18034" xr:uid="{F08E22CF-E50C-41C3-A8A9-3A4B661A078B}"/>
    <cellStyle name="Note 3 2 2 6 2 2 3" xfId="26481" xr:uid="{2319CD14-F09E-4183-BBB9-D66A78A618F9}"/>
    <cellStyle name="Note 3 2 2 6 2 2 4" xfId="34928" xr:uid="{19318F73-9C89-464E-AF3F-A890737DA9BA}"/>
    <cellStyle name="Note 3 2 2 6 2 3" xfId="13817" xr:uid="{6B21B21D-F94D-4665-8388-CA7B95DC5362}"/>
    <cellStyle name="Note 3 2 2 6 2 4" xfId="22264" xr:uid="{34207328-7D8B-4227-80C8-306167C1CA24}"/>
    <cellStyle name="Note 3 2 2 6 2 5" xfId="30711" xr:uid="{CCFAD0A5-0435-4B5B-935D-79A12D8928FA}"/>
    <cellStyle name="Note 3 2 2 6 3" xfId="6563" xr:uid="{00000000-0005-0000-0000-000076210000}"/>
    <cellStyle name="Note 3 2 2 6 3 2" xfId="15889" xr:uid="{69B2754B-8098-4107-B131-FF9C5FA0C316}"/>
    <cellStyle name="Note 3 2 2 6 3 3" xfId="24336" xr:uid="{6F624618-EA80-4CC4-AF49-8812D7DAA068}"/>
    <cellStyle name="Note 3 2 2 6 3 4" xfId="32783" xr:uid="{5821F131-C1D0-4F0F-9002-8BF69099D925}"/>
    <cellStyle name="Note 3 2 2 6 4" xfId="11672" xr:uid="{DF6525E0-46CB-4904-A491-74BEBCF94F66}"/>
    <cellStyle name="Note 3 2 2 6 5" xfId="20119" xr:uid="{693C9DBD-55B0-4A8E-BCFF-DF4916E734AB}"/>
    <cellStyle name="Note 3 2 2 6 6" xfId="28566" xr:uid="{ED935B02-1AF7-46D7-98DC-D160EEDA6D25}"/>
    <cellStyle name="Note 3 2 2 7" xfId="2693" xr:uid="{00000000-0005-0000-0000-000077210000}"/>
    <cellStyle name="Note 3 2 2 7 2" xfId="6976" xr:uid="{00000000-0005-0000-0000-000078210000}"/>
    <cellStyle name="Note 3 2 2 7 2 2" xfId="16302" xr:uid="{DDA43FF0-9B4C-486B-A81B-FACFB3224E45}"/>
    <cellStyle name="Note 3 2 2 7 2 3" xfId="24749" xr:uid="{E76B40B5-3189-4ECC-BEA3-A01B5946A069}"/>
    <cellStyle name="Note 3 2 2 7 2 4" xfId="33196" xr:uid="{0E277DB6-38F6-4DD7-9D61-F5576CC05272}"/>
    <cellStyle name="Note 3 2 2 7 3" xfId="12085" xr:uid="{6C25DDD9-9395-4482-8EE7-A65D0CBA7380}"/>
    <cellStyle name="Note 3 2 2 7 4" xfId="20532" xr:uid="{5E182A19-15E3-4976-9528-2E02BC91B16E}"/>
    <cellStyle name="Note 3 2 2 7 5" xfId="28979" xr:uid="{39269484-23E0-44BB-AD62-E01EC181EC47}"/>
    <cellStyle name="Note 3 2 2 8" xfId="2752" xr:uid="{00000000-0005-0000-0000-000079210000}"/>
    <cellStyle name="Note 3 2 2 9" xfId="2833" xr:uid="{00000000-0005-0000-0000-00007A210000}"/>
    <cellStyle name="Note 3 2 2 9 2" xfId="7056" xr:uid="{00000000-0005-0000-0000-00007B210000}"/>
    <cellStyle name="Note 3 2 2 9 2 2" xfId="16382" xr:uid="{292A433D-E0D2-4D18-8C09-F4F2E76C3240}"/>
    <cellStyle name="Note 3 2 2 9 2 3" xfId="24829" xr:uid="{BDC99312-5BAA-45D2-9872-85F3233B4178}"/>
    <cellStyle name="Note 3 2 2 9 2 4" xfId="33276" xr:uid="{C22EC197-330E-4583-86E8-9CADBA419020}"/>
    <cellStyle name="Note 3 2 2 9 3" xfId="12165" xr:uid="{3CF673EF-6270-4FFE-BF00-6A75B338EA7F}"/>
    <cellStyle name="Note 3 2 2 9 4" xfId="20612" xr:uid="{BCCDF84C-6F67-4979-86A3-34E5D2532228}"/>
    <cellStyle name="Note 3 2 2 9 5" xfId="29059" xr:uid="{6B0C4A0A-38E6-4FC6-BB2D-7CB3E4A68180}"/>
    <cellStyle name="Note 3 2 3" xfId="557" xr:uid="{00000000-0005-0000-0000-00007C210000}"/>
    <cellStyle name="Note 3 2 3 10" xfId="9049" xr:uid="{98DA21AE-8EED-4AF2-A5D5-94394E9C9EFE}"/>
    <cellStyle name="Note 3 2 3 11" xfId="10022" xr:uid="{9CB67F65-A752-4E0C-BC0A-B64328858ADA}"/>
    <cellStyle name="Note 3 2 3 12" xfId="18469" xr:uid="{5B99F9EA-7C05-41DA-8253-7B5528E2A392}"/>
    <cellStyle name="Note 3 2 3 13" xfId="26916" xr:uid="{CCF020FF-08E2-4D52-9835-DAF330368BFC}"/>
    <cellStyle name="Note 3 2 3 2" xfId="1017" xr:uid="{00000000-0005-0000-0000-00007D210000}"/>
    <cellStyle name="Note 3 2 3 2 2" xfId="3249" xr:uid="{00000000-0005-0000-0000-00007E210000}"/>
    <cellStyle name="Note 3 2 3 2 2 2" xfId="7471" xr:uid="{00000000-0005-0000-0000-00007F210000}"/>
    <cellStyle name="Note 3 2 3 2 2 2 2" xfId="16797" xr:uid="{A2B09063-37BE-44F7-BDDA-A4E9DB8BD50E}"/>
    <cellStyle name="Note 3 2 3 2 2 2 3" xfId="25244" xr:uid="{ADC4EAD5-5B99-420E-AECD-4C21218E9779}"/>
    <cellStyle name="Note 3 2 3 2 2 2 4" xfId="33691" xr:uid="{FFFFEE2B-36DE-4EB4-9A19-87A17EF12F5C}"/>
    <cellStyle name="Note 3 2 3 2 2 3" xfId="12580" xr:uid="{50326131-9430-428E-9A28-9AE3CBEA53ED}"/>
    <cellStyle name="Note 3 2 3 2 2 4" xfId="21027" xr:uid="{25E6E23A-AE39-4E79-A72A-E901D7B4DBEE}"/>
    <cellStyle name="Note 3 2 3 2 2 5" xfId="29474" xr:uid="{B329E643-3140-4AF2-8E6C-31899B587DCE}"/>
    <cellStyle name="Note 3 2 3 2 3" xfId="5326" xr:uid="{00000000-0005-0000-0000-000080210000}"/>
    <cellStyle name="Note 3 2 3 2 3 2" xfId="14652" xr:uid="{8EB504BC-8EA4-4626-9CCD-0ED5CA4994EA}"/>
    <cellStyle name="Note 3 2 3 2 3 3" xfId="23099" xr:uid="{17F7DC91-2165-4BDB-A5FC-60C6C0970D9B}"/>
    <cellStyle name="Note 3 2 3 2 3 4" xfId="31546" xr:uid="{C8A76C31-BBB7-45BC-8272-9D9EF202307B}"/>
    <cellStyle name="Note 3 2 3 2 4" xfId="9474" xr:uid="{8827394E-7DCF-4E58-BF45-94E8587F7D91}"/>
    <cellStyle name="Note 3 2 3 2 5" xfId="10435" xr:uid="{1516596B-6F7E-4EF7-9D35-741A1A594323}"/>
    <cellStyle name="Note 3 2 3 2 6" xfId="18882" xr:uid="{4E2D3180-A546-436E-BB7B-7572596943F4}"/>
    <cellStyle name="Note 3 2 3 2 7" xfId="27329" xr:uid="{077DF72A-478B-49C9-8635-E571AEB12BD0}"/>
    <cellStyle name="Note 3 2 3 3" xfId="1432" xr:uid="{00000000-0005-0000-0000-000081210000}"/>
    <cellStyle name="Note 3 2 3 3 2" xfId="3662" xr:uid="{00000000-0005-0000-0000-000082210000}"/>
    <cellStyle name="Note 3 2 3 3 2 2" xfId="7884" xr:uid="{00000000-0005-0000-0000-000083210000}"/>
    <cellStyle name="Note 3 2 3 3 2 2 2" xfId="17210" xr:uid="{CD145AC4-1C3C-48A7-B6A7-433414A4110B}"/>
    <cellStyle name="Note 3 2 3 3 2 2 3" xfId="25657" xr:uid="{B663CF3C-FF50-4A22-996B-15DB27E96FD3}"/>
    <cellStyle name="Note 3 2 3 3 2 2 4" xfId="34104" xr:uid="{6378DF19-69C1-4F5B-A1A5-BE05DE379B50}"/>
    <cellStyle name="Note 3 2 3 3 2 3" xfId="12993" xr:uid="{E59CFE8B-686F-45EE-8D13-83CD511C4763}"/>
    <cellStyle name="Note 3 2 3 3 2 4" xfId="21440" xr:uid="{D04C4976-E476-4B77-B5DA-5FB63FEF13D1}"/>
    <cellStyle name="Note 3 2 3 3 2 5" xfId="29887" xr:uid="{F9ADB0C6-379B-403A-83DD-035874FCBBCC}"/>
    <cellStyle name="Note 3 2 3 3 3" xfId="5739" xr:uid="{00000000-0005-0000-0000-000084210000}"/>
    <cellStyle name="Note 3 2 3 3 3 2" xfId="15065" xr:uid="{084F5F9B-E0F7-4E15-9357-71B68EA9040C}"/>
    <cellStyle name="Note 3 2 3 3 3 3" xfId="23512" xr:uid="{4D6C25CE-D734-439F-A6BB-A8A1756056EA}"/>
    <cellStyle name="Note 3 2 3 3 3 4" xfId="31959" xr:uid="{0B6E3FEF-3671-46FD-9C09-0EA683B6EB08}"/>
    <cellStyle name="Note 3 2 3 3 4" xfId="10848" xr:uid="{B1BFFC4D-8A88-4117-AC44-3D8DFED848C5}"/>
    <cellStyle name="Note 3 2 3 3 5" xfId="19295" xr:uid="{94E23890-9632-49A1-A5D0-B364B43D70F2}"/>
    <cellStyle name="Note 3 2 3 3 6" xfId="27742" xr:uid="{22E166D3-8511-4C3B-9643-712E40D3431D}"/>
    <cellStyle name="Note 3 2 3 4" xfId="1846" xr:uid="{00000000-0005-0000-0000-000085210000}"/>
    <cellStyle name="Note 3 2 3 4 2" xfId="4075" xr:uid="{00000000-0005-0000-0000-000086210000}"/>
    <cellStyle name="Note 3 2 3 4 2 2" xfId="8297" xr:uid="{00000000-0005-0000-0000-000087210000}"/>
    <cellStyle name="Note 3 2 3 4 2 2 2" xfId="17623" xr:uid="{3BC8EFF5-98CF-494D-9F27-6A0CF1072101}"/>
    <cellStyle name="Note 3 2 3 4 2 2 3" xfId="26070" xr:uid="{FCEAB3F4-37B2-47CE-AF7B-005B3AD27B1D}"/>
    <cellStyle name="Note 3 2 3 4 2 2 4" xfId="34517" xr:uid="{9FF66939-AAA5-4261-955C-E16A7FB3338A}"/>
    <cellStyle name="Note 3 2 3 4 2 3" xfId="13406" xr:uid="{72CE506B-B791-4A9B-9AE6-D50FFD5A3426}"/>
    <cellStyle name="Note 3 2 3 4 2 4" xfId="21853" xr:uid="{99978460-6917-419D-B94B-B79F68E6D255}"/>
    <cellStyle name="Note 3 2 3 4 2 5" xfId="30300" xr:uid="{CB379620-6636-49AA-B011-4C6C8A47D73B}"/>
    <cellStyle name="Note 3 2 3 4 3" xfId="6152" xr:uid="{00000000-0005-0000-0000-000088210000}"/>
    <cellStyle name="Note 3 2 3 4 3 2" xfId="15478" xr:uid="{747464D6-B4F8-420B-8AE9-B8ECD1B30D8C}"/>
    <cellStyle name="Note 3 2 3 4 3 3" xfId="23925" xr:uid="{F9AE2C7F-0433-4112-B00F-40D6D596DE64}"/>
    <cellStyle name="Note 3 2 3 4 3 4" xfId="32372" xr:uid="{A05218C4-FCA8-409C-8F46-D624AE6BAD5C}"/>
    <cellStyle name="Note 3 2 3 4 4" xfId="11261" xr:uid="{8017E653-3A74-4979-BC4A-A283D4B1D006}"/>
    <cellStyle name="Note 3 2 3 4 5" xfId="19708" xr:uid="{B1956C29-FC58-4286-9122-00655F0AC4FA}"/>
    <cellStyle name="Note 3 2 3 4 6" xfId="28155" xr:uid="{EAF34B9C-3604-4476-AD4F-9E6973AAB3AA}"/>
    <cellStyle name="Note 3 2 3 5" xfId="2259" xr:uid="{00000000-0005-0000-0000-000089210000}"/>
    <cellStyle name="Note 3 2 3 5 2" xfId="4488" xr:uid="{00000000-0005-0000-0000-00008A210000}"/>
    <cellStyle name="Note 3 2 3 5 2 2" xfId="8710" xr:uid="{00000000-0005-0000-0000-00008B210000}"/>
    <cellStyle name="Note 3 2 3 5 2 2 2" xfId="18036" xr:uid="{266B8DE8-6F09-413C-AD1E-A89FBB424F26}"/>
    <cellStyle name="Note 3 2 3 5 2 2 3" xfId="26483" xr:uid="{E10E05B9-44FA-4EF3-BCE0-98CA6018FD9A}"/>
    <cellStyle name="Note 3 2 3 5 2 2 4" xfId="34930" xr:uid="{AFC1E49F-43EC-4064-B7F8-3B3344E3EC87}"/>
    <cellStyle name="Note 3 2 3 5 2 3" xfId="13819" xr:uid="{4E33A7B1-16BF-427C-AF69-23EF7C76039E}"/>
    <cellStyle name="Note 3 2 3 5 2 4" xfId="22266" xr:uid="{C7135E3B-904E-4996-8575-BFFD6EB1951A}"/>
    <cellStyle name="Note 3 2 3 5 2 5" xfId="30713" xr:uid="{08A22438-51D3-49A7-BDF3-02C27A6CA755}"/>
    <cellStyle name="Note 3 2 3 5 3" xfId="6565" xr:uid="{00000000-0005-0000-0000-00008C210000}"/>
    <cellStyle name="Note 3 2 3 5 3 2" xfId="15891" xr:uid="{D13CFC49-D6E1-453A-A89E-5D5D9CF0D6FC}"/>
    <cellStyle name="Note 3 2 3 5 3 3" xfId="24338" xr:uid="{4DBEC4A3-CC82-4A10-AF43-E3EA364EE80D}"/>
    <cellStyle name="Note 3 2 3 5 3 4" xfId="32785" xr:uid="{43B340A7-7496-4570-B8D0-D5CDBB7F4393}"/>
    <cellStyle name="Note 3 2 3 5 4" xfId="11674" xr:uid="{615905C3-553E-4912-82C4-F6B017C6098A}"/>
    <cellStyle name="Note 3 2 3 5 5" xfId="20121" xr:uid="{412B1041-23C4-4225-B7D4-8F244BDCFC51}"/>
    <cellStyle name="Note 3 2 3 5 6" xfId="28568" xr:uid="{CDD17703-9B33-4198-9F4C-7B73A7E59142}"/>
    <cellStyle name="Note 3 2 3 6" xfId="2695" xr:uid="{00000000-0005-0000-0000-00008D210000}"/>
    <cellStyle name="Note 3 2 3 6 2" xfId="6978" xr:uid="{00000000-0005-0000-0000-00008E210000}"/>
    <cellStyle name="Note 3 2 3 6 2 2" xfId="16304" xr:uid="{EFD0BAE9-CEC0-422A-B897-E850FB835D00}"/>
    <cellStyle name="Note 3 2 3 6 2 3" xfId="24751" xr:uid="{1883D157-2C5B-4F33-B0A3-5EB66ADFFEBF}"/>
    <cellStyle name="Note 3 2 3 6 2 4" xfId="33198" xr:uid="{2FEB29B9-0CF5-4007-A0EB-0162A590AD12}"/>
    <cellStyle name="Note 3 2 3 6 3" xfId="12087" xr:uid="{B91D4225-83F9-4177-B216-2C04DDC934AC}"/>
    <cellStyle name="Note 3 2 3 6 4" xfId="20534" xr:uid="{A4EEACAE-A500-4937-8EE6-2F16D6962327}"/>
    <cellStyle name="Note 3 2 3 6 5" xfId="28981" xr:uid="{9C74E52D-AC3C-4EA0-8105-88F0320F5DAE}"/>
    <cellStyle name="Note 3 2 3 7" xfId="2754" xr:uid="{00000000-0005-0000-0000-00008F210000}"/>
    <cellStyle name="Note 3 2 3 8" xfId="2835" xr:uid="{00000000-0005-0000-0000-000090210000}"/>
    <cellStyle name="Note 3 2 3 8 2" xfId="7058" xr:uid="{00000000-0005-0000-0000-000091210000}"/>
    <cellStyle name="Note 3 2 3 8 2 2" xfId="16384" xr:uid="{C07981E1-C7CA-464B-A47D-16B19639A25C}"/>
    <cellStyle name="Note 3 2 3 8 2 3" xfId="24831" xr:uid="{DA7997FF-5F55-404D-8825-BFB53988FB83}"/>
    <cellStyle name="Note 3 2 3 8 2 4" xfId="33278" xr:uid="{324F519F-D77A-4D85-8770-CB6412F5BFD2}"/>
    <cellStyle name="Note 3 2 3 8 3" xfId="12167" xr:uid="{E75807BF-1800-4AE0-82F3-74268F039D75}"/>
    <cellStyle name="Note 3 2 3 8 4" xfId="20614" xr:uid="{3FCE3E14-C340-4E96-8466-B3C35FD9D6A4}"/>
    <cellStyle name="Note 3 2 3 8 5" xfId="29061" xr:uid="{589E0520-2F4A-4CF8-A269-3932D36BE8FE}"/>
    <cellStyle name="Note 3 2 3 9" xfId="4913" xr:uid="{00000000-0005-0000-0000-000092210000}"/>
    <cellStyle name="Note 3 2 3 9 2" xfId="14239" xr:uid="{4621745D-199A-4A3E-BB9F-B1F5F2D57BAC}"/>
    <cellStyle name="Note 3 2 3 9 3" xfId="22686" xr:uid="{823DF1F7-25A6-4DEA-A3AC-46355A7BB4E7}"/>
    <cellStyle name="Note 3 2 3 9 4" xfId="31133" xr:uid="{6B50B410-4B89-4306-821F-E0ABF6BB74DC}"/>
    <cellStyle name="Note 3 2 4" xfId="1014" xr:uid="{00000000-0005-0000-0000-000093210000}"/>
    <cellStyle name="Note 3 2 4 2" xfId="3246" xr:uid="{00000000-0005-0000-0000-000094210000}"/>
    <cellStyle name="Note 3 2 4 2 2" xfId="7468" xr:uid="{00000000-0005-0000-0000-000095210000}"/>
    <cellStyle name="Note 3 2 4 2 2 2" xfId="16794" xr:uid="{3CA2B0B3-4336-4DFA-89A7-4A81F2DBF768}"/>
    <cellStyle name="Note 3 2 4 2 2 3" xfId="25241" xr:uid="{52147257-16E6-4225-892E-1FD8F3D33B4C}"/>
    <cellStyle name="Note 3 2 4 2 2 4" xfId="33688" xr:uid="{2E3DBAFB-42E7-40BA-93CD-941FE4614A4C}"/>
    <cellStyle name="Note 3 2 4 2 3" xfId="12577" xr:uid="{2DA93A59-BE6F-49CE-B048-41652131774D}"/>
    <cellStyle name="Note 3 2 4 2 4" xfId="21024" xr:uid="{D3DCA7F0-5A86-41FA-AA13-4510ED73850A}"/>
    <cellStyle name="Note 3 2 4 2 5" xfId="29471" xr:uid="{FCF1B58F-7723-4B27-8069-8811C4910F30}"/>
    <cellStyle name="Note 3 2 4 3" xfId="5323" xr:uid="{00000000-0005-0000-0000-000096210000}"/>
    <cellStyle name="Note 3 2 4 3 2" xfId="14649" xr:uid="{48B54A9E-058E-427C-9E90-07AF7F60BB75}"/>
    <cellStyle name="Note 3 2 4 3 3" xfId="23096" xr:uid="{102EA468-532A-411A-8FD6-FBA472DB8E48}"/>
    <cellStyle name="Note 3 2 4 3 4" xfId="31543" xr:uid="{CDBD2322-B944-4001-B640-847A36295692}"/>
    <cellStyle name="Note 3 2 4 4" xfId="9267" xr:uid="{1291CED5-E18E-4F1A-8856-A132B18F5C81}"/>
    <cellStyle name="Note 3 2 4 5" xfId="10432" xr:uid="{9C1C4CD8-B343-492D-AFB1-66AF31C23BE3}"/>
    <cellStyle name="Note 3 2 4 6" xfId="18879" xr:uid="{570EFBE7-212D-4F8F-BFAC-B4FD1AFAB7B6}"/>
    <cellStyle name="Note 3 2 4 7" xfId="27326" xr:uid="{E9CDA71F-37AE-4A27-922C-A30175D56B37}"/>
    <cellStyle name="Note 3 2 5" xfId="1429" xr:uid="{00000000-0005-0000-0000-000097210000}"/>
    <cellStyle name="Note 3 2 5 2" xfId="3659" xr:uid="{00000000-0005-0000-0000-000098210000}"/>
    <cellStyle name="Note 3 2 5 2 2" xfId="7881" xr:uid="{00000000-0005-0000-0000-000099210000}"/>
    <cellStyle name="Note 3 2 5 2 2 2" xfId="17207" xr:uid="{98321DB2-6057-4CCA-A459-871AADF447EF}"/>
    <cellStyle name="Note 3 2 5 2 2 3" xfId="25654" xr:uid="{060EDF15-AA3D-4D0D-84FA-D9066234F78A}"/>
    <cellStyle name="Note 3 2 5 2 2 4" xfId="34101" xr:uid="{C30BF9C5-86DC-448D-9526-35E78ABB1DD3}"/>
    <cellStyle name="Note 3 2 5 2 3" xfId="12990" xr:uid="{986FF054-55D7-4A68-AD64-3F86E7C1ADD8}"/>
    <cellStyle name="Note 3 2 5 2 4" xfId="21437" xr:uid="{2FAD6D42-CF38-45D0-9F79-19514BD8CDA7}"/>
    <cellStyle name="Note 3 2 5 2 5" xfId="29884" xr:uid="{B65B1247-9C4D-4A23-B773-78B06ACF7D3D}"/>
    <cellStyle name="Note 3 2 5 3" xfId="5736" xr:uid="{00000000-0005-0000-0000-00009A210000}"/>
    <cellStyle name="Note 3 2 5 3 2" xfId="15062" xr:uid="{1105CB5B-DC5D-4285-8B2E-DD3E75ABF8CE}"/>
    <cellStyle name="Note 3 2 5 3 3" xfId="23509" xr:uid="{984B218D-FB46-4B5F-A65A-E9FD4C94CED8}"/>
    <cellStyle name="Note 3 2 5 3 4" xfId="31956" xr:uid="{78A53A07-4350-4E21-AEC3-0D4047EFB962}"/>
    <cellStyle name="Note 3 2 5 4" xfId="10845" xr:uid="{0FF4FDAE-B1EA-447A-8367-B68D4A456BB9}"/>
    <cellStyle name="Note 3 2 5 5" xfId="19292" xr:uid="{BE52753D-8285-461E-A46C-E083BBA32CBA}"/>
    <cellStyle name="Note 3 2 5 6" xfId="27739" xr:uid="{4AEA0714-2EDE-48CD-9EAA-7CA7A7A1A212}"/>
    <cellStyle name="Note 3 2 6" xfId="1843" xr:uid="{00000000-0005-0000-0000-00009B210000}"/>
    <cellStyle name="Note 3 2 6 2" xfId="4072" xr:uid="{00000000-0005-0000-0000-00009C210000}"/>
    <cellStyle name="Note 3 2 6 2 2" xfId="8294" xr:uid="{00000000-0005-0000-0000-00009D210000}"/>
    <cellStyle name="Note 3 2 6 2 2 2" xfId="17620" xr:uid="{F02B06A1-EA02-4E36-B2E2-DD9311D2D070}"/>
    <cellStyle name="Note 3 2 6 2 2 3" xfId="26067" xr:uid="{3C2311BE-F66C-4BFF-8D96-A8D8E7C1E35B}"/>
    <cellStyle name="Note 3 2 6 2 2 4" xfId="34514" xr:uid="{4FCEE084-B445-4BB6-90CA-03C89F103551}"/>
    <cellStyle name="Note 3 2 6 2 3" xfId="13403" xr:uid="{0A1CE29B-AD13-4CC1-87C9-B2346ABFF5CD}"/>
    <cellStyle name="Note 3 2 6 2 4" xfId="21850" xr:uid="{A480AEA5-119F-42F0-84A3-41528ABA08C0}"/>
    <cellStyle name="Note 3 2 6 2 5" xfId="30297" xr:uid="{FA96B8CF-9CAA-4CA9-8929-D59CE1081755}"/>
    <cellStyle name="Note 3 2 6 3" xfId="6149" xr:uid="{00000000-0005-0000-0000-00009E210000}"/>
    <cellStyle name="Note 3 2 6 3 2" xfId="15475" xr:uid="{0F886B39-D797-41F8-8258-15F2D5ADE411}"/>
    <cellStyle name="Note 3 2 6 3 3" xfId="23922" xr:uid="{B53081DA-26E2-418B-9901-BB3F31ED986C}"/>
    <cellStyle name="Note 3 2 6 3 4" xfId="32369" xr:uid="{8FDFD14B-0DBC-4F7B-909C-CB54C8BFDA0B}"/>
    <cellStyle name="Note 3 2 6 4" xfId="11258" xr:uid="{CE9D3679-51E5-4C39-9BE4-52023170F87D}"/>
    <cellStyle name="Note 3 2 6 5" xfId="19705" xr:uid="{71E119F3-1FFA-4E54-BB01-69C4F35F8B59}"/>
    <cellStyle name="Note 3 2 6 6" xfId="28152" xr:uid="{7D4F24D9-4EED-4F66-AE63-7A61A164CEE9}"/>
    <cellStyle name="Note 3 2 7" xfId="2256" xr:uid="{00000000-0005-0000-0000-00009F210000}"/>
    <cellStyle name="Note 3 2 7 2" xfId="4485" xr:uid="{00000000-0005-0000-0000-0000A0210000}"/>
    <cellStyle name="Note 3 2 7 2 2" xfId="8707" xr:uid="{00000000-0005-0000-0000-0000A1210000}"/>
    <cellStyle name="Note 3 2 7 2 2 2" xfId="18033" xr:uid="{20D82F58-77F9-492A-9C11-A48011B8A9BF}"/>
    <cellStyle name="Note 3 2 7 2 2 3" xfId="26480" xr:uid="{48ED69D6-120E-4386-A605-F4101BE216A4}"/>
    <cellStyle name="Note 3 2 7 2 2 4" xfId="34927" xr:uid="{23F2CEB9-A44B-4663-8140-5188609CC078}"/>
    <cellStyle name="Note 3 2 7 2 3" xfId="13816" xr:uid="{1B9B7748-EA80-47A4-B90A-B23A8875125E}"/>
    <cellStyle name="Note 3 2 7 2 4" xfId="22263" xr:uid="{1C386D69-E983-4E87-B131-A214BCCA0170}"/>
    <cellStyle name="Note 3 2 7 2 5" xfId="30710" xr:uid="{6854E5F1-060B-44EA-BDCE-17BE3A1F24E7}"/>
    <cellStyle name="Note 3 2 7 3" xfId="6562" xr:uid="{00000000-0005-0000-0000-0000A2210000}"/>
    <cellStyle name="Note 3 2 7 3 2" xfId="15888" xr:uid="{372795EC-CE89-4DE0-A141-D69C847FECCA}"/>
    <cellStyle name="Note 3 2 7 3 3" xfId="24335" xr:uid="{53CD1A50-FB96-495B-806C-D54FA03C6072}"/>
    <cellStyle name="Note 3 2 7 3 4" xfId="32782" xr:uid="{83E0576E-9174-4447-80BB-B89EE9B61A18}"/>
    <cellStyle name="Note 3 2 7 4" xfId="11671" xr:uid="{408897EE-6AAA-47F3-AAC5-42D7DDBD41EB}"/>
    <cellStyle name="Note 3 2 7 5" xfId="20118" xr:uid="{9C178823-C576-4532-9D68-6C98B5CDD31D}"/>
    <cellStyle name="Note 3 2 7 6" xfId="28565" xr:uid="{C025A6AB-B233-4CFB-9E3A-AE8BB434A216}"/>
    <cellStyle name="Note 3 2 8" xfId="2692" xr:uid="{00000000-0005-0000-0000-0000A3210000}"/>
    <cellStyle name="Note 3 2 8 2" xfId="6975" xr:uid="{00000000-0005-0000-0000-0000A4210000}"/>
    <cellStyle name="Note 3 2 8 2 2" xfId="16301" xr:uid="{0282368D-27E7-4AA1-91FD-3A1130FB3ABE}"/>
    <cellStyle name="Note 3 2 8 2 3" xfId="24748" xr:uid="{54C5F837-CD0C-49EB-B4FE-3A8576E389C7}"/>
    <cellStyle name="Note 3 2 8 2 4" xfId="33195" xr:uid="{FD052DED-D4A3-44E5-978A-E78CCDA292CF}"/>
    <cellStyle name="Note 3 2 8 3" xfId="12084" xr:uid="{25B630E8-7FDF-4F9F-96BA-ADEE7847D492}"/>
    <cellStyle name="Note 3 2 8 4" xfId="20531" xr:uid="{5FC4EA22-B6F1-44DA-9636-CEC012325E06}"/>
    <cellStyle name="Note 3 2 8 5" xfId="28978" xr:uid="{4D186316-03A2-43B7-9874-CAEA8791E843}"/>
    <cellStyle name="Note 3 2 9" xfId="2751" xr:uid="{00000000-0005-0000-0000-0000A5210000}"/>
    <cellStyle name="Note 3 3" xfId="558" xr:uid="{00000000-0005-0000-0000-0000A6210000}"/>
    <cellStyle name="Note 3 3 10" xfId="4914" xr:uid="{00000000-0005-0000-0000-0000A7210000}"/>
    <cellStyle name="Note 3 3 10 2" xfId="14240" xr:uid="{1213A219-2B6B-4724-83EB-1664F8476CC9}"/>
    <cellStyle name="Note 3 3 10 3" xfId="22687" xr:uid="{033EB61D-F273-4409-AA37-8F077DDA06CC}"/>
    <cellStyle name="Note 3 3 10 4" xfId="31134" xr:uid="{8DA9E71F-A1AA-4048-B02B-497EA7F9DF2E}"/>
    <cellStyle name="Note 3 3 11" xfId="8892" xr:uid="{8511F94A-7472-4DD0-A9AB-40754FEE5F47}"/>
    <cellStyle name="Note 3 3 12" xfId="10023" xr:uid="{EE7C7B45-CF72-4982-AEAB-8F39A3735A2E}"/>
    <cellStyle name="Note 3 3 13" xfId="18470" xr:uid="{786C48A7-E6AB-4179-AAB7-C57266D0D1FF}"/>
    <cellStyle name="Note 3 3 14" xfId="26917" xr:uid="{5BAE2301-483C-4D77-9973-3A6A834A896F}"/>
    <cellStyle name="Note 3 3 2" xfId="559" xr:uid="{00000000-0005-0000-0000-0000A8210000}"/>
    <cellStyle name="Note 3 3 2 10" xfId="9099" xr:uid="{29F3AC20-D296-4B59-BA53-0A5C025B0569}"/>
    <cellStyle name="Note 3 3 2 11" xfId="10024" xr:uid="{1237062B-3A02-4DDE-A776-FEA1B29EFE10}"/>
    <cellStyle name="Note 3 3 2 12" xfId="18471" xr:uid="{6AE596B7-5C07-40D2-85B5-F64D1EF19DFD}"/>
    <cellStyle name="Note 3 3 2 13" xfId="26918" xr:uid="{998D45A7-72EB-4CF8-B5BE-AA7227116C34}"/>
    <cellStyle name="Note 3 3 2 2" xfId="1019" xr:uid="{00000000-0005-0000-0000-0000A9210000}"/>
    <cellStyle name="Note 3 3 2 2 2" xfId="3251" xr:uid="{00000000-0005-0000-0000-0000AA210000}"/>
    <cellStyle name="Note 3 3 2 2 2 2" xfId="7473" xr:uid="{00000000-0005-0000-0000-0000AB210000}"/>
    <cellStyle name="Note 3 3 2 2 2 2 2" xfId="16799" xr:uid="{C6E092ED-29A9-4C61-8805-580CF25C9040}"/>
    <cellStyle name="Note 3 3 2 2 2 2 3" xfId="25246" xr:uid="{9045F383-D0A8-45C3-B884-E04955025008}"/>
    <cellStyle name="Note 3 3 2 2 2 2 4" xfId="33693" xr:uid="{DDB68C9D-56D2-4879-9EEF-AC242821FA98}"/>
    <cellStyle name="Note 3 3 2 2 2 3" xfId="12582" xr:uid="{464C3DBF-B648-4AAC-9036-DD599587C4A7}"/>
    <cellStyle name="Note 3 3 2 2 2 4" xfId="21029" xr:uid="{666FADB1-2E09-4BF7-8558-F76C8E18F3C8}"/>
    <cellStyle name="Note 3 3 2 2 2 5" xfId="29476" xr:uid="{A3447C13-17C9-433B-A5E1-B09B708BFFBC}"/>
    <cellStyle name="Note 3 3 2 2 3" xfId="5328" xr:uid="{00000000-0005-0000-0000-0000AC210000}"/>
    <cellStyle name="Note 3 3 2 2 3 2" xfId="14654" xr:uid="{B51655ED-1B91-4F0F-B812-25B811A6C2C5}"/>
    <cellStyle name="Note 3 3 2 2 3 3" xfId="23101" xr:uid="{6B6BE603-ED4E-4435-9801-DE615C3B1B24}"/>
    <cellStyle name="Note 3 3 2 2 3 4" xfId="31548" xr:uid="{D6A0FB73-6027-48E6-A62D-FE00B6C5BA17}"/>
    <cellStyle name="Note 3 3 2 2 4" xfId="9524" xr:uid="{D03F5DE7-D9AB-48C0-A1E3-0A929D2C18C5}"/>
    <cellStyle name="Note 3 3 2 2 5" xfId="10437" xr:uid="{A8DDE6F7-7334-4F74-AAA9-EB3D4899D75E}"/>
    <cellStyle name="Note 3 3 2 2 6" xfId="18884" xr:uid="{7EFAF81A-179A-4444-AE4A-F393F3AFA6B1}"/>
    <cellStyle name="Note 3 3 2 2 7" xfId="27331" xr:uid="{1663A1B5-5559-4152-B013-B06D00042D23}"/>
    <cellStyle name="Note 3 3 2 3" xfId="1434" xr:uid="{00000000-0005-0000-0000-0000AD210000}"/>
    <cellStyle name="Note 3 3 2 3 2" xfId="3664" xr:uid="{00000000-0005-0000-0000-0000AE210000}"/>
    <cellStyle name="Note 3 3 2 3 2 2" xfId="7886" xr:uid="{00000000-0005-0000-0000-0000AF210000}"/>
    <cellStyle name="Note 3 3 2 3 2 2 2" xfId="17212" xr:uid="{8BE01A96-9FF0-4E1E-8DFE-7BDF2E24CF48}"/>
    <cellStyle name="Note 3 3 2 3 2 2 3" xfId="25659" xr:uid="{A9C6973E-3882-4F46-8DCD-880C762B0798}"/>
    <cellStyle name="Note 3 3 2 3 2 2 4" xfId="34106" xr:uid="{56B0C61F-D314-42A6-845F-5435F9471A0A}"/>
    <cellStyle name="Note 3 3 2 3 2 3" xfId="12995" xr:uid="{3E4F35A5-DCC8-4182-9645-0C29D42DA4FC}"/>
    <cellStyle name="Note 3 3 2 3 2 4" xfId="21442" xr:uid="{EFB6A009-D814-472E-8FBC-7C4A3B5FD0A6}"/>
    <cellStyle name="Note 3 3 2 3 2 5" xfId="29889" xr:uid="{96239524-5D79-4F5C-9AFC-A323D360FF57}"/>
    <cellStyle name="Note 3 3 2 3 3" xfId="5741" xr:uid="{00000000-0005-0000-0000-0000B0210000}"/>
    <cellStyle name="Note 3 3 2 3 3 2" xfId="15067" xr:uid="{B5A4C22D-E6AC-4B45-B4BF-E1663FC5F173}"/>
    <cellStyle name="Note 3 3 2 3 3 3" xfId="23514" xr:uid="{6B63DB0F-B16D-43CE-A733-3BE12C2B9330}"/>
    <cellStyle name="Note 3 3 2 3 3 4" xfId="31961" xr:uid="{7C8753FC-466C-4125-B355-2DB7EC0C21E3}"/>
    <cellStyle name="Note 3 3 2 3 4" xfId="10850" xr:uid="{A2D67933-AA55-4D72-9D9F-46002D813774}"/>
    <cellStyle name="Note 3 3 2 3 5" xfId="19297" xr:uid="{885E931C-00E6-4BFF-9560-27B02C926E37}"/>
    <cellStyle name="Note 3 3 2 3 6" xfId="27744" xr:uid="{D479D054-CC46-4143-BEA6-FC5AF4C2FDD2}"/>
    <cellStyle name="Note 3 3 2 4" xfId="1848" xr:uid="{00000000-0005-0000-0000-0000B1210000}"/>
    <cellStyle name="Note 3 3 2 4 2" xfId="4077" xr:uid="{00000000-0005-0000-0000-0000B2210000}"/>
    <cellStyle name="Note 3 3 2 4 2 2" xfId="8299" xr:uid="{00000000-0005-0000-0000-0000B3210000}"/>
    <cellStyle name="Note 3 3 2 4 2 2 2" xfId="17625" xr:uid="{BF901A38-9B62-4A37-A60A-77F76787A49D}"/>
    <cellStyle name="Note 3 3 2 4 2 2 3" xfId="26072" xr:uid="{351240D2-DED9-4C07-8882-039F98A89BC2}"/>
    <cellStyle name="Note 3 3 2 4 2 2 4" xfId="34519" xr:uid="{5178A7B6-AA1C-4DF5-97E1-79DE060DD290}"/>
    <cellStyle name="Note 3 3 2 4 2 3" xfId="13408" xr:uid="{2E7C1F35-E3FA-4313-8231-B05788F040FF}"/>
    <cellStyle name="Note 3 3 2 4 2 4" xfId="21855" xr:uid="{59A16023-8F52-42BE-A190-F0195BD4989E}"/>
    <cellStyle name="Note 3 3 2 4 2 5" xfId="30302" xr:uid="{270E7A33-B885-45D1-8FF6-00663B47AC2A}"/>
    <cellStyle name="Note 3 3 2 4 3" xfId="6154" xr:uid="{00000000-0005-0000-0000-0000B4210000}"/>
    <cellStyle name="Note 3 3 2 4 3 2" xfId="15480" xr:uid="{469F686F-1E03-44B5-A80D-57736CF4DCF3}"/>
    <cellStyle name="Note 3 3 2 4 3 3" xfId="23927" xr:uid="{1D31A0A9-0CDE-4969-B697-3F7DEAB88CB8}"/>
    <cellStyle name="Note 3 3 2 4 3 4" xfId="32374" xr:uid="{1BE720B2-AFA0-4CA9-9959-1948A16E063B}"/>
    <cellStyle name="Note 3 3 2 4 4" xfId="11263" xr:uid="{1EF04B3C-7136-4BCA-A7B7-7CC42ABC63AD}"/>
    <cellStyle name="Note 3 3 2 4 5" xfId="19710" xr:uid="{F69B9054-FB8D-449F-8883-BD3E574BB9E7}"/>
    <cellStyle name="Note 3 3 2 4 6" xfId="28157" xr:uid="{70A24D92-634C-4C9B-A443-0DBE34FE3D2D}"/>
    <cellStyle name="Note 3 3 2 5" xfId="2261" xr:uid="{00000000-0005-0000-0000-0000B5210000}"/>
    <cellStyle name="Note 3 3 2 5 2" xfId="4490" xr:uid="{00000000-0005-0000-0000-0000B6210000}"/>
    <cellStyle name="Note 3 3 2 5 2 2" xfId="8712" xr:uid="{00000000-0005-0000-0000-0000B7210000}"/>
    <cellStyle name="Note 3 3 2 5 2 2 2" xfId="18038" xr:uid="{CC83D2F4-4A69-46E2-96B8-8F702DF710D7}"/>
    <cellStyle name="Note 3 3 2 5 2 2 3" xfId="26485" xr:uid="{34C0A5AB-2954-43D4-9A27-3C05FDDF4C7A}"/>
    <cellStyle name="Note 3 3 2 5 2 2 4" xfId="34932" xr:uid="{0649BC7B-0630-4F48-84EA-0BDA938260FE}"/>
    <cellStyle name="Note 3 3 2 5 2 3" xfId="13821" xr:uid="{891C86AB-91DD-4539-954A-FC86AF45B4EA}"/>
    <cellStyle name="Note 3 3 2 5 2 4" xfId="22268" xr:uid="{1E1E761C-6817-4D0E-BC45-41F1692CEB75}"/>
    <cellStyle name="Note 3 3 2 5 2 5" xfId="30715" xr:uid="{BED74B2B-34BF-4849-96F0-EBEFDE73B005}"/>
    <cellStyle name="Note 3 3 2 5 3" xfId="6567" xr:uid="{00000000-0005-0000-0000-0000B8210000}"/>
    <cellStyle name="Note 3 3 2 5 3 2" xfId="15893" xr:uid="{8BB18299-167A-4BD2-8A6B-AC9B067DCB43}"/>
    <cellStyle name="Note 3 3 2 5 3 3" xfId="24340" xr:uid="{DB6B4FF6-B1C8-46FA-92DC-B6106ECA233B}"/>
    <cellStyle name="Note 3 3 2 5 3 4" xfId="32787" xr:uid="{1F2A13DF-2625-498A-BD77-7431A853E80E}"/>
    <cellStyle name="Note 3 3 2 5 4" xfId="11676" xr:uid="{E4570378-74F5-4CB4-A453-0C1BC7D89F95}"/>
    <cellStyle name="Note 3 3 2 5 5" xfId="20123" xr:uid="{DC3472A3-B560-4AC1-A04E-6B9DBF191798}"/>
    <cellStyle name="Note 3 3 2 5 6" xfId="28570" xr:uid="{8602AA20-16BC-4FAB-8C58-6FD53070083F}"/>
    <cellStyle name="Note 3 3 2 6" xfId="2697" xr:uid="{00000000-0005-0000-0000-0000B9210000}"/>
    <cellStyle name="Note 3 3 2 6 2" xfId="6980" xr:uid="{00000000-0005-0000-0000-0000BA210000}"/>
    <cellStyle name="Note 3 3 2 6 2 2" xfId="16306" xr:uid="{2F6EF501-332B-4224-A561-5A883F08D855}"/>
    <cellStyle name="Note 3 3 2 6 2 3" xfId="24753" xr:uid="{7646E0F0-3F9C-4E70-AD69-510998CD187C}"/>
    <cellStyle name="Note 3 3 2 6 2 4" xfId="33200" xr:uid="{62BC8E38-896E-4160-AF0E-FCE77597C831}"/>
    <cellStyle name="Note 3 3 2 6 3" xfId="12089" xr:uid="{111D4026-9A11-447B-9CCF-F61A6419394F}"/>
    <cellStyle name="Note 3 3 2 6 4" xfId="20536" xr:uid="{161FB81F-C323-43C7-B5F0-9A06C8396003}"/>
    <cellStyle name="Note 3 3 2 6 5" xfId="28983" xr:uid="{CCE547E1-66C1-4BFF-9A77-A428D9D4AE69}"/>
    <cellStyle name="Note 3 3 2 7" xfId="2756" xr:uid="{00000000-0005-0000-0000-0000BB210000}"/>
    <cellStyle name="Note 3 3 2 8" xfId="2837" xr:uid="{00000000-0005-0000-0000-0000BC210000}"/>
    <cellStyle name="Note 3 3 2 8 2" xfId="7060" xr:uid="{00000000-0005-0000-0000-0000BD210000}"/>
    <cellStyle name="Note 3 3 2 8 2 2" xfId="16386" xr:uid="{DA39773C-492E-494E-AF1A-17A47FDCA2C7}"/>
    <cellStyle name="Note 3 3 2 8 2 3" xfId="24833" xr:uid="{94FDCBAA-168A-426B-BDF7-1D40783F3B61}"/>
    <cellStyle name="Note 3 3 2 8 2 4" xfId="33280" xr:uid="{973515FA-A085-4734-BEBA-D29C9DFA1216}"/>
    <cellStyle name="Note 3 3 2 8 3" xfId="12169" xr:uid="{D1BF80B5-497F-46FB-97FA-219B8FFE85F7}"/>
    <cellStyle name="Note 3 3 2 8 4" xfId="20616" xr:uid="{BD105821-1E0D-430E-96CE-42060D1E2EEE}"/>
    <cellStyle name="Note 3 3 2 8 5" xfId="29063" xr:uid="{36EBA40E-E319-4FDD-8399-930FBE88BB0C}"/>
    <cellStyle name="Note 3 3 2 9" xfId="4915" xr:uid="{00000000-0005-0000-0000-0000BE210000}"/>
    <cellStyle name="Note 3 3 2 9 2" xfId="14241" xr:uid="{14CABEFF-134A-43B8-9BAB-FAB0731DBB67}"/>
    <cellStyle name="Note 3 3 2 9 3" xfId="22688" xr:uid="{EADC73FC-71BF-4B49-88F7-B1F27096FC17}"/>
    <cellStyle name="Note 3 3 2 9 4" xfId="31135" xr:uid="{98D53CB3-AE30-4107-8589-544B8F0C1240}"/>
    <cellStyle name="Note 3 3 3" xfId="1018" xr:uid="{00000000-0005-0000-0000-0000BF210000}"/>
    <cellStyle name="Note 3 3 3 2" xfId="3250" xr:uid="{00000000-0005-0000-0000-0000C0210000}"/>
    <cellStyle name="Note 3 3 3 2 2" xfId="7472" xr:uid="{00000000-0005-0000-0000-0000C1210000}"/>
    <cellStyle name="Note 3 3 3 2 2 2" xfId="16798" xr:uid="{7410A15D-CE2A-4114-97DF-B1FC79D28393}"/>
    <cellStyle name="Note 3 3 3 2 2 3" xfId="25245" xr:uid="{79EBEF8B-670D-4FC8-8F01-B13CA798D667}"/>
    <cellStyle name="Note 3 3 3 2 2 4" xfId="33692" xr:uid="{EC16F6F7-890F-4454-8F03-EB9F5C0BD30B}"/>
    <cellStyle name="Note 3 3 3 2 3" xfId="12581" xr:uid="{0E16913D-E70E-4744-80D3-116B75FFF25C}"/>
    <cellStyle name="Note 3 3 3 2 4" xfId="21028" xr:uid="{29577B13-F95D-4AF2-B8C7-61C874EDE220}"/>
    <cellStyle name="Note 3 3 3 2 5" xfId="29475" xr:uid="{A34E0757-FD52-4FAB-9351-47351FE68A02}"/>
    <cellStyle name="Note 3 3 3 3" xfId="5327" xr:uid="{00000000-0005-0000-0000-0000C2210000}"/>
    <cellStyle name="Note 3 3 3 3 2" xfId="14653" xr:uid="{990B7FF8-D68C-4018-AA7B-32122443B823}"/>
    <cellStyle name="Note 3 3 3 3 3" xfId="23100" xr:uid="{65E3873D-59BC-4C75-8CBB-E96745429480}"/>
    <cellStyle name="Note 3 3 3 3 4" xfId="31547" xr:uid="{EF54157D-592E-4940-83AD-553190871DD4}"/>
    <cellStyle name="Note 3 3 3 4" xfId="9317" xr:uid="{171D8024-554D-4F15-BFD3-81CBE1A601EA}"/>
    <cellStyle name="Note 3 3 3 5" xfId="10436" xr:uid="{D6005014-D6A3-45F4-85BC-6898CED6A93E}"/>
    <cellStyle name="Note 3 3 3 6" xfId="18883" xr:uid="{457691C3-1E68-456B-A3C0-2D18C21320F8}"/>
    <cellStyle name="Note 3 3 3 7" xfId="27330" xr:uid="{13A87092-9D7A-4C92-8BDA-11B229BF4FDB}"/>
    <cellStyle name="Note 3 3 4" xfId="1433" xr:uid="{00000000-0005-0000-0000-0000C3210000}"/>
    <cellStyle name="Note 3 3 4 2" xfId="3663" xr:uid="{00000000-0005-0000-0000-0000C4210000}"/>
    <cellStyle name="Note 3 3 4 2 2" xfId="7885" xr:uid="{00000000-0005-0000-0000-0000C5210000}"/>
    <cellStyle name="Note 3 3 4 2 2 2" xfId="17211" xr:uid="{5C30EB3E-6997-4403-8AA5-DCD8770660EA}"/>
    <cellStyle name="Note 3 3 4 2 2 3" xfId="25658" xr:uid="{251912AB-FBD3-4A23-AE59-F7DB2F64F0AB}"/>
    <cellStyle name="Note 3 3 4 2 2 4" xfId="34105" xr:uid="{86C55765-8EDD-415B-B7B9-AAE811A5F4F0}"/>
    <cellStyle name="Note 3 3 4 2 3" xfId="12994" xr:uid="{0233ED34-9029-4333-97CA-03CF61CA2366}"/>
    <cellStyle name="Note 3 3 4 2 4" xfId="21441" xr:uid="{0AAEDFE1-31E3-4663-8EF0-E9A55C2976AB}"/>
    <cellStyle name="Note 3 3 4 2 5" xfId="29888" xr:uid="{CA64218D-7C6A-4DCF-BD3D-F11E3AD5B4BB}"/>
    <cellStyle name="Note 3 3 4 3" xfId="5740" xr:uid="{00000000-0005-0000-0000-0000C6210000}"/>
    <cellStyle name="Note 3 3 4 3 2" xfId="15066" xr:uid="{73BF42B0-2496-4B42-ABE7-8268568A61C5}"/>
    <cellStyle name="Note 3 3 4 3 3" xfId="23513" xr:uid="{04F2F15F-015A-436D-89AD-E855319AC1C8}"/>
    <cellStyle name="Note 3 3 4 3 4" xfId="31960" xr:uid="{5154F0DB-AB53-4A68-AF31-04D05E00FEEA}"/>
    <cellStyle name="Note 3 3 4 4" xfId="10849" xr:uid="{1B0D4758-93AD-4055-928C-C510C542C467}"/>
    <cellStyle name="Note 3 3 4 5" xfId="19296" xr:uid="{4060F763-9188-430E-B2AD-5FE51591FC2C}"/>
    <cellStyle name="Note 3 3 4 6" xfId="27743" xr:uid="{9F879406-39A0-4EB6-8EC0-6086A4AF1C48}"/>
    <cellStyle name="Note 3 3 5" xfId="1847" xr:uid="{00000000-0005-0000-0000-0000C7210000}"/>
    <cellStyle name="Note 3 3 5 2" xfId="4076" xr:uid="{00000000-0005-0000-0000-0000C8210000}"/>
    <cellStyle name="Note 3 3 5 2 2" xfId="8298" xr:uid="{00000000-0005-0000-0000-0000C9210000}"/>
    <cellStyle name="Note 3 3 5 2 2 2" xfId="17624" xr:uid="{7EF94F80-226E-4DF6-BB66-1B7913328D35}"/>
    <cellStyle name="Note 3 3 5 2 2 3" xfId="26071" xr:uid="{5EEF6F44-B884-49E4-88DA-B759E9B476E7}"/>
    <cellStyle name="Note 3 3 5 2 2 4" xfId="34518" xr:uid="{389A26CD-B18E-450D-886B-449062C64CE4}"/>
    <cellStyle name="Note 3 3 5 2 3" xfId="13407" xr:uid="{D0C58AD7-3EA8-4F15-A647-2DDF667DA116}"/>
    <cellStyle name="Note 3 3 5 2 4" xfId="21854" xr:uid="{441CD07F-9C0E-4FAF-853D-C80E9E42AD97}"/>
    <cellStyle name="Note 3 3 5 2 5" xfId="30301" xr:uid="{0E0044CC-48FB-40D6-A0A1-09AF575D2C50}"/>
    <cellStyle name="Note 3 3 5 3" xfId="6153" xr:uid="{00000000-0005-0000-0000-0000CA210000}"/>
    <cellStyle name="Note 3 3 5 3 2" xfId="15479" xr:uid="{F29FAD38-46AB-4B04-8733-8063B6F26A04}"/>
    <cellStyle name="Note 3 3 5 3 3" xfId="23926" xr:uid="{8D891301-62A2-4DE8-9523-1D9A1941DA59}"/>
    <cellStyle name="Note 3 3 5 3 4" xfId="32373" xr:uid="{AF2813BE-2D61-45E8-8783-CDC3CC972F64}"/>
    <cellStyle name="Note 3 3 5 4" xfId="11262" xr:uid="{67690329-5FBF-47F4-AB10-8D9B026B8210}"/>
    <cellStyle name="Note 3 3 5 5" xfId="19709" xr:uid="{6C73B2EA-1B82-4F80-860B-6CE0EED4FB2D}"/>
    <cellStyle name="Note 3 3 5 6" xfId="28156" xr:uid="{BF57CEED-9EC1-4589-973A-4BEAA02C144C}"/>
    <cellStyle name="Note 3 3 6" xfId="2260" xr:uid="{00000000-0005-0000-0000-0000CB210000}"/>
    <cellStyle name="Note 3 3 6 2" xfId="4489" xr:uid="{00000000-0005-0000-0000-0000CC210000}"/>
    <cellStyle name="Note 3 3 6 2 2" xfId="8711" xr:uid="{00000000-0005-0000-0000-0000CD210000}"/>
    <cellStyle name="Note 3 3 6 2 2 2" xfId="18037" xr:uid="{6F188E3F-79EB-40EC-9DC1-2EB02FCE4CEF}"/>
    <cellStyle name="Note 3 3 6 2 2 3" xfId="26484" xr:uid="{46FCE2BF-E0B2-4431-ADD2-1F2FFF814183}"/>
    <cellStyle name="Note 3 3 6 2 2 4" xfId="34931" xr:uid="{93D19A87-A098-44D1-97B7-5859D5C2C770}"/>
    <cellStyle name="Note 3 3 6 2 3" xfId="13820" xr:uid="{229120CD-32AF-49D4-AAA7-E627661C050C}"/>
    <cellStyle name="Note 3 3 6 2 4" xfId="22267" xr:uid="{1ED93B56-2649-4EE0-B506-DA65D2443FDC}"/>
    <cellStyle name="Note 3 3 6 2 5" xfId="30714" xr:uid="{AF73813C-9AFC-4ED6-8D8D-F7E5003015C4}"/>
    <cellStyle name="Note 3 3 6 3" xfId="6566" xr:uid="{00000000-0005-0000-0000-0000CE210000}"/>
    <cellStyle name="Note 3 3 6 3 2" xfId="15892" xr:uid="{C4DD749C-0A60-4BB3-BA4E-4C66E910F091}"/>
    <cellStyle name="Note 3 3 6 3 3" xfId="24339" xr:uid="{CFD9ED68-4007-4536-AF97-A36E60A03FCB}"/>
    <cellStyle name="Note 3 3 6 3 4" xfId="32786" xr:uid="{6086F40B-B8C9-4F83-B401-FF07B3D8CE05}"/>
    <cellStyle name="Note 3 3 6 4" xfId="11675" xr:uid="{0EDC795F-01FB-40AF-893F-651CD3F5077A}"/>
    <cellStyle name="Note 3 3 6 5" xfId="20122" xr:uid="{B099C7A5-9CDE-4900-A4BE-B768D087539E}"/>
    <cellStyle name="Note 3 3 6 6" xfId="28569" xr:uid="{0EFBFD0D-1740-4717-944C-41E57DAA481B}"/>
    <cellStyle name="Note 3 3 7" xfId="2696" xr:uid="{00000000-0005-0000-0000-0000CF210000}"/>
    <cellStyle name="Note 3 3 7 2" xfId="6979" xr:uid="{00000000-0005-0000-0000-0000D0210000}"/>
    <cellStyle name="Note 3 3 7 2 2" xfId="16305" xr:uid="{E61AEA54-8D7C-4EAC-8C48-6BD7516D6B6B}"/>
    <cellStyle name="Note 3 3 7 2 3" xfId="24752" xr:uid="{F48A91CA-2BA6-4EC4-8ADD-DDBA43F957B8}"/>
    <cellStyle name="Note 3 3 7 2 4" xfId="33199" xr:uid="{E882CBD9-35AA-46DC-8CA4-15F1697E2997}"/>
    <cellStyle name="Note 3 3 7 3" xfId="12088" xr:uid="{5ACB0843-5084-4C98-9570-3256900C497B}"/>
    <cellStyle name="Note 3 3 7 4" xfId="20535" xr:uid="{1DEDB138-93E7-4FB8-B871-7175B3FB86FC}"/>
    <cellStyle name="Note 3 3 7 5" xfId="28982" xr:uid="{16A36A64-75A7-459C-BF3B-3321DB1F091A}"/>
    <cellStyle name="Note 3 3 8" xfId="2755" xr:uid="{00000000-0005-0000-0000-0000D1210000}"/>
    <cellStyle name="Note 3 3 9" xfId="2836" xr:uid="{00000000-0005-0000-0000-0000D2210000}"/>
    <cellStyle name="Note 3 3 9 2" xfId="7059" xr:uid="{00000000-0005-0000-0000-0000D3210000}"/>
    <cellStyle name="Note 3 3 9 2 2" xfId="16385" xr:uid="{9E32BCA6-BADD-4C1D-A401-2A97F116092F}"/>
    <cellStyle name="Note 3 3 9 2 3" xfId="24832" xr:uid="{4DA3BCD0-87F8-4CF3-A87A-CD019EEBF3B3}"/>
    <cellStyle name="Note 3 3 9 2 4" xfId="33279" xr:uid="{F8AE4D02-245B-46DB-BB5B-98475F17412C}"/>
    <cellStyle name="Note 3 3 9 3" xfId="12168" xr:uid="{D1B2451B-B3B9-4294-AC11-1E5A14CEA46D}"/>
    <cellStyle name="Note 3 3 9 4" xfId="20615" xr:uid="{81A96DAD-B438-4F85-A37E-5AE5AE5414FA}"/>
    <cellStyle name="Note 3 3 9 5" xfId="29062" xr:uid="{36440414-FB3A-4103-A43B-BAE15DCB501C}"/>
    <cellStyle name="Note 3 4" xfId="560" xr:uid="{00000000-0005-0000-0000-0000D4210000}"/>
    <cellStyle name="Note 3 4 10" xfId="8996" xr:uid="{0D704BEA-0820-4E61-9EA3-F4C1E73C6543}"/>
    <cellStyle name="Note 3 4 11" xfId="10025" xr:uid="{3F27D205-86A4-42C6-9D5E-08426135EDF4}"/>
    <cellStyle name="Note 3 4 12" xfId="18472" xr:uid="{A4C7532F-8271-48DD-9DA5-71F4112C241F}"/>
    <cellStyle name="Note 3 4 13" xfId="26919" xr:uid="{B7752483-D0E9-4AC0-B275-B7EF384F5997}"/>
    <cellStyle name="Note 3 4 2" xfId="1020" xr:uid="{00000000-0005-0000-0000-0000D5210000}"/>
    <cellStyle name="Note 3 4 2 2" xfId="3252" xr:uid="{00000000-0005-0000-0000-0000D6210000}"/>
    <cellStyle name="Note 3 4 2 2 2" xfId="7474" xr:uid="{00000000-0005-0000-0000-0000D7210000}"/>
    <cellStyle name="Note 3 4 2 2 2 2" xfId="16800" xr:uid="{F394F975-A835-4002-BAD1-3BDEA9341542}"/>
    <cellStyle name="Note 3 4 2 2 2 3" xfId="25247" xr:uid="{296980EF-A709-4975-B517-29E04C44AED9}"/>
    <cellStyle name="Note 3 4 2 2 2 4" xfId="33694" xr:uid="{ED1515F9-0065-433B-80EF-D245B5C0BF3F}"/>
    <cellStyle name="Note 3 4 2 2 3" xfId="12583" xr:uid="{22F978BC-C7F2-4B19-932A-2FA0B24EE7E2}"/>
    <cellStyle name="Note 3 4 2 2 4" xfId="21030" xr:uid="{216CAF5D-A05B-48A6-B5FC-E8919804E02B}"/>
    <cellStyle name="Note 3 4 2 2 5" xfId="29477" xr:uid="{CE02420D-152B-46C0-885F-168AE934EA6D}"/>
    <cellStyle name="Note 3 4 2 3" xfId="5329" xr:uid="{00000000-0005-0000-0000-0000D8210000}"/>
    <cellStyle name="Note 3 4 2 3 2" xfId="14655" xr:uid="{96BFF006-FD60-4BDE-95D4-18DFB1121874}"/>
    <cellStyle name="Note 3 4 2 3 3" xfId="23102" xr:uid="{68A7D59F-EB9B-4A50-8FEA-69D8536ACE05}"/>
    <cellStyle name="Note 3 4 2 3 4" xfId="31549" xr:uid="{56659627-511F-4AA4-8955-7B16BC6CE6BF}"/>
    <cellStyle name="Note 3 4 2 4" xfId="9421" xr:uid="{EC0A57E0-416C-4EC5-866A-A09E44531CB5}"/>
    <cellStyle name="Note 3 4 2 5" xfId="10438" xr:uid="{56BA603A-3C47-4B2E-A52A-C1B17558ACD9}"/>
    <cellStyle name="Note 3 4 2 6" xfId="18885" xr:uid="{4486AE91-FD4C-4012-9769-EB57C58AE1CD}"/>
    <cellStyle name="Note 3 4 2 7" xfId="27332" xr:uid="{1C763086-B3D8-40DD-9D57-7ED30FF9165D}"/>
    <cellStyle name="Note 3 4 3" xfId="1435" xr:uid="{00000000-0005-0000-0000-0000D9210000}"/>
    <cellStyle name="Note 3 4 3 2" xfId="3665" xr:uid="{00000000-0005-0000-0000-0000DA210000}"/>
    <cellStyle name="Note 3 4 3 2 2" xfId="7887" xr:uid="{00000000-0005-0000-0000-0000DB210000}"/>
    <cellStyle name="Note 3 4 3 2 2 2" xfId="17213" xr:uid="{328E3DE5-AC2D-4278-A0A5-94B2467FDA57}"/>
    <cellStyle name="Note 3 4 3 2 2 3" xfId="25660" xr:uid="{9462A8BA-E108-4E1A-9CAC-C2EB5E3C719F}"/>
    <cellStyle name="Note 3 4 3 2 2 4" xfId="34107" xr:uid="{F9A4D9B8-0FA0-42A7-8455-999A68986B11}"/>
    <cellStyle name="Note 3 4 3 2 3" xfId="12996" xr:uid="{65A87E12-1843-42EE-8CC8-111809447DF2}"/>
    <cellStyle name="Note 3 4 3 2 4" xfId="21443" xr:uid="{83BC917E-0B82-42DA-A1D7-3C2316A9628F}"/>
    <cellStyle name="Note 3 4 3 2 5" xfId="29890" xr:uid="{4F5E4F9C-D795-4E44-9571-0244FB720D3A}"/>
    <cellStyle name="Note 3 4 3 3" xfId="5742" xr:uid="{00000000-0005-0000-0000-0000DC210000}"/>
    <cellStyle name="Note 3 4 3 3 2" xfId="15068" xr:uid="{F970DF64-8D51-4525-95CB-7F44341E96DB}"/>
    <cellStyle name="Note 3 4 3 3 3" xfId="23515" xr:uid="{B89AFF90-7F9A-4E68-B9B2-8CB0E68CE8D8}"/>
    <cellStyle name="Note 3 4 3 3 4" xfId="31962" xr:uid="{F4FB7C9E-21A7-44AA-A3CA-14E77E189AD5}"/>
    <cellStyle name="Note 3 4 3 4" xfId="10851" xr:uid="{799AB290-B115-423D-80C2-EC24F2E7F6DE}"/>
    <cellStyle name="Note 3 4 3 5" xfId="19298" xr:uid="{FAF78B78-D02E-4E20-B824-14A3D4F80CD7}"/>
    <cellStyle name="Note 3 4 3 6" xfId="27745" xr:uid="{C4DBB8CE-2E61-482A-8751-9F716FDC02C2}"/>
    <cellStyle name="Note 3 4 4" xfId="1849" xr:uid="{00000000-0005-0000-0000-0000DD210000}"/>
    <cellStyle name="Note 3 4 4 2" xfId="4078" xr:uid="{00000000-0005-0000-0000-0000DE210000}"/>
    <cellStyle name="Note 3 4 4 2 2" xfId="8300" xr:uid="{00000000-0005-0000-0000-0000DF210000}"/>
    <cellStyle name="Note 3 4 4 2 2 2" xfId="17626" xr:uid="{4A32E642-DA72-486C-90B3-14C5715D19BC}"/>
    <cellStyle name="Note 3 4 4 2 2 3" xfId="26073" xr:uid="{54184999-B192-4BFD-90A9-4033B3415794}"/>
    <cellStyle name="Note 3 4 4 2 2 4" xfId="34520" xr:uid="{014E7D0B-4BE7-414F-939F-19242AAE952E}"/>
    <cellStyle name="Note 3 4 4 2 3" xfId="13409" xr:uid="{90E015D1-00B1-4B25-B1F7-07FEF8CC7246}"/>
    <cellStyle name="Note 3 4 4 2 4" xfId="21856" xr:uid="{8C54B10E-EF1A-49A1-909D-26BC11D14D80}"/>
    <cellStyle name="Note 3 4 4 2 5" xfId="30303" xr:uid="{86FF3E0E-A156-4608-B1AA-900A567A2EFD}"/>
    <cellStyle name="Note 3 4 4 3" xfId="6155" xr:uid="{00000000-0005-0000-0000-0000E0210000}"/>
    <cellStyle name="Note 3 4 4 3 2" xfId="15481" xr:uid="{7D961873-9082-4D7D-85F3-B41546885EC8}"/>
    <cellStyle name="Note 3 4 4 3 3" xfId="23928" xr:uid="{D6F1A4BC-7866-4D7C-B204-11642299567E}"/>
    <cellStyle name="Note 3 4 4 3 4" xfId="32375" xr:uid="{6FDF18AE-F5D9-4440-8D3F-7D770B06D58D}"/>
    <cellStyle name="Note 3 4 4 4" xfId="11264" xr:uid="{0C153913-E1F1-424C-83E2-73D1A3F34111}"/>
    <cellStyle name="Note 3 4 4 5" xfId="19711" xr:uid="{84E54975-7B2E-4FA7-8F3B-2872D335B91A}"/>
    <cellStyle name="Note 3 4 4 6" xfId="28158" xr:uid="{AA3DDBCA-298C-4F55-8F46-C949659A06A9}"/>
    <cellStyle name="Note 3 4 5" xfId="2262" xr:uid="{00000000-0005-0000-0000-0000E1210000}"/>
    <cellStyle name="Note 3 4 5 2" xfId="4491" xr:uid="{00000000-0005-0000-0000-0000E2210000}"/>
    <cellStyle name="Note 3 4 5 2 2" xfId="8713" xr:uid="{00000000-0005-0000-0000-0000E3210000}"/>
    <cellStyle name="Note 3 4 5 2 2 2" xfId="18039" xr:uid="{CA50BDDC-71F5-4BE8-AA01-87544F2FAEFE}"/>
    <cellStyle name="Note 3 4 5 2 2 3" xfId="26486" xr:uid="{E3C8499A-2944-4123-B75B-A68E8B192DFB}"/>
    <cellStyle name="Note 3 4 5 2 2 4" xfId="34933" xr:uid="{F5714D87-3D9C-4443-9D1C-91100B0F3B07}"/>
    <cellStyle name="Note 3 4 5 2 3" xfId="13822" xr:uid="{0993FB82-D173-4A7B-BC56-C74621BD914A}"/>
    <cellStyle name="Note 3 4 5 2 4" xfId="22269" xr:uid="{1937E2BA-5E97-4828-9297-14C7F9895E46}"/>
    <cellStyle name="Note 3 4 5 2 5" xfId="30716" xr:uid="{581087B9-C6E5-48EF-ACA7-0535941FE7DF}"/>
    <cellStyle name="Note 3 4 5 3" xfId="6568" xr:uid="{00000000-0005-0000-0000-0000E4210000}"/>
    <cellStyle name="Note 3 4 5 3 2" xfId="15894" xr:uid="{C46F836E-B9DD-4511-9304-451AF1433752}"/>
    <cellStyle name="Note 3 4 5 3 3" xfId="24341" xr:uid="{A9B64247-F373-4399-83C7-7281D6488049}"/>
    <cellStyle name="Note 3 4 5 3 4" xfId="32788" xr:uid="{F0B29159-029D-445B-8283-0D9D91B926A7}"/>
    <cellStyle name="Note 3 4 5 4" xfId="11677" xr:uid="{C981F8D6-D8BB-48F5-8AD5-C0077A24EAB7}"/>
    <cellStyle name="Note 3 4 5 5" xfId="20124" xr:uid="{02395A86-7E29-4344-A2EF-665E6B55F5D5}"/>
    <cellStyle name="Note 3 4 5 6" xfId="28571" xr:uid="{028ABE37-A598-4891-A0CC-7142EC33B1C9}"/>
    <cellStyle name="Note 3 4 6" xfId="2698" xr:uid="{00000000-0005-0000-0000-0000E5210000}"/>
    <cellStyle name="Note 3 4 6 2" xfId="6981" xr:uid="{00000000-0005-0000-0000-0000E6210000}"/>
    <cellStyle name="Note 3 4 6 2 2" xfId="16307" xr:uid="{61A0F603-CAE9-43FD-8FB8-B1A3079A8795}"/>
    <cellStyle name="Note 3 4 6 2 3" xfId="24754" xr:uid="{38AEB2DD-0D32-48D1-A3B7-06ADA29F363C}"/>
    <cellStyle name="Note 3 4 6 2 4" xfId="33201" xr:uid="{076D0A7A-1064-4081-8F56-33E7387CA105}"/>
    <cellStyle name="Note 3 4 6 3" xfId="12090" xr:uid="{784421A0-A432-4F57-8921-9316E7D8831C}"/>
    <cellStyle name="Note 3 4 6 4" xfId="20537" xr:uid="{E4841270-5749-41FA-A404-3CE97CC9A0B3}"/>
    <cellStyle name="Note 3 4 6 5" xfId="28984" xr:uid="{DD409299-D989-4612-882B-54D04A5C9B49}"/>
    <cellStyle name="Note 3 4 7" xfId="2757" xr:uid="{00000000-0005-0000-0000-0000E7210000}"/>
    <cellStyle name="Note 3 4 8" xfId="2838" xr:uid="{00000000-0005-0000-0000-0000E8210000}"/>
    <cellStyle name="Note 3 4 8 2" xfId="7061" xr:uid="{00000000-0005-0000-0000-0000E9210000}"/>
    <cellStyle name="Note 3 4 8 2 2" xfId="16387" xr:uid="{E3B957C7-5165-4F3E-A1F8-1B9160E9C5D9}"/>
    <cellStyle name="Note 3 4 8 2 3" xfId="24834" xr:uid="{D87B86C8-4865-4A42-AEA0-59AE28D7FE4E}"/>
    <cellStyle name="Note 3 4 8 2 4" xfId="33281" xr:uid="{3298C59F-EEEC-42B5-AAF3-EDA5C98F551B}"/>
    <cellStyle name="Note 3 4 8 3" xfId="12170" xr:uid="{9317E544-7B87-4A3B-9040-6441763AD86F}"/>
    <cellStyle name="Note 3 4 8 4" xfId="20617" xr:uid="{DB061E0C-79C0-4FDB-9B58-68FF3D82D5ED}"/>
    <cellStyle name="Note 3 4 8 5" xfId="29064" xr:uid="{5590CDD3-CAD2-45E8-95DD-1283E00D434B}"/>
    <cellStyle name="Note 3 4 9" xfId="4916" xr:uid="{00000000-0005-0000-0000-0000EA210000}"/>
    <cellStyle name="Note 3 4 9 2" xfId="14242" xr:uid="{F48EE3B8-DC79-404A-9D57-D1932069985F}"/>
    <cellStyle name="Note 3 4 9 3" xfId="22689" xr:uid="{C2D4EE1B-9626-4FC8-93DF-508AA98A994A}"/>
    <cellStyle name="Note 3 4 9 4" xfId="31136" xr:uid="{4707FB2E-F637-4F94-862C-46069C3C44A5}"/>
    <cellStyle name="Note 3 5" xfId="561" xr:uid="{00000000-0005-0000-0000-0000EB210000}"/>
    <cellStyle name="Note 3 5 10" xfId="9213" xr:uid="{D9D7FB9A-B03C-4A97-A778-36731B43DF3F}"/>
    <cellStyle name="Note 3 5 11" xfId="10026" xr:uid="{4022FEB8-F6B3-47C8-9CCF-B6212BB49772}"/>
    <cellStyle name="Note 3 5 12" xfId="18473" xr:uid="{BA3A9CAA-7B05-4DCC-9C82-E4B2C9862B4D}"/>
    <cellStyle name="Note 3 5 13" xfId="26920" xr:uid="{2CB05928-1B59-4C2B-84CB-9403DB45876F}"/>
    <cellStyle name="Note 3 5 2" xfId="1021" xr:uid="{00000000-0005-0000-0000-0000EC210000}"/>
    <cellStyle name="Note 3 5 2 2" xfId="3253" xr:uid="{00000000-0005-0000-0000-0000ED210000}"/>
    <cellStyle name="Note 3 5 2 2 2" xfId="7475" xr:uid="{00000000-0005-0000-0000-0000EE210000}"/>
    <cellStyle name="Note 3 5 2 2 2 2" xfId="16801" xr:uid="{012E2245-77F3-4F02-A81A-3F5302EEE324}"/>
    <cellStyle name="Note 3 5 2 2 2 3" xfId="25248" xr:uid="{D25B6E3B-E6B5-4443-88EB-0B16532F0F3F}"/>
    <cellStyle name="Note 3 5 2 2 2 4" xfId="33695" xr:uid="{989E64B2-7C0E-424B-A91B-65E6D514805C}"/>
    <cellStyle name="Note 3 5 2 2 3" xfId="12584" xr:uid="{4A466694-CD28-4140-8F11-170D14B1D0EA}"/>
    <cellStyle name="Note 3 5 2 2 4" xfId="21031" xr:uid="{FB30A9DC-5C10-44E7-A281-AF17200C601B}"/>
    <cellStyle name="Note 3 5 2 2 5" xfId="29478" xr:uid="{2D277047-3EA2-4075-AC32-DA126E42D46D}"/>
    <cellStyle name="Note 3 5 2 3" xfId="5330" xr:uid="{00000000-0005-0000-0000-0000EF210000}"/>
    <cellStyle name="Note 3 5 2 3 2" xfId="14656" xr:uid="{6121191A-05A5-4465-8557-D18DB79CA5A7}"/>
    <cellStyle name="Note 3 5 2 3 3" xfId="23103" xr:uid="{1F34F0E7-5BE2-4D6A-A0B1-651BE1F54B9D}"/>
    <cellStyle name="Note 3 5 2 3 4" xfId="31550" xr:uid="{C11F75ED-4A33-4AB6-AA6D-91DA07E5CD02}"/>
    <cellStyle name="Note 3 5 2 4" xfId="9611" xr:uid="{74765414-66B3-4FDA-BA21-3BFFEF98E338}"/>
    <cellStyle name="Note 3 5 2 5" xfId="10439" xr:uid="{A26D6483-B363-4560-B9B4-FA1F902CE4E1}"/>
    <cellStyle name="Note 3 5 2 6" xfId="18886" xr:uid="{7F0B7F86-CE1C-4112-8203-D9497FF2AFE2}"/>
    <cellStyle name="Note 3 5 2 7" xfId="27333" xr:uid="{659F040A-14E8-4D3D-9134-1FDAF58E5928}"/>
    <cellStyle name="Note 3 5 3" xfId="1436" xr:uid="{00000000-0005-0000-0000-0000F0210000}"/>
    <cellStyle name="Note 3 5 3 2" xfId="3666" xr:uid="{00000000-0005-0000-0000-0000F1210000}"/>
    <cellStyle name="Note 3 5 3 2 2" xfId="7888" xr:uid="{00000000-0005-0000-0000-0000F2210000}"/>
    <cellStyle name="Note 3 5 3 2 2 2" xfId="17214" xr:uid="{08BBA731-6AB9-448D-A54B-AE0278547C39}"/>
    <cellStyle name="Note 3 5 3 2 2 3" xfId="25661" xr:uid="{1A3FBE78-CBB0-41EA-B0B5-E3878CEBBA50}"/>
    <cellStyle name="Note 3 5 3 2 2 4" xfId="34108" xr:uid="{5C09C023-C787-4AE2-AA27-33B6D03A259C}"/>
    <cellStyle name="Note 3 5 3 2 3" xfId="12997" xr:uid="{3DBBFABE-490D-40B4-8CAD-9342CADA416A}"/>
    <cellStyle name="Note 3 5 3 2 4" xfId="21444" xr:uid="{B83774F4-7E96-4CDF-9C4D-5033A82480C5}"/>
    <cellStyle name="Note 3 5 3 2 5" xfId="29891" xr:uid="{F272D24B-72FA-44DF-83BA-7714EF52FF09}"/>
    <cellStyle name="Note 3 5 3 3" xfId="5743" xr:uid="{00000000-0005-0000-0000-0000F3210000}"/>
    <cellStyle name="Note 3 5 3 3 2" xfId="15069" xr:uid="{3CFD2392-432D-4D10-BA36-85769CCD03E8}"/>
    <cellStyle name="Note 3 5 3 3 3" xfId="23516" xr:uid="{655F3380-18F7-42FA-8E42-BC53CE0DF184}"/>
    <cellStyle name="Note 3 5 3 3 4" xfId="31963" xr:uid="{1C892308-05FE-4FF4-8A4E-877B7DA6979B}"/>
    <cellStyle name="Note 3 5 3 4" xfId="10852" xr:uid="{B45CA147-8C24-4A3E-9136-090B591FEC13}"/>
    <cellStyle name="Note 3 5 3 5" xfId="19299" xr:uid="{028272DF-B357-454F-B3FE-E4D0403D2C8E}"/>
    <cellStyle name="Note 3 5 3 6" xfId="27746" xr:uid="{E102F44E-DF6E-4212-AE03-52D3C0A60D98}"/>
    <cellStyle name="Note 3 5 4" xfId="1850" xr:uid="{00000000-0005-0000-0000-0000F4210000}"/>
    <cellStyle name="Note 3 5 4 2" xfId="4079" xr:uid="{00000000-0005-0000-0000-0000F5210000}"/>
    <cellStyle name="Note 3 5 4 2 2" xfId="8301" xr:uid="{00000000-0005-0000-0000-0000F6210000}"/>
    <cellStyle name="Note 3 5 4 2 2 2" xfId="17627" xr:uid="{65B514E2-5131-4174-BF13-4A21EBA2D28F}"/>
    <cellStyle name="Note 3 5 4 2 2 3" xfId="26074" xr:uid="{41B0E3AC-9297-45BA-A3AE-D2B9A3376EE9}"/>
    <cellStyle name="Note 3 5 4 2 2 4" xfId="34521" xr:uid="{35016E0F-0DEE-4917-8137-86DB095E5A62}"/>
    <cellStyle name="Note 3 5 4 2 3" xfId="13410" xr:uid="{7BF71B47-12FA-438F-95E7-A63CED7C6CCA}"/>
    <cellStyle name="Note 3 5 4 2 4" xfId="21857" xr:uid="{FB9ADEBF-83D8-4898-A4E3-8AB7B331ADDB}"/>
    <cellStyle name="Note 3 5 4 2 5" xfId="30304" xr:uid="{0F10557C-0721-4AED-879C-5609CA83D4B2}"/>
    <cellStyle name="Note 3 5 4 3" xfId="6156" xr:uid="{00000000-0005-0000-0000-0000F7210000}"/>
    <cellStyle name="Note 3 5 4 3 2" xfId="15482" xr:uid="{5CA3CC2E-FE03-4F6E-A05D-6C3271680AC9}"/>
    <cellStyle name="Note 3 5 4 3 3" xfId="23929" xr:uid="{CFBB5C75-A7A0-4D99-89A5-35B42294DD0D}"/>
    <cellStyle name="Note 3 5 4 3 4" xfId="32376" xr:uid="{5B0A310B-F199-407F-AE65-3DC291B55713}"/>
    <cellStyle name="Note 3 5 4 4" xfId="11265" xr:uid="{AD0FC509-D944-45D8-A304-C43165B347CB}"/>
    <cellStyle name="Note 3 5 4 5" xfId="19712" xr:uid="{2EDD0EB9-F8DD-4291-A9C2-F7774F285BFB}"/>
    <cellStyle name="Note 3 5 4 6" xfId="28159" xr:uid="{E662E62B-72E1-4F0E-8552-D8F3908CA1FE}"/>
    <cellStyle name="Note 3 5 5" xfId="2263" xr:uid="{00000000-0005-0000-0000-0000F8210000}"/>
    <cellStyle name="Note 3 5 5 2" xfId="4492" xr:uid="{00000000-0005-0000-0000-0000F9210000}"/>
    <cellStyle name="Note 3 5 5 2 2" xfId="8714" xr:uid="{00000000-0005-0000-0000-0000FA210000}"/>
    <cellStyle name="Note 3 5 5 2 2 2" xfId="18040" xr:uid="{E1B08559-4E3B-41E4-A73D-D7C6DA4F56C0}"/>
    <cellStyle name="Note 3 5 5 2 2 3" xfId="26487" xr:uid="{8327FC88-E8EC-4DDD-8459-429062C621BF}"/>
    <cellStyle name="Note 3 5 5 2 2 4" xfId="34934" xr:uid="{F6D1A76C-2617-4503-B549-92322655DC08}"/>
    <cellStyle name="Note 3 5 5 2 3" xfId="13823" xr:uid="{EB6757FC-00F3-45B2-87E7-55ABDB8183F6}"/>
    <cellStyle name="Note 3 5 5 2 4" xfId="22270" xr:uid="{63C2D935-DF41-47F4-AFF7-67CA0BB1EA26}"/>
    <cellStyle name="Note 3 5 5 2 5" xfId="30717" xr:uid="{1278F2F3-D9C8-4F0E-BC17-6A8B7001B7A9}"/>
    <cellStyle name="Note 3 5 5 3" xfId="6569" xr:uid="{00000000-0005-0000-0000-0000FB210000}"/>
    <cellStyle name="Note 3 5 5 3 2" xfId="15895" xr:uid="{F4A0D9DD-5BE2-4399-BF42-F1FB8EC91558}"/>
    <cellStyle name="Note 3 5 5 3 3" xfId="24342" xr:uid="{83B0F776-3C58-4665-A58B-4B07F85C773A}"/>
    <cellStyle name="Note 3 5 5 3 4" xfId="32789" xr:uid="{32F0A243-9A1E-41B5-B42F-15BFCBA35CD5}"/>
    <cellStyle name="Note 3 5 5 4" xfId="11678" xr:uid="{39623ACE-6318-4CE2-A6AC-4DF8BBCCBA7A}"/>
    <cellStyle name="Note 3 5 5 5" xfId="20125" xr:uid="{EF3F05B6-B47B-4CCD-921D-B972F94C4F4E}"/>
    <cellStyle name="Note 3 5 5 6" xfId="28572" xr:uid="{F445E707-F635-4F07-9E81-22735D594B1A}"/>
    <cellStyle name="Note 3 5 6" xfId="2699" xr:uid="{00000000-0005-0000-0000-0000FC210000}"/>
    <cellStyle name="Note 3 5 6 2" xfId="6982" xr:uid="{00000000-0005-0000-0000-0000FD210000}"/>
    <cellStyle name="Note 3 5 6 2 2" xfId="16308" xr:uid="{3AFEB24E-51BA-4C10-8FDF-201D7BF98EE7}"/>
    <cellStyle name="Note 3 5 6 2 3" xfId="24755" xr:uid="{E95C882F-9958-4750-9E9D-47392F4CD89B}"/>
    <cellStyle name="Note 3 5 6 2 4" xfId="33202" xr:uid="{E11FE8E4-9F02-4D61-B6DC-7B045E7A784D}"/>
    <cellStyle name="Note 3 5 6 3" xfId="12091" xr:uid="{5404C478-B1E1-4FAF-B0AA-E64D4FE9B1F2}"/>
    <cellStyle name="Note 3 5 6 4" xfId="20538" xr:uid="{BEBCB85C-FC11-4124-8B3F-1FB14E9D5C08}"/>
    <cellStyle name="Note 3 5 6 5" xfId="28985" xr:uid="{A5761E30-E552-4395-9AC5-23FBA6EC61A3}"/>
    <cellStyle name="Note 3 5 7" xfId="2758" xr:uid="{00000000-0005-0000-0000-0000FE210000}"/>
    <cellStyle name="Note 3 5 8" xfId="2839" xr:uid="{00000000-0005-0000-0000-0000FF210000}"/>
    <cellStyle name="Note 3 5 8 2" xfId="7062" xr:uid="{00000000-0005-0000-0000-000000220000}"/>
    <cellStyle name="Note 3 5 8 2 2" xfId="16388" xr:uid="{5D52E0C5-5060-4562-B5C3-AA475FB33A0F}"/>
    <cellStyle name="Note 3 5 8 2 3" xfId="24835" xr:uid="{67B79271-EEF6-4CA3-A35E-C2312FB53FF3}"/>
    <cellStyle name="Note 3 5 8 2 4" xfId="33282" xr:uid="{6C4624A9-A4D1-4A59-9633-E1E1AACB1900}"/>
    <cellStyle name="Note 3 5 8 3" xfId="12171" xr:uid="{37B32232-80A7-422F-B1F8-53F0E67D86CA}"/>
    <cellStyle name="Note 3 5 8 4" xfId="20618" xr:uid="{A763EAE3-EC6D-41DC-A008-06A0E454F9DA}"/>
    <cellStyle name="Note 3 5 8 5" xfId="29065" xr:uid="{93B1BCD0-9B6F-42FD-9F31-F101BEDEA6B4}"/>
    <cellStyle name="Note 3 5 9" xfId="4917" xr:uid="{00000000-0005-0000-0000-000001220000}"/>
    <cellStyle name="Note 3 5 9 2" xfId="14243" xr:uid="{9D710FB1-872A-4E23-904B-A572BEE0581C}"/>
    <cellStyle name="Note 3 5 9 3" xfId="22690" xr:uid="{639AEA20-8D8B-436F-83B5-F1140AD2C4E7}"/>
    <cellStyle name="Note 3 5 9 4" xfId="31137" xr:uid="{AA9CB40E-5556-4C55-8ABC-50F3BCECAA33}"/>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3 3" xfId="13826" xr:uid="{631C693A-2595-4894-8373-F250052754A4}"/>
    <cellStyle name="Percent 3 4" xfId="22273" xr:uid="{94C6F754-A4CE-499F-A9FF-E1358A865369}"/>
    <cellStyle name="Percent 3 5" xfId="30720" xr:uid="{781D7B4E-2463-476D-8C39-578B39E58B56}"/>
    <cellStyle name="Percent 4" xfId="4502" xr:uid="{00000000-0005-0000-0000-000007220000}"/>
    <cellStyle name="Percent 4 2" xfId="8717" xr:uid="{00000000-0005-0000-0000-000008220000}"/>
    <cellStyle name="Percent 4 2 2" xfId="18043" xr:uid="{13E13D6E-2CE2-4778-9162-92F883A79FB6}"/>
    <cellStyle name="Percent 4 2 3" xfId="26490" xr:uid="{D6D0FD0C-3448-450B-9F1E-18EB24F246AF}"/>
    <cellStyle name="Percent 4 2 4" xfId="34937" xr:uid="{AD51A0C6-EDB6-4211-AE08-8947D737AEF6}"/>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Percent 4 3 2 2 2 2 3" xfId="18059" xr:uid="{6D42A2DC-D445-4EC5-A974-3C1CBC990699}"/>
    <cellStyle name="Percent 4 3 2 2 2 2 4" xfId="26506" xr:uid="{759F2DB1-3517-4EC2-8AF9-78CB909DF5E8}"/>
    <cellStyle name="Percent 4 3 2 2 2 2 5" xfId="34953" xr:uid="{308E6B0E-E0F4-4C00-A365-15AB7FF5391E}"/>
    <cellStyle name="Percent 4 3 2 2 2 3" xfId="18056" xr:uid="{11EEB526-F09B-43F0-9D7F-EC395B3233C2}"/>
    <cellStyle name="Percent 4 3 2 2 2 4" xfId="26503" xr:uid="{208C0E3B-2A89-471B-8C2F-80015C63C044}"/>
    <cellStyle name="Percent 4 3 2 2 2 5" xfId="34950" xr:uid="{B63B2196-ACF1-43E8-89A9-13D4E63EBB19}"/>
    <cellStyle name="Percent 4 3 2 2 3" xfId="18052" xr:uid="{F2E6CFFD-5C25-43AF-A05C-C3D9E691B2DA}"/>
    <cellStyle name="Percent 4 3 2 2 4" xfId="26499" xr:uid="{604A6DE4-1977-46E8-8C7C-6D3973375BEC}"/>
    <cellStyle name="Percent 4 3 2 2 5" xfId="34946" xr:uid="{F42C1400-C0DF-4CAD-9CAB-12CB472AF5FC}"/>
    <cellStyle name="Percent 4 3 2 3" xfId="18049" xr:uid="{F5DB330F-5F96-4D1E-AD78-938237BA05E9}"/>
    <cellStyle name="Percent 4 3 2 4" xfId="26496" xr:uid="{E839E7CC-A58E-4EFC-9E36-0EB699D40F8D}"/>
    <cellStyle name="Percent 4 3 2 5" xfId="34943" xr:uid="{E85C5F14-C6D9-4951-B063-CC4241EE0299}"/>
    <cellStyle name="Percent 4 3 3" xfId="18046" xr:uid="{73B4B9CA-5CA8-4520-B3ED-FF3C41081734}"/>
    <cellStyle name="Percent 4 3 4" xfId="26493" xr:uid="{9C40C6D9-A623-4D15-9D10-BC9342AE472A}"/>
    <cellStyle name="Percent 4 3 5" xfId="34940" xr:uid="{84B4CB44-E380-4C6F-9F04-2EC68CFCF125}"/>
    <cellStyle name="Percent 4 4" xfId="13829" xr:uid="{D6CD22BB-A882-4667-B9E9-243A38A3663C}"/>
    <cellStyle name="Percent 4 5" xfId="22276" xr:uid="{ECC5F025-46F5-4091-9B41-AB22CEEA986F}"/>
    <cellStyle name="Percent 4 6" xfId="30723" xr:uid="{3890A34E-9121-4032-8813-69D7EAC7F5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8" t="s">
        <v>550</v>
      </c>
      <c r="B1" s="1278"/>
      <c r="C1" s="1278"/>
      <c r="D1" s="1278"/>
      <c r="E1" s="1278"/>
      <c r="F1" s="1278"/>
      <c r="G1" s="1278"/>
      <c r="H1" s="1278"/>
      <c r="I1" s="1278"/>
      <c r="J1" s="1278"/>
      <c r="K1" s="1278"/>
      <c r="L1" s="1278"/>
      <c r="M1" s="1278"/>
      <c r="N1" s="1278"/>
      <c r="O1" s="1278"/>
      <c r="P1" s="1278"/>
      <c r="Q1" s="1278"/>
      <c r="R1" s="1278"/>
      <c r="S1" s="1278"/>
      <c r="T1" s="1278"/>
      <c r="U1" s="1278"/>
      <c r="V1" s="1278"/>
      <c r="W1" s="1278"/>
      <c r="X1" s="1278"/>
      <c r="Y1" s="1278"/>
      <c r="Z1" s="1278"/>
      <c r="AA1" s="1278"/>
      <c r="AB1" s="1278"/>
      <c r="AC1" s="1278"/>
      <c r="AD1" s="1278"/>
      <c r="AE1" s="1278"/>
      <c r="AF1" s="1278"/>
      <c r="AG1" s="1278"/>
      <c r="AH1" s="1278"/>
      <c r="AI1" s="1278"/>
      <c r="AJ1" s="1278"/>
      <c r="AK1" s="1278"/>
      <c r="AL1" s="1278"/>
    </row>
    <row r="2" spans="1:38" ht="13.5" thickBot="1">
      <c r="A2" s="1279"/>
      <c r="B2" s="1279"/>
      <c r="C2" s="1279"/>
      <c r="D2" s="1279"/>
      <c r="E2" s="1279"/>
      <c r="F2" s="1279"/>
      <c r="G2" s="1279"/>
      <c r="H2" s="1279"/>
      <c r="I2" s="1279"/>
      <c r="J2" s="1279"/>
      <c r="K2" s="1279"/>
      <c r="L2" s="1279"/>
      <c r="M2" s="1279"/>
      <c r="N2" s="1279"/>
      <c r="O2" s="1279"/>
      <c r="P2" s="1279"/>
      <c r="Q2" s="1279"/>
      <c r="R2" s="1279"/>
      <c r="S2" s="1279"/>
      <c r="T2" s="1279"/>
      <c r="U2" s="1279"/>
      <c r="V2" s="1279"/>
      <c r="W2" s="1279"/>
      <c r="X2" s="1279"/>
      <c r="Y2" s="1279"/>
      <c r="Z2" s="1279"/>
      <c r="AA2" s="1279"/>
      <c r="AB2" s="1279"/>
      <c r="AC2" s="1279"/>
      <c r="AD2" s="1279"/>
      <c r="AE2" s="1279"/>
      <c r="AF2" s="1279"/>
      <c r="AG2" s="1279"/>
      <c r="AH2" s="1279"/>
      <c r="AI2" s="1279"/>
      <c r="AJ2" s="1279"/>
      <c r="AK2" s="1279"/>
      <c r="AL2" s="1279"/>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8" t="s">
        <v>1995</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55"/>
    </row>
    <row r="8" spans="1:38">
      <c r="A8" s="204"/>
      <c r="B8" s="204"/>
      <c r="C8" s="205"/>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55"/>
    </row>
    <row r="9" spans="1:38">
      <c r="A9" s="204"/>
      <c r="B9" s="204"/>
      <c r="C9" s="205"/>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8" t="s">
        <v>1996</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55"/>
    </row>
    <row r="12" spans="1:38">
      <c r="A12" s="204"/>
      <c r="B12" s="204"/>
      <c r="C12" s="205"/>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55"/>
    </row>
    <row r="13" spans="1:38">
      <c r="A13" s="204"/>
      <c r="B13" s="204"/>
      <c r="C13" s="205"/>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8" t="s">
        <v>2531</v>
      </c>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55"/>
    </row>
    <row r="16" spans="1:38" ht="13.15" customHeight="1">
      <c r="A16" s="204"/>
      <c r="B16" s="204"/>
      <c r="C16" s="205"/>
      <c r="D16" s="1268"/>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55"/>
    </row>
    <row r="17" spans="1:38">
      <c r="A17" s="204"/>
      <c r="B17" s="204"/>
      <c r="C17" s="205"/>
      <c r="D17" s="1268"/>
      <c r="E17" s="1268"/>
      <c r="F17" s="1268"/>
      <c r="G17" s="1268"/>
      <c r="H17" s="1268"/>
      <c r="I17" s="1268"/>
      <c r="J17" s="1268"/>
      <c r="K17" s="1268"/>
      <c r="L17" s="1268"/>
      <c r="M17" s="1268"/>
      <c r="N17" s="1268"/>
      <c r="O17" s="1268"/>
      <c r="P17" s="1268"/>
      <c r="Q17" s="1268"/>
      <c r="R17" s="1268"/>
      <c r="S17" s="1268"/>
      <c r="T17" s="1268"/>
      <c r="U17" s="1268"/>
      <c r="V17" s="1268"/>
      <c r="W17" s="1268"/>
      <c r="X17" s="1268"/>
      <c r="Y17" s="1268"/>
      <c r="Z17" s="1268"/>
      <c r="AA17" s="1268"/>
      <c r="AB17" s="1268"/>
      <c r="AC17" s="1268"/>
      <c r="AD17" s="1268"/>
      <c r="AE17" s="1268"/>
      <c r="AF17" s="1268"/>
      <c r="AG17" s="1268"/>
      <c r="AH17" s="1268"/>
      <c r="AI17" s="1268"/>
      <c r="AJ17" s="1268"/>
      <c r="AK17" s="1268"/>
      <c r="AL17" s="455"/>
    </row>
    <row r="18" spans="1:38">
      <c r="A18" s="204"/>
      <c r="B18" s="204"/>
      <c r="C18" s="205"/>
      <c r="D18" s="519" t="s">
        <v>2530</v>
      </c>
      <c r="E18" s="441"/>
      <c r="G18" s="441"/>
      <c r="H18" s="441"/>
      <c r="I18" s="441"/>
      <c r="J18" s="1281" t="s">
        <v>2529</v>
      </c>
      <c r="K18" s="1281"/>
      <c r="L18" s="1281"/>
      <c r="M18" s="1281"/>
      <c r="N18" s="1281"/>
      <c r="O18" s="1281"/>
      <c r="P18" s="1281"/>
      <c r="Q18" s="1281"/>
      <c r="R18" s="1281"/>
      <c r="S18" s="1281"/>
      <c r="T18" s="1281"/>
      <c r="U18" s="1281"/>
      <c r="V18" s="1281"/>
      <c r="W18" s="1281"/>
      <c r="X18" s="1281"/>
      <c r="Y18" s="1281"/>
      <c r="Z18" s="1281"/>
      <c r="AA18" s="1281"/>
      <c r="AB18" s="1281"/>
      <c r="AC18" s="1281"/>
      <c r="AD18" s="1281"/>
      <c r="AE18" s="1281"/>
      <c r="AF18" s="1281"/>
      <c r="AG18" s="1281"/>
      <c r="AH18" s="1281"/>
      <c r="AI18" s="1281"/>
      <c r="AJ18" s="1281"/>
      <c r="AK18" s="1281"/>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8" t="s">
        <v>1997</v>
      </c>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04"/>
    </row>
    <row r="21" spans="1:38">
      <c r="A21" s="204"/>
      <c r="B21" s="204"/>
      <c r="C21" s="205"/>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04"/>
    </row>
    <row r="22" spans="1:38">
      <c r="A22" s="204"/>
      <c r="B22" s="204"/>
      <c r="C22" s="205"/>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04"/>
    </row>
    <row r="23" spans="1:38" ht="13.15" customHeight="1">
      <c r="A23" s="204"/>
      <c r="B23" s="204"/>
      <c r="C23" s="205"/>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04"/>
    </row>
    <row r="24" spans="1:38">
      <c r="A24" s="204"/>
      <c r="B24" s="204"/>
      <c r="C24" s="205"/>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04"/>
    </row>
    <row r="25" spans="1:38">
      <c r="A25" s="204"/>
      <c r="B25" s="204"/>
      <c r="C25" s="205"/>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04"/>
    </row>
    <row r="26" spans="1:38">
      <c r="A26" s="204"/>
      <c r="B26" s="204"/>
      <c r="C26" s="205"/>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04"/>
    </row>
    <row r="27" spans="1:38">
      <c r="A27" s="204"/>
      <c r="B27" s="204"/>
      <c r="C27" s="205"/>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04"/>
    </row>
    <row r="28" spans="1:38">
      <c r="A28" s="204"/>
      <c r="B28" s="204"/>
      <c r="C28" s="205"/>
      <c r="D28" s="1268"/>
      <c r="E28" s="1268"/>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8" t="s">
        <v>1998</v>
      </c>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04"/>
    </row>
    <row r="31" spans="1:38">
      <c r="A31" s="204"/>
      <c r="B31" s="204"/>
      <c r="C31" s="205"/>
      <c r="D31" s="455"/>
      <c r="E31" s="1269" t="s">
        <v>2609</v>
      </c>
      <c r="F31" s="1270"/>
      <c r="G31" s="1270"/>
      <c r="H31" s="1270"/>
      <c r="I31" s="1270"/>
      <c r="J31" s="1270"/>
      <c r="K31" s="1270"/>
      <c r="L31" s="1270"/>
      <c r="M31" s="1270"/>
      <c r="N31" s="1270"/>
      <c r="O31" s="1270"/>
      <c r="P31" s="1270"/>
      <c r="Q31" s="1270"/>
      <c r="R31" s="1270"/>
      <c r="S31" s="1270"/>
      <c r="T31" s="1270"/>
      <c r="U31" s="1270"/>
      <c r="V31" s="1270"/>
      <c r="W31" s="1270"/>
      <c r="X31" s="1270"/>
      <c r="Y31" s="1270"/>
      <c r="Z31" s="1270"/>
      <c r="AA31" s="1270"/>
      <c r="AB31" s="1270"/>
      <c r="AC31" s="1270"/>
      <c r="AD31" s="1270"/>
      <c r="AE31" s="1270"/>
      <c r="AF31" s="1270"/>
      <c r="AG31" s="1270"/>
      <c r="AH31" s="1270"/>
      <c r="AI31" s="1270"/>
      <c r="AJ31" s="1270"/>
      <c r="AK31" s="1270"/>
      <c r="AL31" s="204"/>
    </row>
    <row r="32" spans="1:38">
      <c r="A32" s="4"/>
      <c r="C32" s="2"/>
    </row>
    <row r="33" spans="1:38">
      <c r="A33" s="4"/>
      <c r="D33" s="1280" t="s">
        <v>2098</v>
      </c>
      <c r="E33" s="1280"/>
      <c r="F33" s="1280"/>
      <c r="G33" s="1280"/>
      <c r="H33" s="1280"/>
      <c r="I33" s="1280"/>
      <c r="J33" s="1280"/>
      <c r="K33" s="1280"/>
      <c r="L33" s="1280"/>
      <c r="M33" s="1280"/>
      <c r="N33" s="1280"/>
      <c r="O33" s="1280"/>
      <c r="P33" s="1280"/>
      <c r="Q33" s="1280"/>
      <c r="R33" s="1280"/>
      <c r="S33" s="1280"/>
      <c r="T33" s="1280"/>
      <c r="U33" s="1280"/>
      <c r="V33" s="1280"/>
      <c r="W33" s="1280"/>
      <c r="X33" s="1280"/>
      <c r="Y33" s="1280"/>
      <c r="Z33" s="1280"/>
      <c r="AA33" s="1280"/>
      <c r="AB33" s="1280"/>
      <c r="AC33" s="1280"/>
      <c r="AD33" s="1280"/>
      <c r="AE33" s="1280"/>
      <c r="AF33" s="1280"/>
      <c r="AG33" s="1280"/>
      <c r="AH33" s="1280"/>
      <c r="AI33" s="1280"/>
      <c r="AJ33" s="1280"/>
      <c r="AK33" s="1280"/>
    </row>
    <row r="34" spans="1:38">
      <c r="A34" s="4"/>
      <c r="D34" s="1280"/>
      <c r="E34" s="1280"/>
      <c r="F34" s="1280"/>
      <c r="G34" s="1280"/>
      <c r="H34" s="1280"/>
      <c r="I34" s="1280"/>
      <c r="J34" s="1280"/>
      <c r="K34" s="1280"/>
      <c r="L34" s="1280"/>
      <c r="M34" s="1280"/>
      <c r="N34" s="1280"/>
      <c r="O34" s="1280"/>
      <c r="P34" s="1280"/>
      <c r="Q34" s="1280"/>
      <c r="R34" s="1280"/>
      <c r="S34" s="1280"/>
      <c r="T34" s="1280"/>
      <c r="U34" s="1280"/>
      <c r="V34" s="1280"/>
      <c r="W34" s="1280"/>
      <c r="X34" s="1280"/>
      <c r="Y34" s="1280"/>
      <c r="Z34" s="1280"/>
      <c r="AA34" s="1280"/>
      <c r="AB34" s="1280"/>
      <c r="AC34" s="1280"/>
      <c r="AD34" s="1280"/>
      <c r="AE34" s="1280"/>
      <c r="AF34" s="1280"/>
      <c r="AG34" s="1280"/>
      <c r="AH34" s="1280"/>
      <c r="AI34" s="1280"/>
      <c r="AJ34" s="1280"/>
      <c r="AK34" s="1280"/>
    </row>
    <row r="35" spans="1:38">
      <c r="A35" s="4"/>
      <c r="D35" s="120"/>
      <c r="E35" s="1275" t="s">
        <v>2610</v>
      </c>
      <c r="F35" s="1275"/>
      <c r="G35" s="1275"/>
      <c r="H35" s="1275"/>
      <c r="I35" s="1275"/>
      <c r="J35" s="1275"/>
      <c r="K35" s="1275"/>
      <c r="L35" s="1275"/>
      <c r="M35" s="1275"/>
      <c r="N35" s="1275"/>
      <c r="O35" s="1275"/>
      <c r="P35" s="1275"/>
      <c r="Q35" s="1275"/>
      <c r="R35" s="1275"/>
      <c r="S35" s="1275"/>
      <c r="T35" s="1275"/>
      <c r="U35" s="1275"/>
      <c r="V35" s="1275"/>
      <c r="W35" s="1275"/>
      <c r="X35" s="1275"/>
      <c r="Y35" s="1275"/>
      <c r="Z35" s="1275"/>
      <c r="AA35" s="1275"/>
      <c r="AB35" s="1275"/>
      <c r="AC35" s="1275"/>
      <c r="AD35" s="1275"/>
      <c r="AE35" s="1275"/>
      <c r="AF35" s="1275"/>
      <c r="AG35" s="1275"/>
      <c r="AH35" s="1275"/>
      <c r="AI35" s="1275"/>
      <c r="AJ35" s="1275"/>
      <c r="AK35" s="1275"/>
    </row>
    <row r="36" spans="1:38">
      <c r="A36" s="4"/>
      <c r="D36" s="120"/>
      <c r="E36" s="1275" t="s">
        <v>2611</v>
      </c>
      <c r="F36" s="1275"/>
      <c r="G36" s="1275"/>
      <c r="H36" s="1275"/>
      <c r="I36" s="1275"/>
      <c r="J36" s="1275"/>
      <c r="K36" s="1275"/>
      <c r="L36" s="1275"/>
      <c r="M36" s="1275"/>
      <c r="N36" s="1275"/>
      <c r="O36" s="1275"/>
      <c r="P36" s="1275"/>
      <c r="Q36" s="1275"/>
      <c r="R36" s="1275"/>
      <c r="S36" s="1275"/>
      <c r="T36" s="1275"/>
      <c r="U36" s="1275"/>
      <c r="V36" s="1275"/>
      <c r="W36" s="1275"/>
      <c r="X36" s="1275"/>
      <c r="Y36" s="1275"/>
      <c r="Z36" s="1275"/>
      <c r="AA36" s="1275"/>
      <c r="AB36" s="1275"/>
      <c r="AC36" s="1275"/>
      <c r="AD36" s="1275"/>
      <c r="AE36" s="1275"/>
      <c r="AF36" s="1275"/>
      <c r="AG36" s="1275"/>
      <c r="AH36" s="1275"/>
      <c r="AI36" s="1275"/>
      <c r="AJ36" s="1275"/>
      <c r="AK36" s="1275"/>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8" customFormat="1" ht="13.15" customHeight="1">
      <c r="A40" s="4"/>
      <c r="B40"/>
      <c r="C40" s="2"/>
      <c r="D40" s="4"/>
      <c r="E40" s="4" t="s">
        <v>653</v>
      </c>
      <c r="F40" s="1268" t="s">
        <v>1164</v>
      </c>
    </row>
    <row r="41" spans="1:38" s="1268" customFormat="1" ht="13.1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74" t="s">
        <v>1246</v>
      </c>
      <c r="G43" s="1274"/>
      <c r="H43" s="1274"/>
      <c r="I43" s="1274"/>
      <c r="J43" s="1274"/>
      <c r="K43" s="1274"/>
      <c r="L43" s="1274"/>
      <c r="M43" s="1274"/>
      <c r="N43" s="1274"/>
      <c r="O43" s="1274"/>
      <c r="P43" s="1274"/>
      <c r="Q43" s="1274"/>
      <c r="R43" s="1274"/>
      <c r="S43" s="1274"/>
      <c r="T43" s="1274"/>
      <c r="U43" s="1274"/>
      <c r="V43" s="1274"/>
      <c r="W43" s="1274"/>
      <c r="X43" s="1274"/>
      <c r="Y43" s="1274"/>
      <c r="Z43" s="1274"/>
      <c r="AA43" s="1274"/>
      <c r="AB43" s="1274"/>
      <c r="AC43" s="1274"/>
      <c r="AD43" s="1274"/>
      <c r="AE43" s="1274"/>
      <c r="AF43" s="1274"/>
      <c r="AG43" s="1274"/>
      <c r="AH43" s="1274"/>
      <c r="AI43" s="1274"/>
      <c r="AJ43" s="1274"/>
      <c r="AK43" s="1274"/>
      <c r="AL43" s="1274"/>
    </row>
    <row r="44" spans="1:38" s="118" customFormat="1">
      <c r="A44" s="4"/>
      <c r="B44"/>
      <c r="C44" s="2"/>
      <c r="D44" s="4"/>
      <c r="E44" s="4"/>
      <c r="F44" s="1274"/>
      <c r="G44" s="1274"/>
      <c r="H44" s="1274"/>
      <c r="I44" s="1274"/>
      <c r="J44" s="1274"/>
      <c r="K44" s="1274"/>
      <c r="L44" s="1274"/>
      <c r="M44" s="1274"/>
      <c r="N44" s="1274"/>
      <c r="O44" s="1274"/>
      <c r="P44" s="1274"/>
      <c r="Q44" s="1274"/>
      <c r="R44" s="1274"/>
      <c r="S44" s="1274"/>
      <c r="T44" s="1274"/>
      <c r="U44" s="1274"/>
      <c r="V44" s="1274"/>
      <c r="W44" s="1274"/>
      <c r="X44" s="1274"/>
      <c r="Y44" s="1274"/>
      <c r="Z44" s="1274"/>
      <c r="AA44" s="1274"/>
      <c r="AB44" s="1274"/>
      <c r="AC44" s="1274"/>
      <c r="AD44" s="1274"/>
      <c r="AE44" s="1274"/>
      <c r="AF44" s="1274"/>
      <c r="AG44" s="1274"/>
      <c r="AH44" s="1274"/>
      <c r="AI44" s="1274"/>
      <c r="AJ44" s="1274"/>
      <c r="AK44" s="1274"/>
      <c r="AL44" s="1274"/>
    </row>
    <row r="45" spans="1:38" s="118" customFormat="1" ht="13.15" customHeight="1">
      <c r="A45" s="4"/>
      <c r="B45"/>
      <c r="C45" s="2"/>
      <c r="D45" s="4"/>
      <c r="E45" s="4"/>
      <c r="F45" s="1274"/>
      <c r="G45" s="1274"/>
      <c r="H45" s="1274"/>
      <c r="I45" s="1274"/>
      <c r="J45" s="1274"/>
      <c r="K45" s="1274"/>
      <c r="L45" s="1274"/>
      <c r="M45" s="1274"/>
      <c r="N45" s="1274"/>
      <c r="O45" s="1274"/>
      <c r="P45" s="1274"/>
      <c r="Q45" s="1274"/>
      <c r="R45" s="1274"/>
      <c r="S45" s="1274"/>
      <c r="T45" s="1274"/>
      <c r="U45" s="1274"/>
      <c r="V45" s="1274"/>
      <c r="W45" s="1274"/>
      <c r="X45" s="1274"/>
      <c r="Y45" s="1274"/>
      <c r="Z45" s="1274"/>
      <c r="AA45" s="1274"/>
      <c r="AB45" s="1274"/>
      <c r="AC45" s="1274"/>
      <c r="AD45" s="1274"/>
      <c r="AE45" s="1274"/>
      <c r="AF45" s="1274"/>
      <c r="AG45" s="1274"/>
      <c r="AH45" s="1274"/>
      <c r="AI45" s="1274"/>
      <c r="AJ45" s="1274"/>
      <c r="AK45" s="1274"/>
      <c r="AL45" s="1274"/>
    </row>
    <row r="46" spans="1:38">
      <c r="A46" s="4"/>
      <c r="C46" s="2"/>
      <c r="D46" s="4"/>
      <c r="E46" s="4"/>
      <c r="F46" s="118" t="s">
        <v>687</v>
      </c>
      <c r="G46" s="3" t="s">
        <v>1999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8" t="s">
        <v>2000</v>
      </c>
      <c r="G48" s="1268"/>
      <c r="H48" s="1268"/>
      <c r="I48" s="1268"/>
      <c r="J48" s="1268"/>
      <c r="K48" s="1268"/>
      <c r="L48" s="1268"/>
      <c r="M48" s="1268"/>
      <c r="N48" s="1268"/>
      <c r="O48" s="1268"/>
      <c r="P48" s="1268"/>
      <c r="Q48" s="1268"/>
      <c r="R48" s="1268"/>
      <c r="S48" s="1268"/>
      <c r="T48" s="1268"/>
      <c r="U48" s="1268"/>
      <c r="V48" s="1268"/>
      <c r="W48" s="1268"/>
      <c r="X48" s="1268"/>
      <c r="Y48" s="1268"/>
      <c r="Z48" s="1268"/>
      <c r="AA48" s="1268"/>
      <c r="AB48" s="1268"/>
      <c r="AC48" s="1268"/>
      <c r="AD48" s="1268"/>
      <c r="AE48" s="1268"/>
      <c r="AF48" s="1268"/>
      <c r="AG48" s="1268"/>
      <c r="AH48" s="1268"/>
      <c r="AI48" s="1268"/>
      <c r="AJ48" s="1268"/>
      <c r="AK48" s="1268"/>
    </row>
    <row r="49" spans="1:38">
      <c r="A49" s="4"/>
      <c r="C49" s="2"/>
      <c r="D49" s="4"/>
      <c r="E49" s="4"/>
      <c r="F49" s="1268"/>
      <c r="G49" s="1268"/>
      <c r="H49" s="1268"/>
      <c r="I49" s="1268"/>
      <c r="J49" s="1268"/>
      <c r="K49" s="1268"/>
      <c r="L49" s="1268"/>
      <c r="M49" s="1268"/>
      <c r="N49" s="1268"/>
      <c r="O49" s="1268"/>
      <c r="P49" s="1268"/>
      <c r="Q49" s="1268"/>
      <c r="R49" s="1268"/>
      <c r="S49" s="1268"/>
      <c r="T49" s="1268"/>
      <c r="U49" s="1268"/>
      <c r="V49" s="1268"/>
      <c r="W49" s="1268"/>
      <c r="X49" s="1268"/>
      <c r="Y49" s="1268"/>
      <c r="Z49" s="1268"/>
      <c r="AA49" s="1268"/>
      <c r="AB49" s="1268"/>
      <c r="AC49" s="1268"/>
      <c r="AD49" s="1268"/>
      <c r="AE49" s="1268"/>
      <c r="AF49" s="1268"/>
      <c r="AG49" s="1268"/>
      <c r="AH49" s="1268"/>
      <c r="AI49" s="1268"/>
      <c r="AJ49" s="1268"/>
      <c r="AK49" s="1268"/>
    </row>
    <row r="50" spans="1:38">
      <c r="A50" s="4"/>
      <c r="C50" s="2"/>
      <c r="D50" s="4"/>
      <c r="F50" s="1268"/>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73" t="s">
        <v>1191</v>
      </c>
      <c r="H54" s="1273"/>
      <c r="I54" s="1273"/>
      <c r="J54" s="1273"/>
      <c r="K54" s="1273"/>
      <c r="L54" s="1273"/>
      <c r="M54" s="1273"/>
      <c r="N54" s="1273"/>
      <c r="O54" s="1273"/>
      <c r="P54" s="1273"/>
      <c r="Q54" s="1273"/>
      <c r="R54" s="1273"/>
      <c r="S54" s="1273"/>
      <c r="T54" s="1273"/>
      <c r="U54" s="1273"/>
      <c r="V54" s="1273"/>
      <c r="W54" s="1273"/>
      <c r="X54" s="1273"/>
      <c r="Y54" s="1273"/>
      <c r="Z54" s="1273"/>
      <c r="AA54" s="1273"/>
      <c r="AB54" s="1273"/>
      <c r="AC54" s="1273"/>
      <c r="AD54" s="1273"/>
      <c r="AE54" s="1273"/>
      <c r="AF54" s="1273"/>
      <c r="AG54" s="1273"/>
      <c r="AH54" s="1273"/>
      <c r="AI54" s="1273"/>
      <c r="AJ54" s="1273"/>
      <c r="AK54" s="1273"/>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3" t="s">
        <v>575</v>
      </c>
      <c r="H56" s="1273"/>
      <c r="I56" s="1273"/>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73" t="s">
        <v>2001</v>
      </c>
      <c r="H57" s="1273"/>
      <c r="I57" s="1273"/>
      <c r="J57" s="1273"/>
      <c r="K57" s="1273"/>
      <c r="L57" s="1273"/>
      <c r="M57" s="1273"/>
      <c r="N57" s="1273"/>
      <c r="O57" s="1273"/>
      <c r="P57" s="1273"/>
      <c r="Q57" s="1273"/>
      <c r="R57" s="1273"/>
      <c r="S57" s="1273"/>
      <c r="T57" s="1273"/>
      <c r="U57" s="1273"/>
      <c r="V57" s="1273"/>
      <c r="W57" s="1273"/>
      <c r="X57" s="1273"/>
      <c r="Y57" s="1273"/>
      <c r="Z57" s="1273"/>
      <c r="AA57" s="1273"/>
      <c r="AB57" s="1273"/>
      <c r="AC57" s="1273"/>
      <c r="AD57" s="1273"/>
      <c r="AE57" s="1273"/>
      <c r="AF57" s="1273"/>
      <c r="AG57" s="1273"/>
      <c r="AH57" s="1273"/>
      <c r="AI57" s="1273"/>
      <c r="AJ57" s="1273"/>
      <c r="AK57" s="1273"/>
      <c r="AL57" s="1273"/>
    </row>
    <row r="58" spans="1:38">
      <c r="A58" s="204"/>
      <c r="B58" s="204"/>
      <c r="C58" s="205"/>
      <c r="D58" s="205"/>
      <c r="E58" s="204"/>
      <c r="F58" s="206"/>
      <c r="G58" s="1273"/>
      <c r="H58" s="1273"/>
      <c r="I58" s="1273"/>
      <c r="J58" s="1273"/>
      <c r="K58" s="1273"/>
      <c r="L58" s="1273"/>
      <c r="M58" s="1273"/>
      <c r="N58" s="1273"/>
      <c r="O58" s="1273"/>
      <c r="P58" s="1273"/>
      <c r="Q58" s="1273"/>
      <c r="R58" s="1273"/>
      <c r="S58" s="1273"/>
      <c r="T58" s="1273"/>
      <c r="U58" s="1273"/>
      <c r="V58" s="1273"/>
      <c r="W58" s="1273"/>
      <c r="X58" s="1273"/>
      <c r="Y58" s="1273"/>
      <c r="Z58" s="1273"/>
      <c r="AA58" s="1273"/>
      <c r="AB58" s="1273"/>
      <c r="AC58" s="1273"/>
      <c r="AD58" s="1273"/>
      <c r="AE58" s="1273"/>
      <c r="AF58" s="1273"/>
      <c r="AG58" s="1273"/>
      <c r="AH58" s="1273"/>
      <c r="AI58" s="1273"/>
      <c r="AJ58" s="1273"/>
      <c r="AK58" s="1273"/>
      <c r="AL58" s="1273"/>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8" t="s">
        <v>1166</v>
      </c>
      <c r="H64" s="1268"/>
      <c r="I64" s="1268"/>
      <c r="J64" s="1268"/>
      <c r="K64" s="1268"/>
      <c r="L64" s="1268"/>
      <c r="M64" s="1268"/>
      <c r="N64" s="1268"/>
      <c r="O64" s="1268"/>
      <c r="P64" s="1268"/>
      <c r="Q64" s="1268"/>
      <c r="R64" s="1268"/>
      <c r="S64" s="1268"/>
      <c r="T64" s="1268"/>
      <c r="U64" s="1268"/>
      <c r="V64" s="1268"/>
      <c r="W64" s="1268"/>
      <c r="X64" s="1268"/>
      <c r="Y64" s="1268"/>
      <c r="Z64" s="1268"/>
      <c r="AA64" s="1268"/>
      <c r="AB64" s="1268"/>
      <c r="AC64" s="1268"/>
      <c r="AD64" s="1268"/>
      <c r="AE64" s="1268"/>
      <c r="AF64" s="1268"/>
      <c r="AG64" s="1268"/>
      <c r="AH64" s="1268"/>
      <c r="AI64" s="1268"/>
      <c r="AJ64" s="1268"/>
      <c r="AK64" s="1268"/>
    </row>
    <row r="65" spans="1:37">
      <c r="A65" s="4"/>
      <c r="C65" s="2"/>
      <c r="D65" s="4"/>
      <c r="E65" s="4"/>
      <c r="G65" s="1268"/>
      <c r="H65" s="1268"/>
      <c r="I65" s="1268"/>
      <c r="J65" s="1268"/>
      <c r="K65" s="1268"/>
      <c r="L65" s="1268"/>
      <c r="M65" s="1268"/>
      <c r="N65" s="1268"/>
      <c r="O65" s="1268"/>
      <c r="P65" s="1268"/>
      <c r="Q65" s="1268"/>
      <c r="R65" s="1268"/>
      <c r="S65" s="1268"/>
      <c r="T65" s="1268"/>
      <c r="U65" s="1268"/>
      <c r="V65" s="1268"/>
      <c r="W65" s="1268"/>
      <c r="X65" s="1268"/>
      <c r="Y65" s="1268"/>
      <c r="Z65" s="1268"/>
      <c r="AA65" s="1268"/>
      <c r="AB65" s="1268"/>
      <c r="AC65" s="1268"/>
      <c r="AD65" s="1268"/>
      <c r="AE65" s="1268"/>
      <c r="AF65" s="1268"/>
      <c r="AG65" s="1268"/>
      <c r="AH65" s="1268"/>
      <c r="AI65" s="1268"/>
      <c r="AJ65" s="1268"/>
      <c r="AK65" s="1268"/>
    </row>
    <row r="66" spans="1:37">
      <c r="A66" s="4"/>
      <c r="C66" s="2"/>
      <c r="D66" s="4"/>
      <c r="E66" s="4"/>
      <c r="G66" s="1268"/>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ht="13.15" customHeight="1">
      <c r="A67" s="4"/>
      <c r="C67" s="2"/>
      <c r="D67" s="4"/>
      <c r="E67" s="4"/>
      <c r="F67" t="s">
        <v>509</v>
      </c>
      <c r="G67" s="1268" t="s">
        <v>1167</v>
      </c>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F68" s="27"/>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8" t="s">
        <v>1168</v>
      </c>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c r="F71" s="8"/>
      <c r="G71" s="1268"/>
      <c r="H71" s="1268"/>
      <c r="I71" s="1268"/>
      <c r="J71" s="1268"/>
      <c r="K71" s="1268"/>
      <c r="L71" s="1268"/>
      <c r="M71" s="1268"/>
      <c r="N71" s="1268"/>
      <c r="O71" s="1268"/>
      <c r="P71" s="1268"/>
      <c r="Q71" s="1268"/>
      <c r="R71" s="1268"/>
      <c r="S71" s="1268"/>
      <c r="T71" s="1268"/>
      <c r="U71" s="1268"/>
      <c r="V71" s="1268"/>
      <c r="W71" s="1268"/>
      <c r="X71" s="1268"/>
      <c r="Y71" s="1268"/>
      <c r="Z71" s="1268"/>
      <c r="AA71" s="1268"/>
      <c r="AB71" s="1268"/>
      <c r="AC71" s="1268"/>
      <c r="AD71" s="1268"/>
      <c r="AE71" s="1268"/>
      <c r="AF71" s="1268"/>
      <c r="AG71" s="1268"/>
      <c r="AH71" s="1268"/>
      <c r="AI71" s="1268"/>
      <c r="AJ71" s="1268"/>
      <c r="AK71" s="1268"/>
    </row>
    <row r="72" spans="1:37">
      <c r="A72" s="4"/>
      <c r="C72" s="2"/>
      <c r="D72" s="4"/>
      <c r="E72" s="4"/>
      <c r="F72" s="8" t="s">
        <v>509</v>
      </c>
      <c r="G72" s="1268" t="s">
        <v>1169</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8" t="s">
        <v>1170</v>
      </c>
      <c r="H80" s="1268"/>
      <c r="I80" s="1268"/>
      <c r="J80" s="1268"/>
      <c r="K80" s="1268"/>
      <c r="L80" s="1268"/>
      <c r="M80" s="1268"/>
      <c r="N80" s="1268"/>
      <c r="O80" s="1268"/>
      <c r="P80" s="1268"/>
      <c r="Q80" s="1268"/>
      <c r="R80" s="1268"/>
      <c r="S80" s="1268"/>
      <c r="T80" s="1268"/>
      <c r="U80" s="1268"/>
      <c r="V80" s="1268"/>
      <c r="W80" s="1268"/>
      <c r="X80" s="1268"/>
      <c r="Y80" s="1268"/>
      <c r="Z80" s="1268"/>
      <c r="AA80" s="1268"/>
      <c r="AB80" s="1268"/>
      <c r="AC80" s="1268"/>
      <c r="AD80" s="1268"/>
      <c r="AE80" s="1268"/>
      <c r="AF80" s="1268"/>
      <c r="AG80" s="1268"/>
      <c r="AH80" s="1268"/>
      <c r="AI80" s="1268"/>
      <c r="AJ80" s="1268"/>
      <c r="AK80" s="1268"/>
    </row>
    <row r="81" spans="1:37">
      <c r="A81" s="4"/>
      <c r="C81" s="2"/>
      <c r="D81" s="4"/>
      <c r="E81" s="4"/>
      <c r="F81" s="4"/>
      <c r="G81" s="1268"/>
      <c r="H81" s="1268"/>
      <c r="I81" s="1268"/>
      <c r="J81" s="1268"/>
      <c r="K81" s="1268"/>
      <c r="L81" s="1268"/>
      <c r="M81" s="1268"/>
      <c r="N81" s="1268"/>
      <c r="O81" s="1268"/>
      <c r="P81" s="1268"/>
      <c r="Q81" s="1268"/>
      <c r="R81" s="1268"/>
      <c r="S81" s="1268"/>
      <c r="T81" s="1268"/>
      <c r="U81" s="1268"/>
      <c r="V81" s="1268"/>
      <c r="W81" s="1268"/>
      <c r="X81" s="1268"/>
      <c r="Y81" s="1268"/>
      <c r="Z81" s="1268"/>
      <c r="AA81" s="1268"/>
      <c r="AB81" s="1268"/>
      <c r="AC81" s="1268"/>
      <c r="AD81" s="1268"/>
      <c r="AE81" s="1268"/>
      <c r="AF81" s="1268"/>
      <c r="AG81" s="1268"/>
      <c r="AH81" s="1268"/>
      <c r="AI81" s="1268"/>
      <c r="AJ81" s="1268"/>
      <c r="AK81" s="1268"/>
    </row>
    <row r="82" spans="1:37">
      <c r="A82" s="4"/>
      <c r="C82" s="2"/>
      <c r="D82" s="4"/>
      <c r="E82" s="4"/>
      <c r="F82" s="4"/>
      <c r="G82" s="1268"/>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8" t="s">
        <v>1171</v>
      </c>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c r="F85" s="4"/>
      <c r="G85" s="1268"/>
      <c r="H85" s="1268"/>
      <c r="I85" s="1268"/>
      <c r="J85" s="1268"/>
      <c r="K85" s="1268"/>
      <c r="L85" s="1268"/>
      <c r="M85" s="1268"/>
      <c r="N85" s="1268"/>
      <c r="O85" s="1268"/>
      <c r="P85" s="1268"/>
      <c r="Q85" s="1268"/>
      <c r="R85" s="1268"/>
      <c r="S85" s="1268"/>
      <c r="T85" s="1268"/>
      <c r="U85" s="1268"/>
      <c r="V85" s="1268"/>
      <c r="W85" s="1268"/>
      <c r="X85" s="1268"/>
      <c r="Y85" s="1268"/>
      <c r="Z85" s="1268"/>
      <c r="AA85" s="1268"/>
      <c r="AB85" s="1268"/>
      <c r="AC85" s="1268"/>
      <c r="AD85" s="1268"/>
      <c r="AE85" s="1268"/>
      <c r="AF85" s="1268"/>
      <c r="AG85" s="1268"/>
      <c r="AH85" s="1268"/>
      <c r="AI85" s="1268"/>
      <c r="AJ85" s="1268"/>
      <c r="AK85" s="1268"/>
    </row>
    <row r="86" spans="1:37">
      <c r="A86" s="4"/>
      <c r="C86" s="2"/>
      <c r="D86" s="4"/>
      <c r="E86" s="4"/>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71" t="s">
        <v>1172</v>
      </c>
      <c r="H88" s="1271"/>
      <c r="I88" s="1271"/>
      <c r="J88" s="1271"/>
      <c r="K88" s="1271"/>
      <c r="L88" s="1271"/>
      <c r="M88" s="1271"/>
      <c r="N88" s="1271"/>
      <c r="O88" s="1271"/>
      <c r="P88" s="1271"/>
      <c r="Q88" s="1271"/>
      <c r="R88" s="1271"/>
      <c r="S88" s="1271"/>
      <c r="T88" s="1271"/>
      <c r="U88" s="1271"/>
      <c r="V88" s="1271"/>
      <c r="W88" s="1271"/>
      <c r="X88" s="1271"/>
      <c r="Y88" s="1271"/>
      <c r="Z88" s="1271"/>
      <c r="AA88" s="1271"/>
      <c r="AB88" s="1271"/>
      <c r="AC88" s="1271"/>
      <c r="AD88" s="1271"/>
      <c r="AE88" s="1271"/>
      <c r="AF88" s="1271"/>
      <c r="AG88" s="1271"/>
      <c r="AH88" s="1271"/>
      <c r="AI88" s="1271"/>
      <c r="AJ88" s="1271"/>
      <c r="AK88" s="1271"/>
    </row>
    <row r="89" spans="1:37">
      <c r="A89" s="4"/>
      <c r="C89" s="2"/>
      <c r="D89" s="4"/>
      <c r="E89" s="4"/>
      <c r="G89" s="1271"/>
      <c r="H89" s="1271"/>
      <c r="I89" s="1271"/>
      <c r="J89" s="1271"/>
      <c r="K89" s="1271"/>
      <c r="L89" s="1271"/>
      <c r="M89" s="1271"/>
      <c r="N89" s="1271"/>
      <c r="O89" s="1271"/>
      <c r="P89" s="1271"/>
      <c r="Q89" s="1271"/>
      <c r="R89" s="1271"/>
      <c r="S89" s="1271"/>
      <c r="T89" s="1271"/>
      <c r="U89" s="1271"/>
      <c r="V89" s="1271"/>
      <c r="W89" s="1271"/>
      <c r="X89" s="1271"/>
      <c r="Y89" s="1271"/>
      <c r="Z89" s="1271"/>
      <c r="AA89" s="1271"/>
      <c r="AB89" s="1271"/>
      <c r="AC89" s="1271"/>
      <c r="AD89" s="1271"/>
      <c r="AE89" s="1271"/>
      <c r="AF89" s="1271"/>
      <c r="AG89" s="1271"/>
      <c r="AH89" s="1271"/>
      <c r="AI89" s="1271"/>
      <c r="AJ89" s="1271"/>
      <c r="AK89" s="1271"/>
    </row>
    <row r="90" spans="1:37">
      <c r="A90" s="4"/>
      <c r="C90" s="2"/>
      <c r="D90" s="4"/>
      <c r="E90" s="4"/>
      <c r="G90" s="1271"/>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8" t="s">
        <v>1173</v>
      </c>
      <c r="H92" s="1268"/>
      <c r="I92" s="1268"/>
      <c r="J92" s="1268"/>
      <c r="K92" s="1268"/>
      <c r="L92" s="1268"/>
      <c r="M92" s="1268"/>
      <c r="N92" s="1268"/>
      <c r="O92" s="1268"/>
      <c r="P92" s="1268"/>
      <c r="Q92" s="1268"/>
      <c r="R92" s="1268"/>
      <c r="S92" s="1268"/>
      <c r="T92" s="1268"/>
      <c r="U92" s="1268"/>
      <c r="V92" s="1268"/>
      <c r="W92" s="1268"/>
      <c r="X92" s="1268"/>
      <c r="Y92" s="1268"/>
      <c r="Z92" s="1268"/>
      <c r="AA92" s="1268"/>
      <c r="AB92" s="1268"/>
      <c r="AC92" s="1268"/>
      <c r="AD92" s="1268"/>
      <c r="AE92" s="1268"/>
      <c r="AF92" s="1268"/>
      <c r="AG92" s="1268"/>
      <c r="AH92" s="1268"/>
      <c r="AI92" s="1268"/>
      <c r="AJ92" s="1268"/>
      <c r="AK92" s="1268"/>
    </row>
    <row r="93" spans="1:37">
      <c r="A93" s="4"/>
      <c r="C93" s="2"/>
      <c r="D93" s="4"/>
      <c r="E93" s="4"/>
      <c r="G93" s="1268"/>
      <c r="H93" s="1268"/>
      <c r="I93" s="1268"/>
      <c r="J93" s="1268"/>
      <c r="K93" s="1268"/>
      <c r="L93" s="1268"/>
      <c r="M93" s="1268"/>
      <c r="N93" s="1268"/>
      <c r="O93" s="1268"/>
      <c r="P93" s="1268"/>
      <c r="Q93" s="1268"/>
      <c r="R93" s="1268"/>
      <c r="S93" s="1268"/>
      <c r="T93" s="1268"/>
      <c r="U93" s="1268"/>
      <c r="V93" s="1268"/>
      <c r="W93" s="1268"/>
      <c r="X93" s="1268"/>
      <c r="Y93" s="1268"/>
      <c r="Z93" s="1268"/>
      <c r="AA93" s="1268"/>
      <c r="AB93" s="1268"/>
      <c r="AC93" s="1268"/>
      <c r="AD93" s="1268"/>
      <c r="AE93" s="1268"/>
      <c r="AF93" s="1268"/>
      <c r="AG93" s="1268"/>
      <c r="AH93" s="1268"/>
      <c r="AI93" s="1268"/>
      <c r="AJ93" s="1268"/>
      <c r="AK93" s="1268"/>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8" t="s">
        <v>1174</v>
      </c>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c r="G96" s="1268"/>
      <c r="H96" s="1268"/>
      <c r="I96" s="1268"/>
      <c r="J96" s="1268"/>
      <c r="K96" s="1268"/>
      <c r="L96" s="1268"/>
      <c r="M96" s="1268"/>
      <c r="N96" s="1268"/>
      <c r="O96" s="1268"/>
      <c r="P96" s="1268"/>
      <c r="Q96" s="1268"/>
      <c r="R96" s="1268"/>
      <c r="S96" s="1268"/>
      <c r="T96" s="1268"/>
      <c r="U96" s="1268"/>
      <c r="V96" s="1268"/>
      <c r="W96" s="1268"/>
      <c r="X96" s="1268"/>
      <c r="Y96" s="1268"/>
      <c r="Z96" s="1268"/>
      <c r="AA96" s="1268"/>
      <c r="AB96" s="1268"/>
      <c r="AC96" s="1268"/>
      <c r="AD96" s="1268"/>
      <c r="AE96" s="1268"/>
      <c r="AF96" s="1268"/>
      <c r="AG96" s="1268"/>
      <c r="AH96" s="1268"/>
      <c r="AI96" s="1268"/>
      <c r="AJ96" s="1268"/>
      <c r="AK96" s="1268"/>
    </row>
    <row r="97" spans="1:38">
      <c r="A97" s="4"/>
      <c r="C97" s="2"/>
      <c r="D97" s="4"/>
      <c r="E97" s="4"/>
      <c r="G97" s="1268"/>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D98" s="99"/>
      <c r="E98" s="1272" t="s">
        <v>1175</v>
      </c>
      <c r="F98" s="1272"/>
      <c r="G98" s="1272"/>
      <c r="H98" s="1272"/>
      <c r="I98" s="1272"/>
      <c r="J98" s="1272"/>
      <c r="K98" s="1272"/>
      <c r="L98" s="1272"/>
      <c r="M98" s="1272"/>
      <c r="N98" s="1272"/>
      <c r="O98" s="1272"/>
      <c r="P98" s="1272"/>
      <c r="Q98" s="1272"/>
      <c r="R98" s="1272"/>
      <c r="S98" s="1272"/>
      <c r="T98" s="1272"/>
      <c r="U98" s="1272"/>
      <c r="V98" s="1272"/>
      <c r="W98" s="1272"/>
      <c r="X98" s="1272"/>
      <c r="Y98" s="1272"/>
      <c r="Z98" s="1272"/>
      <c r="AA98" s="1272"/>
      <c r="AB98" s="1272"/>
      <c r="AC98" s="1272"/>
      <c r="AD98" s="1272"/>
      <c r="AE98" s="1272"/>
      <c r="AF98" s="1272"/>
      <c r="AG98" s="1272"/>
      <c r="AH98" s="1272"/>
      <c r="AI98" s="1272"/>
      <c r="AJ98" s="1272"/>
      <c r="AK98" s="1272"/>
    </row>
    <row r="99" spans="1:38">
      <c r="A99" s="4"/>
      <c r="D99" s="99"/>
      <c r="E99" s="1272"/>
      <c r="F99" s="1272"/>
      <c r="G99" s="1272"/>
      <c r="H99" s="1272"/>
      <c r="I99" s="1272"/>
      <c r="J99" s="1272"/>
      <c r="K99" s="1272"/>
      <c r="L99" s="1272"/>
      <c r="M99" s="1272"/>
      <c r="N99" s="1272"/>
      <c r="O99" s="1272"/>
      <c r="P99" s="1272"/>
      <c r="Q99" s="1272"/>
      <c r="R99" s="1272"/>
      <c r="S99" s="1272"/>
      <c r="T99" s="1272"/>
      <c r="U99" s="1272"/>
      <c r="V99" s="1272"/>
      <c r="W99" s="1272"/>
      <c r="X99" s="1272"/>
      <c r="Y99" s="1272"/>
      <c r="Z99" s="1272"/>
      <c r="AA99" s="1272"/>
      <c r="AB99" s="1272"/>
      <c r="AC99" s="1272"/>
      <c r="AD99" s="1272"/>
      <c r="AE99" s="1272"/>
      <c r="AF99" s="1272"/>
      <c r="AG99" s="1272"/>
      <c r="AH99" s="1272"/>
      <c r="AI99" s="1272"/>
      <c r="AJ99" s="1272"/>
      <c r="AK99" s="1272"/>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2002</v>
      </c>
      <c r="F138" s="2"/>
      <c r="G138" s="2"/>
      <c r="H138" s="2"/>
    </row>
    <row r="139" spans="4:37">
      <c r="E139" t="s">
        <v>112</v>
      </c>
      <c r="F139" t="s">
        <v>52</v>
      </c>
    </row>
    <row r="140" spans="4:37">
      <c r="E140" t="s">
        <v>113</v>
      </c>
      <c r="F140" t="s">
        <v>466</v>
      </c>
    </row>
    <row r="141" spans="4:37"/>
    <row r="142" spans="4:37">
      <c r="D142" s="2" t="s">
        <v>429</v>
      </c>
      <c r="E142" s="2" t="s">
        <v>2003</v>
      </c>
    </row>
    <row r="143" spans="4:37">
      <c r="E143" s="204" t="s">
        <v>2004</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8" t="s">
        <v>1176</v>
      </c>
      <c r="H205" s="1268"/>
      <c r="I205" s="1268"/>
      <c r="J205" s="1268"/>
      <c r="K205" s="1268"/>
      <c r="L205" s="1268"/>
      <c r="M205" s="1268"/>
      <c r="N205" s="1268"/>
      <c r="O205" s="1268"/>
      <c r="P205" s="1268"/>
      <c r="Q205" s="1268"/>
      <c r="R205" s="1268"/>
      <c r="S205" s="1268"/>
      <c r="T205" s="1268"/>
      <c r="U205" s="1268"/>
      <c r="V205" s="1268"/>
      <c r="W205" s="1268"/>
      <c r="X205" s="1268"/>
      <c r="Y205" s="1268"/>
      <c r="Z205" s="1268"/>
      <c r="AA205" s="1268"/>
      <c r="AB205" s="1268"/>
      <c r="AC205" s="1268"/>
      <c r="AD205" s="1268"/>
      <c r="AE205" s="1268"/>
      <c r="AF205" s="1268"/>
      <c r="AG205" s="1268"/>
      <c r="AH205" s="1268"/>
      <c r="AI205" s="1268"/>
      <c r="AJ205" s="1268"/>
      <c r="AK205" s="1268"/>
    </row>
    <row r="206" spans="2:37">
      <c r="B206" s="4"/>
      <c r="C206" s="4"/>
      <c r="D206" s="2"/>
      <c r="G206" s="1268"/>
      <c r="H206" s="1268"/>
      <c r="I206" s="1268"/>
      <c r="J206" s="1268"/>
      <c r="K206" s="1268"/>
      <c r="L206" s="1268"/>
      <c r="M206" s="1268"/>
      <c r="N206" s="1268"/>
      <c r="O206" s="1268"/>
      <c r="P206" s="1268"/>
      <c r="Q206" s="1268"/>
      <c r="R206" s="1268"/>
      <c r="S206" s="1268"/>
      <c r="T206" s="1268"/>
      <c r="U206" s="1268"/>
      <c r="V206" s="1268"/>
      <c r="W206" s="1268"/>
      <c r="X206" s="1268"/>
      <c r="Y206" s="1268"/>
      <c r="Z206" s="1268"/>
      <c r="AA206" s="1268"/>
      <c r="AB206" s="1268"/>
      <c r="AC206" s="1268"/>
      <c r="AD206" s="1268"/>
      <c r="AE206" s="1268"/>
      <c r="AF206" s="1268"/>
      <c r="AG206" s="1268"/>
      <c r="AH206" s="1268"/>
      <c r="AI206" s="1268"/>
      <c r="AJ206" s="1268"/>
      <c r="AK206" s="1268"/>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8" t="s">
        <v>1155</v>
      </c>
      <c r="G336" s="1268"/>
      <c r="H336" s="1268"/>
      <c r="I336" s="1268"/>
      <c r="J336" s="1268"/>
      <c r="K336" s="1268"/>
      <c r="L336" s="1268"/>
      <c r="M336" s="1268"/>
      <c r="N336" s="1268"/>
      <c r="O336" s="1268"/>
      <c r="P336" s="1268"/>
      <c r="Q336" s="1268"/>
      <c r="R336" s="1268"/>
      <c r="S336" s="1268"/>
      <c r="T336" s="1268"/>
      <c r="U336" s="1268"/>
      <c r="V336" s="1268"/>
      <c r="W336" s="1268"/>
      <c r="X336" s="1268"/>
      <c r="Y336" s="1268"/>
      <c r="Z336" s="1268"/>
      <c r="AA336" s="1268"/>
      <c r="AB336" s="1268"/>
      <c r="AC336" s="1268"/>
      <c r="AD336" s="1268"/>
      <c r="AE336" s="1268"/>
      <c r="AF336" s="1268"/>
      <c r="AG336" s="1268"/>
      <c r="AH336" s="1268"/>
      <c r="AI336" s="1268"/>
      <c r="AJ336" s="1268"/>
      <c r="AK336" s="1268"/>
    </row>
    <row r="337" spans="2:37">
      <c r="B337" s="2"/>
      <c r="E337" s="4"/>
      <c r="F337" s="1268"/>
      <c r="G337" s="1268"/>
      <c r="H337" s="1268"/>
      <c r="I337" s="1268"/>
      <c r="J337" s="1268"/>
      <c r="K337" s="1268"/>
      <c r="L337" s="1268"/>
      <c r="M337" s="1268"/>
      <c r="N337" s="1268"/>
      <c r="O337" s="1268"/>
      <c r="P337" s="1268"/>
      <c r="Q337" s="1268"/>
      <c r="R337" s="1268"/>
      <c r="S337" s="1268"/>
      <c r="T337" s="1268"/>
      <c r="U337" s="1268"/>
      <c r="V337" s="1268"/>
      <c r="W337" s="1268"/>
      <c r="X337" s="1268"/>
      <c r="Y337" s="1268"/>
      <c r="Z337" s="1268"/>
      <c r="AA337" s="1268"/>
      <c r="AB337" s="1268"/>
      <c r="AC337" s="1268"/>
      <c r="AD337" s="1268"/>
      <c r="AE337" s="1268"/>
      <c r="AF337" s="1268"/>
      <c r="AG337" s="1268"/>
      <c r="AH337" s="1268"/>
      <c r="AI337" s="1268"/>
      <c r="AJ337" s="1268"/>
      <c r="AK337" s="1268"/>
    </row>
    <row r="338" spans="2:37">
      <c r="B338" s="2"/>
      <c r="E338" s="4"/>
      <c r="F338" s="1268"/>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15" customHeight="1">
      <c r="B341" s="2"/>
      <c r="E341" s="1273" t="s">
        <v>1235</v>
      </c>
      <c r="F341" s="1273"/>
      <c r="G341" s="1273"/>
      <c r="H341" s="1273"/>
      <c r="I341" s="1273"/>
      <c r="J341" s="1273"/>
      <c r="K341" s="1273"/>
      <c r="L341" s="1273"/>
      <c r="M341" s="1273"/>
      <c r="N341" s="1273"/>
      <c r="O341" s="1273"/>
      <c r="P341" s="1273"/>
      <c r="Q341" s="1273"/>
      <c r="R341" s="1273"/>
      <c r="S341" s="1273"/>
      <c r="T341" s="1273"/>
      <c r="U341" s="1273"/>
      <c r="V341" s="1273"/>
      <c r="W341" s="1273"/>
      <c r="X341" s="1273"/>
      <c r="Y341" s="1273"/>
      <c r="Z341" s="1273"/>
      <c r="AA341" s="1273"/>
      <c r="AB341" s="1273"/>
      <c r="AC341" s="1273"/>
      <c r="AD341" s="1273"/>
      <c r="AE341" s="1273"/>
      <c r="AF341" s="1273"/>
      <c r="AG341" s="1273"/>
      <c r="AH341" s="1273"/>
      <c r="AI341" s="1273"/>
      <c r="AJ341" s="1273"/>
      <c r="AK341" s="1273"/>
    </row>
    <row r="342" spans="2:37">
      <c r="B342" s="2"/>
      <c r="E342" s="1273"/>
      <c r="F342" s="1273"/>
      <c r="G342" s="1273"/>
      <c r="H342" s="1273"/>
      <c r="I342" s="1273"/>
      <c r="J342" s="1273"/>
      <c r="K342" s="1273"/>
      <c r="L342" s="1273"/>
      <c r="M342" s="1273"/>
      <c r="N342" s="1273"/>
      <c r="O342" s="1273"/>
      <c r="P342" s="1273"/>
      <c r="Q342" s="1273"/>
      <c r="R342" s="1273"/>
      <c r="S342" s="1273"/>
      <c r="T342" s="1273"/>
      <c r="U342" s="1273"/>
      <c r="V342" s="1273"/>
      <c r="W342" s="1273"/>
      <c r="X342" s="1273"/>
      <c r="Y342" s="1273"/>
      <c r="Z342" s="1273"/>
      <c r="AA342" s="1273"/>
      <c r="AB342" s="1273"/>
      <c r="AC342" s="1273"/>
      <c r="AD342" s="1273"/>
      <c r="AE342" s="1273"/>
      <c r="AF342" s="1273"/>
      <c r="AG342" s="1273"/>
      <c r="AH342" s="1273"/>
      <c r="AI342" s="1273"/>
      <c r="AJ342" s="1273"/>
      <c r="AK342" s="1273"/>
    </row>
    <row r="343" spans="2:37">
      <c r="B343" s="2"/>
      <c r="E343" s="1273"/>
      <c r="F343" s="1273"/>
      <c r="G343" s="1273"/>
      <c r="H343" s="1273"/>
      <c r="I343" s="1273"/>
      <c r="J343" s="1273"/>
      <c r="K343" s="1273"/>
      <c r="L343" s="1273"/>
      <c r="M343" s="1273"/>
      <c r="N343" s="1273"/>
      <c r="O343" s="1273"/>
      <c r="P343" s="1273"/>
      <c r="Q343" s="1273"/>
      <c r="R343" s="1273"/>
      <c r="S343" s="1273"/>
      <c r="T343" s="1273"/>
      <c r="U343" s="1273"/>
      <c r="V343" s="1273"/>
      <c r="W343" s="1273"/>
      <c r="X343" s="1273"/>
      <c r="Y343" s="1273"/>
      <c r="Z343" s="1273"/>
      <c r="AA343" s="1273"/>
      <c r="AB343" s="1273"/>
      <c r="AC343" s="1273"/>
      <c r="AD343" s="1273"/>
      <c r="AE343" s="1273"/>
      <c r="AF343" s="1273"/>
      <c r="AG343" s="1273"/>
      <c r="AH343" s="1273"/>
      <c r="AI343" s="1273"/>
      <c r="AJ343" s="1273"/>
      <c r="AK343" s="1273"/>
    </row>
    <row r="344" spans="2:37">
      <c r="B344" s="2"/>
      <c r="E344" s="1273"/>
      <c r="F344" s="1273"/>
      <c r="G344" s="1273"/>
      <c r="H344" s="1273"/>
      <c r="I344" s="1273"/>
      <c r="J344" s="1273"/>
      <c r="K344" s="1273"/>
      <c r="L344" s="1273"/>
      <c r="M344" s="1273"/>
      <c r="N344" s="1273"/>
      <c r="O344" s="1273"/>
      <c r="P344" s="1273"/>
      <c r="Q344" s="1273"/>
      <c r="R344" s="1273"/>
      <c r="S344" s="1273"/>
      <c r="T344" s="1273"/>
      <c r="U344" s="1273"/>
      <c r="V344" s="1273"/>
      <c r="W344" s="1273"/>
      <c r="X344" s="1273"/>
      <c r="Y344" s="1273"/>
      <c r="Z344" s="1273"/>
      <c r="AA344" s="1273"/>
      <c r="AB344" s="1273"/>
      <c r="AC344" s="1273"/>
      <c r="AD344" s="1273"/>
      <c r="AE344" s="1273"/>
      <c r="AF344" s="1273"/>
      <c r="AG344" s="1273"/>
      <c r="AH344" s="1273"/>
      <c r="AI344" s="1273"/>
      <c r="AJ344" s="1273"/>
      <c r="AK344" s="1273"/>
    </row>
    <row r="345" spans="2:37">
      <c r="B345" s="2"/>
      <c r="E345" s="1273"/>
      <c r="F345" s="1273"/>
      <c r="G345" s="1273"/>
      <c r="H345" s="1273"/>
      <c r="I345" s="1273"/>
      <c r="J345" s="1273"/>
      <c r="K345" s="1273"/>
      <c r="L345" s="1273"/>
      <c r="M345" s="1273"/>
      <c r="N345" s="1273"/>
      <c r="O345" s="1273"/>
      <c r="P345" s="1273"/>
      <c r="Q345" s="1273"/>
      <c r="R345" s="1273"/>
      <c r="S345" s="1273"/>
      <c r="T345" s="1273"/>
      <c r="U345" s="1273"/>
      <c r="V345" s="1273"/>
      <c r="W345" s="1273"/>
      <c r="X345" s="1273"/>
      <c r="Y345" s="1273"/>
      <c r="Z345" s="1273"/>
      <c r="AA345" s="1273"/>
      <c r="AB345" s="1273"/>
      <c r="AC345" s="1273"/>
      <c r="AD345" s="1273"/>
      <c r="AE345" s="1273"/>
      <c r="AF345" s="1273"/>
      <c r="AG345" s="1273"/>
      <c r="AH345" s="1273"/>
      <c r="AI345" s="1273"/>
      <c r="AJ345" s="1273"/>
      <c r="AK345" s="1273"/>
    </row>
    <row r="346" spans="2:37">
      <c r="B346" s="2"/>
      <c r="E346" s="3" t="s">
        <v>112</v>
      </c>
      <c r="F346" s="1268" t="s">
        <v>1237</v>
      </c>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3"/>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c r="F348" s="1268"/>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t="s">
        <v>113</v>
      </c>
      <c r="F350" s="1268" t="s">
        <v>1236</v>
      </c>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F352" s="1268"/>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76" t="s">
        <v>1226</v>
      </c>
      <c r="F365" s="1276"/>
      <c r="G365" s="1276"/>
      <c r="H365" s="1276"/>
      <c r="I365" s="1276"/>
      <c r="J365" s="1276"/>
      <c r="K365" s="1276"/>
      <c r="L365" s="1276"/>
      <c r="M365" s="1276"/>
      <c r="N365" s="1276"/>
      <c r="O365" s="1276"/>
      <c r="P365" s="1276"/>
      <c r="Q365" s="1276"/>
      <c r="R365" s="1276"/>
      <c r="S365" s="1276"/>
      <c r="T365" s="1276"/>
      <c r="U365" s="1276"/>
      <c r="V365" s="1276"/>
      <c r="W365" s="1276"/>
      <c r="X365" s="1276"/>
      <c r="Y365" s="1276"/>
      <c r="Z365" s="1276"/>
      <c r="AA365" s="1276"/>
      <c r="AB365" s="1276"/>
      <c r="AC365" s="1276"/>
      <c r="AD365" s="1276"/>
      <c r="AE365" s="1276"/>
      <c r="AF365" s="1276"/>
      <c r="AG365" s="1276"/>
      <c r="AH365" s="1276"/>
      <c r="AI365" s="1276"/>
      <c r="AJ365" s="1276"/>
      <c r="AK365" s="1276"/>
      <c r="AL365" s="1276"/>
    </row>
    <row r="366" spans="1:38">
      <c r="B366" s="2"/>
      <c r="E366" s="1276"/>
      <c r="F366" s="1276"/>
      <c r="G366" s="1276"/>
      <c r="H366" s="1276"/>
      <c r="I366" s="1276"/>
      <c r="J366" s="1276"/>
      <c r="K366" s="1276"/>
      <c r="L366" s="1276"/>
      <c r="M366" s="1276"/>
      <c r="N366" s="1276"/>
      <c r="O366" s="1276"/>
      <c r="P366" s="1276"/>
      <c r="Q366" s="1276"/>
      <c r="R366" s="1276"/>
      <c r="S366" s="1276"/>
      <c r="T366" s="1276"/>
      <c r="U366" s="1276"/>
      <c r="V366" s="1276"/>
      <c r="W366" s="1276"/>
      <c r="X366" s="1276"/>
      <c r="Y366" s="1276"/>
      <c r="Z366" s="1276"/>
      <c r="AA366" s="1276"/>
      <c r="AB366" s="1276"/>
      <c r="AC366" s="1276"/>
      <c r="AD366" s="1276"/>
      <c r="AE366" s="1276"/>
      <c r="AF366" s="1276"/>
      <c r="AG366" s="1276"/>
      <c r="AH366" s="1276"/>
      <c r="AI366" s="1276"/>
      <c r="AJ366" s="1276"/>
      <c r="AK366" s="1276"/>
      <c r="AL366" s="1276"/>
    </row>
    <row r="367" spans="1:38" s="1277" customFormat="1">
      <c r="A367"/>
      <c r="B367" s="2"/>
      <c r="C367"/>
      <c r="D367"/>
      <c r="E367" s="1274" t="s">
        <v>1258</v>
      </c>
    </row>
    <row r="368" spans="1:38" s="1277"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8" t="s">
        <v>1269</v>
      </c>
      <c r="G386" s="1268"/>
      <c r="H386" s="1268"/>
      <c r="I386" s="1268"/>
      <c r="J386" s="1268"/>
      <c r="K386" s="1268"/>
      <c r="L386" s="1268"/>
      <c r="M386" s="1268"/>
      <c r="N386" s="1268"/>
      <c r="O386" s="1268"/>
      <c r="P386" s="1268"/>
      <c r="Q386" s="1268"/>
      <c r="R386" s="1268"/>
      <c r="S386" s="1268"/>
      <c r="T386" s="1268"/>
      <c r="U386" s="1268"/>
      <c r="V386" s="1268"/>
      <c r="W386" s="1268"/>
      <c r="X386" s="1268"/>
      <c r="Y386" s="1268"/>
      <c r="Z386" s="1268"/>
      <c r="AA386" s="1268"/>
      <c r="AB386" s="1268"/>
      <c r="AC386" s="1268"/>
      <c r="AD386" s="1268"/>
      <c r="AE386" s="1268"/>
      <c r="AF386" s="1268"/>
      <c r="AG386" s="1268"/>
      <c r="AH386" s="1268"/>
      <c r="AI386" s="1268"/>
      <c r="AJ386" s="1268"/>
      <c r="AK386" s="1268"/>
    </row>
    <row r="387" spans="1:38">
      <c r="B387" s="2"/>
      <c r="E387" s="3"/>
      <c r="F387" s="1268"/>
      <c r="G387" s="1268"/>
      <c r="H387" s="1268"/>
      <c r="I387" s="1268"/>
      <c r="J387" s="1268"/>
      <c r="K387" s="1268"/>
      <c r="L387" s="1268"/>
      <c r="M387" s="1268"/>
      <c r="N387" s="1268"/>
      <c r="O387" s="1268"/>
      <c r="P387" s="1268"/>
      <c r="Q387" s="1268"/>
      <c r="R387" s="1268"/>
      <c r="S387" s="1268"/>
      <c r="T387" s="1268"/>
      <c r="U387" s="1268"/>
      <c r="V387" s="1268"/>
      <c r="W387" s="1268"/>
      <c r="X387" s="1268"/>
      <c r="Y387" s="1268"/>
      <c r="Z387" s="1268"/>
      <c r="AA387" s="1268"/>
      <c r="AB387" s="1268"/>
      <c r="AC387" s="1268"/>
      <c r="AD387" s="1268"/>
      <c r="AE387" s="1268"/>
      <c r="AF387" s="1268"/>
      <c r="AG387" s="1268"/>
      <c r="AH387" s="1268"/>
      <c r="AI387" s="1268"/>
      <c r="AJ387" s="1268"/>
      <c r="AK387" s="1268"/>
    </row>
    <row r="388" spans="1:38">
      <c r="B388" s="2"/>
      <c r="E388" s="3"/>
      <c r="F388" s="1268"/>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19" workbookViewId="0">
      <selection activeCell="G38" sqref="G38"/>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71" t="s">
        <v>1574</v>
      </c>
      <c r="B1" s="2671"/>
      <c r="C1" s="2671"/>
      <c r="D1" s="2671"/>
      <c r="E1" s="2671"/>
      <c r="F1" s="2671"/>
      <c r="G1" s="2671"/>
      <c r="H1" s="2671"/>
      <c r="I1" s="2671"/>
      <c r="J1" s="2671"/>
    </row>
    <row r="2" spans="1:13" ht="15" customHeight="1" thickBot="1">
      <c r="A2" s="1041"/>
      <c r="B2" s="1041"/>
      <c r="I2" s="1042"/>
      <c r="K2" s="1043"/>
    </row>
    <row r="3" spans="1:13" s="1046" customFormat="1" ht="20.100000000000001" customHeight="1">
      <c r="A3" s="1094"/>
      <c r="B3" s="1095"/>
      <c r="C3" s="1096"/>
      <c r="D3" s="1101"/>
      <c r="E3" s="1096"/>
      <c r="F3" s="1097" t="s">
        <v>1963</v>
      </c>
      <c r="G3" s="1096"/>
      <c r="H3" s="1098">
        <f>E18</f>
        <v>18789388</v>
      </c>
      <c r="I3" s="1099"/>
    </row>
    <row r="4" spans="1:13" s="1046" customFormat="1" ht="20.100000000000001" customHeight="1">
      <c r="B4" s="1088"/>
      <c r="D4" s="1102"/>
      <c r="F4" s="1087" t="s">
        <v>1965</v>
      </c>
      <c r="G4" s="1086" t="s">
        <v>1964</v>
      </c>
      <c r="H4" s="1201">
        <f>I18</f>
        <v>8700726</v>
      </c>
      <c r="I4" s="1089"/>
      <c r="K4" s="1050"/>
    </row>
    <row r="5" spans="1:13" s="1046" customFormat="1" ht="20.100000000000001" customHeight="1" thickBot="1">
      <c r="B5" s="1090"/>
      <c r="C5" s="1091"/>
      <c r="D5" s="1103"/>
      <c r="E5" s="1092"/>
      <c r="F5" s="1103" t="s">
        <v>1915</v>
      </c>
      <c r="G5" s="1104"/>
      <c r="H5" s="1100">
        <f>IFERROR(H3/H4,0)</f>
        <v>2.159519561930809</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74" t="s">
        <v>1913</v>
      </c>
      <c r="C8" s="2675"/>
      <c r="D8" s="2675"/>
      <c r="E8" s="2676"/>
      <c r="G8" s="2655" t="s">
        <v>1914</v>
      </c>
      <c r="H8" s="2656"/>
      <c r="I8" s="2657"/>
      <c r="K8" s="1052"/>
    </row>
    <row r="9" spans="1:13" ht="15" customHeight="1">
      <c r="A9" s="1041"/>
      <c r="B9" s="2672" t="s">
        <v>1947</v>
      </c>
      <c r="C9" s="2672"/>
      <c r="D9" s="2672"/>
      <c r="E9" s="1054">
        <f>G33</f>
        <v>5100000</v>
      </c>
      <c r="G9" s="2668" t="s">
        <v>1945</v>
      </c>
      <c r="H9" s="2668"/>
      <c r="I9" s="1055">
        <f>MAX(SUMIF(Application!M562:M573,"Loan, Tax-Exempt",Application!AM562:AM573),27.5%*SUM('Sources and Uses Budget'!C8,'Sources and Uses Budget'!S105,'Sources and Uses Budget'!T105))</f>
        <v>8700726</v>
      </c>
      <c r="K9" s="1056"/>
      <c r="M9" s="1057"/>
    </row>
    <row r="10" spans="1:13" ht="15" customHeight="1" thickBot="1">
      <c r="A10" s="1041"/>
      <c r="B10" s="2672" t="s">
        <v>1948</v>
      </c>
      <c r="C10" s="2672"/>
      <c r="D10" s="2672"/>
      <c r="E10" s="1055">
        <f>G47</f>
        <v>6083388.0000000009</v>
      </c>
      <c r="G10" s="2670" t="s">
        <v>1916</v>
      </c>
      <c r="H10" s="2670"/>
      <c r="I10" s="1134">
        <f>IF(OR(Application!Z205="State Farmworker Credit",Application!Z205="$500M (Farmworker Housing)"),0,'Basis &amp; Credits'!AB78)</f>
        <v>0</v>
      </c>
      <c r="M10" s="1057"/>
    </row>
    <row r="11" spans="1:13" ht="15" customHeight="1">
      <c r="A11" s="1041"/>
      <c r="B11" s="2678" t="s">
        <v>2212</v>
      </c>
      <c r="C11" s="2679"/>
      <c r="D11" s="2680"/>
      <c r="E11" s="1055">
        <f>SUM(E13,E12)</f>
        <v>160000</v>
      </c>
      <c r="G11" s="2677" t="s">
        <v>1956</v>
      </c>
      <c r="H11" s="2677"/>
      <c r="I11" s="1133">
        <f>I9+I10</f>
        <v>8700726</v>
      </c>
      <c r="M11" s="1057"/>
    </row>
    <row r="12" spans="1:13" ht="15" customHeight="1">
      <c r="A12" s="1058"/>
      <c r="B12" s="2673" t="s">
        <v>2575</v>
      </c>
      <c r="C12" s="2673"/>
      <c r="D12" s="2673"/>
      <c r="E12" s="1158">
        <f>G56</f>
        <v>160000</v>
      </c>
      <c r="M12" s="1057"/>
    </row>
    <row r="13" spans="1:13" ht="15" customHeight="1">
      <c r="A13" s="1044"/>
      <c r="B13" s="2673" t="s">
        <v>2576</v>
      </c>
      <c r="C13" s="2673"/>
      <c r="D13" s="2673"/>
      <c r="E13" s="1158">
        <f>IF(G67,MAX(G65,G79),G65)</f>
        <v>0</v>
      </c>
      <c r="G13" s="2655" t="s">
        <v>1979</v>
      </c>
      <c r="H13" s="2656"/>
      <c r="I13" s="2657"/>
    </row>
    <row r="14" spans="1:13" ht="15" customHeight="1">
      <c r="A14" s="1044"/>
      <c r="B14" s="2678" t="s">
        <v>2213</v>
      </c>
      <c r="C14" s="2679"/>
      <c r="D14" s="2680"/>
      <c r="E14" s="1160">
        <f>MAX(E15,E16)+E17</f>
        <v>7446000</v>
      </c>
      <c r="G14" s="2668" t="s">
        <v>2592</v>
      </c>
      <c r="H14" s="2668"/>
      <c r="I14" s="1059">
        <f>IF(AND(G134="Yes",G136&lt;&gt;""),IF(OR(G141="Yes",G145="Yes"),18%,15%),0)</f>
        <v>0</v>
      </c>
      <c r="M14" s="1057"/>
    </row>
    <row r="15" spans="1:13" ht="15" customHeight="1">
      <c r="A15" s="1044"/>
      <c r="B15" s="2652" t="s">
        <v>2589</v>
      </c>
      <c r="C15" s="2653"/>
      <c r="D15" s="2654"/>
      <c r="E15" s="1158">
        <f>G94</f>
        <v>0</v>
      </c>
      <c r="G15" s="1131" t="s">
        <v>1957</v>
      </c>
      <c r="H15" s="1131"/>
      <c r="I15" s="1059">
        <f>IF(Application!AJ1041&gt;0,10%,IF(Application!AJ1045&gt;0,5%,0))</f>
        <v>0</v>
      </c>
      <c r="M15" s="1057"/>
    </row>
    <row r="16" spans="1:13" ht="15" customHeight="1">
      <c r="A16" s="1044"/>
      <c r="B16" s="2652" t="s">
        <v>2590</v>
      </c>
      <c r="C16" s="2653"/>
      <c r="D16" s="2654"/>
      <c r="E16" s="1158">
        <f>G104</f>
        <v>0</v>
      </c>
      <c r="G16" s="2668" t="s">
        <v>1958</v>
      </c>
      <c r="H16" s="2668"/>
      <c r="I16" s="1059">
        <f>G155</f>
        <v>0</v>
      </c>
    </row>
    <row r="17" spans="1:21" ht="15" customHeight="1" thickBot="1">
      <c r="A17" s="1044"/>
      <c r="B17" s="2652" t="s">
        <v>2591</v>
      </c>
      <c r="C17" s="2653"/>
      <c r="D17" s="2654"/>
      <c r="E17" s="1158">
        <f>G129</f>
        <v>7446000</v>
      </c>
      <c r="G17" s="2668" t="s">
        <v>2221</v>
      </c>
      <c r="H17" s="2668"/>
      <c r="I17" s="1059">
        <f>IF(AND(G161="Yes",G159),IF(G165&gt;15%,15%,G165),0)</f>
        <v>0</v>
      </c>
    </row>
    <row r="18" spans="1:21" ht="15" customHeight="1">
      <c r="A18" s="1041"/>
      <c r="B18" s="2669" t="s">
        <v>1912</v>
      </c>
      <c r="C18" s="2669"/>
      <c r="D18" s="2669"/>
      <c r="E18" s="1105">
        <f>SUM(E9:E11,E14)</f>
        <v>18789388</v>
      </c>
      <c r="G18" s="1132" t="s">
        <v>1946</v>
      </c>
      <c r="H18" s="1132"/>
      <c r="I18" s="1106">
        <f>I11-((I11*I14)+(I11*I15)+(I11*I16)+(I11*I17))</f>
        <v>8700726</v>
      </c>
      <c r="M18" s="1060">
        <f>SUM(Cdlac[Quantity])</f>
        <v>77</v>
      </c>
      <c r="O18" s="1079" t="s">
        <v>582</v>
      </c>
      <c r="P18" s="1039">
        <f>MATCH(Application!T189,Application!CB160:CB217,0)</f>
        <v>26</v>
      </c>
      <c r="T18" s="1060">
        <f>SUM(Cdlac[Population])</f>
        <v>0</v>
      </c>
    </row>
    <row r="19" spans="1:21" ht="15" customHeight="1">
      <c r="A19" s="1041"/>
      <c r="B19" s="1041"/>
      <c r="C19" s="1041"/>
      <c r="D19" s="1041"/>
      <c r="E19" s="1041"/>
      <c r="L19" s="1039" t="s">
        <v>1908</v>
      </c>
      <c r="M19" s="1039" t="s">
        <v>1907</v>
      </c>
      <c r="N19" s="1039" t="s">
        <v>1919</v>
      </c>
      <c r="O19" s="1039" t="s">
        <v>1920</v>
      </c>
      <c r="P19" s="1039" t="s">
        <v>1909</v>
      </c>
      <c r="Q19" s="1039" t="s">
        <v>2210</v>
      </c>
      <c r="R19" s="1039" t="s">
        <v>1910</v>
      </c>
      <c r="S19" s="1039" t="s">
        <v>1921</v>
      </c>
      <c r="T19" s="1039" t="s">
        <v>1927</v>
      </c>
      <c r="U19" s="1039" t="s">
        <v>385</v>
      </c>
    </row>
    <row r="20" spans="1:21" ht="15" customHeight="1">
      <c r="B20" s="1061" t="str">
        <f>B9</f>
        <v>A. Unit Production Benefit</v>
      </c>
      <c r="C20" s="1062"/>
      <c r="D20" s="1062"/>
      <c r="E20" s="1062"/>
      <c r="F20" s="1062"/>
      <c r="G20" s="1062"/>
      <c r="H20" s="1062"/>
      <c r="I20" s="1063"/>
      <c r="L20" s="1039">
        <f>IFERROR(MIN(4,MATCH(Application!B726,UnitSizes,0)-1),"")</f>
        <v>2</v>
      </c>
      <c r="M20" s="1060">
        <f>Application!G726</f>
        <v>1</v>
      </c>
      <c r="N20" s="1066">
        <f>Application!AC726</f>
        <v>0.3</v>
      </c>
      <c r="O20" s="1066">
        <f>IF(Cdlac[[#This Row],[Quantity]]&gt;0,IF(Cdlac[[#This Row],[Federal]],30%,IF(AND(OR(NOT($G$38),$G$38=""),$G$43),40%,Cdlac[[#This Row],[iAMI]])),"")</f>
        <v>0.3</v>
      </c>
      <c r="P20" s="1060" cm="1">
        <f t="array" ref="P20">IF(Cdlac[[#This Row],[Quantity]]&gt;0,INDEX(TcacRents,$P$18,Cdlac[[#This Row],[Bedrooms]]+1)*Cdlac[[#This Row],[AMI]],"")</f>
        <v>688.19999999999993</v>
      </c>
      <c r="Q20" s="1157"/>
      <c r="R20" s="1060" cm="1">
        <f t="array" ref="R20">IF(Cdlac[[#This Row],[Quantity]]&gt;0,INDEX(HudFmrs,$P$18,Cdlac[[#This Row],[Bedrooms]]+1),"")</f>
        <v>1493</v>
      </c>
      <c r="S20" s="1060">
        <f>IF(Cdlac[[#This Row],[Quantity]]&gt;0,MAX(0,Cdlac[[#This Row],[Fair Market Rent]]-IF(AND($G$37,$G$38,$G$38&lt;&gt;"",NOT(Cdlac[[#This Row],[Federal]]),Cdlac[[#This Row],[Preservation Rent]]&lt;&gt;""),Cdlac[[#This Row],[Preservation Rent]],Cdlac[[#This Row],[Restricted Rent]])),"")</f>
        <v>804.80000000000007</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2</v>
      </c>
      <c r="M21" s="1060">
        <f>Application!G727</f>
        <v>3</v>
      </c>
      <c r="N21" s="1066">
        <f>Application!AC727</f>
        <v>0.3</v>
      </c>
      <c r="O21" s="1066">
        <f>IF(Cdlac[[#This Row],[Quantity]]&gt;0,IF(Cdlac[[#This Row],[Federal]],30%,IF(AND(OR(NOT($G$38),$G$38=""),$G$43),40%,Cdlac[[#This Row],[iAMI]])),"")</f>
        <v>0.3</v>
      </c>
      <c r="P21" s="1060" cm="1">
        <f t="array" ref="P21">IF(Cdlac[[#This Row],[Quantity]]&gt;0,INDEX(TcacRents,$P$18,Cdlac[[#This Row],[Bedrooms]]+1)*Cdlac[[#This Row],[AMI]],"")</f>
        <v>688.19999999999993</v>
      </c>
      <c r="Q21" s="1157"/>
      <c r="R21" s="1060" cm="1">
        <f t="array" ref="R21">IF(Cdlac[[#This Row],[Quantity]]&gt;0,INDEX(HudFmrs,$P$18,Cdlac[[#This Row],[Bedrooms]]+1),"")</f>
        <v>1493</v>
      </c>
      <c r="S21" s="1060">
        <f>IF(Cdlac[[#This Row],[Quantity]]&gt;0,MAX(0,Cdlac[[#This Row],[Fair Market Rent]]-IF(AND($G$37,$G$38,$G$38&lt;&gt;"",NOT(Cdlac[[#This Row],[Federal]]),Cdlac[[#This Row],[Preservation Rent]]&lt;&gt;""),Cdlac[[#This Row],[Preservation Rent]],Cdlac[[#This Row],[Restricted Rent]])),"")</f>
        <v>804.80000000000007</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59" t="s">
        <v>1960</v>
      </c>
      <c r="D22" s="2659" t="s">
        <v>1961</v>
      </c>
      <c r="E22" s="2659" t="s">
        <v>1962</v>
      </c>
      <c r="F22" s="2659" t="s">
        <v>2536</v>
      </c>
      <c r="G22" s="2659" t="s">
        <v>1959</v>
      </c>
      <c r="H22" s="1065"/>
      <c r="I22" s="1064"/>
      <c r="L22" s="1039">
        <f>IFERROR(MIN(4,MATCH(Application!B728,UnitSizes,0)-1),"")</f>
        <v>2</v>
      </c>
      <c r="M22" s="1060">
        <f>Application!G728</f>
        <v>1</v>
      </c>
      <c r="N22" s="1066">
        <f>Application!AC728</f>
        <v>0.5</v>
      </c>
      <c r="O22" s="1066">
        <f>IF(Cdlac[[#This Row],[Quantity]]&gt;0,IF(Cdlac[[#This Row],[Federal]],30%,IF(AND(OR(NOT($G$38),$G$38=""),$G$43),40%,Cdlac[[#This Row],[iAMI]])),"")</f>
        <v>0.5</v>
      </c>
      <c r="P22" s="1060" cm="1">
        <f t="array" ref="P22">IF(Cdlac[[#This Row],[Quantity]]&gt;0,INDEX(TcacRents,$P$18,Cdlac[[#This Row],[Bedrooms]]+1)*Cdlac[[#This Row],[AMI]],"")</f>
        <v>1147</v>
      </c>
      <c r="Q22" s="1157"/>
      <c r="R22" s="1060" cm="1">
        <f t="array" ref="R22">IF(Cdlac[[#This Row],[Quantity]]&gt;0,INDEX(HudFmrs,$P$18,Cdlac[[#This Row],[Bedrooms]]+1),"")</f>
        <v>1493</v>
      </c>
      <c r="S22" s="1060">
        <f>IF(Cdlac[[#This Row],[Quantity]]&gt;0,MAX(0,Cdlac[[#This Row],[Fair Market Rent]]-IF(AND($G$37,$G$38,$G$38&lt;&gt;"",NOT(Cdlac[[#This Row],[Federal]]),Cdlac[[#This Row],[Preservation Rent]]&lt;&gt;""),Cdlac[[#This Row],[Preservation Rent]],Cdlac[[#This Row],[Restricted Rent]])),"")</f>
        <v>346</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60"/>
      <c r="D23" s="2660"/>
      <c r="E23" s="2660"/>
      <c r="F23" s="2660"/>
      <c r="G23" s="2660"/>
      <c r="H23" s="1065"/>
      <c r="I23" s="1064"/>
      <c r="L23" s="1039">
        <f>IFERROR(MIN(4,MATCH(Application!B729,UnitSizes,0)-1),"")</f>
        <v>2</v>
      </c>
      <c r="M23" s="1060">
        <f>Application!G729</f>
        <v>3</v>
      </c>
      <c r="N23" s="1066">
        <f>Application!AC729</f>
        <v>0.5</v>
      </c>
      <c r="O23" s="1066">
        <f>IF(Cdlac[[#This Row],[Quantity]]&gt;0,IF(Cdlac[[#This Row],[Federal]],30%,IF(AND(OR(NOT($G$38),$G$38=""),$G$43),40%,Cdlac[[#This Row],[iAMI]])),"")</f>
        <v>0.5</v>
      </c>
      <c r="P23" s="1060" cm="1">
        <f t="array" ref="P23">IF(Cdlac[[#This Row],[Quantity]]&gt;0,INDEX(TcacRents,$P$18,Cdlac[[#This Row],[Bedrooms]]+1)*Cdlac[[#This Row],[AMI]],"")</f>
        <v>1147</v>
      </c>
      <c r="Q23" s="1157"/>
      <c r="R23" s="1060" cm="1">
        <f t="array" ref="R23">IF(Cdlac[[#This Row],[Quantity]]&gt;0,INDEX(HudFmrs,$P$18,Cdlac[[#This Row],[Bedrooms]]+1),"")</f>
        <v>1493</v>
      </c>
      <c r="S23" s="1060">
        <f>IF(Cdlac[[#This Row],[Quantity]]&gt;0,MAX(0,Cdlac[[#This Row],[Fair Market Rent]]-IF(AND($G$37,$G$38,$G$38&lt;&gt;"",NOT(Cdlac[[#This Row],[Federal]]),Cdlac[[#This Row],[Preservation Rent]]&lt;&gt;""),Cdlac[[#This Row],[Preservation Rent]],Cdlac[[#This Row],[Restricted Rent]])),"")</f>
        <v>346</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2</v>
      </c>
      <c r="M24" s="1060">
        <f>Application!G730</f>
        <v>8</v>
      </c>
      <c r="N24" s="1066">
        <f>Application!AC730</f>
        <v>0.6</v>
      </c>
      <c r="O24" s="1066">
        <f>IF(Cdlac[[#This Row],[Quantity]]&gt;0,IF(Cdlac[[#This Row],[Federal]],30%,IF(AND(OR(NOT($G$38),$G$38=""),$G$43),40%,Cdlac[[#This Row],[iAMI]])),"")</f>
        <v>0.6</v>
      </c>
      <c r="P24" s="1060" cm="1">
        <f t="array" ref="P24">IF(Cdlac[[#This Row],[Quantity]]&gt;0,INDEX(TcacRents,$P$18,Cdlac[[#This Row],[Bedrooms]]+1)*Cdlac[[#This Row],[AMI]],"")</f>
        <v>1376.3999999999999</v>
      </c>
      <c r="Q24" s="1157"/>
      <c r="R24" s="1060" cm="1">
        <f t="array" ref="R24">IF(Cdlac[[#This Row],[Quantity]]&gt;0,INDEX(HudFmrs,$P$18,Cdlac[[#This Row],[Bedrooms]]+1),"")</f>
        <v>1493</v>
      </c>
      <c r="S24" s="1060">
        <f>IF(Cdlac[[#This Row],[Quantity]]&gt;0,MAX(0,Cdlac[[#This Row],[Fair Market Rent]]-IF(AND($G$37,$G$38,$G$38&lt;&gt;"",NOT(Cdlac[[#This Row],[Federal]]),Cdlac[[#This Row],[Preservation Rent]]&lt;&gt;""),Cdlac[[#This Row],[Preservation Rent]],Cdlac[[#This Row],[Restricted Rent]])),"")</f>
        <v>116.60000000000014</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0</v>
      </c>
      <c r="F25" s="1067">
        <f>E25</f>
        <v>0</v>
      </c>
      <c r="G25" s="1067">
        <f>D25*F25</f>
        <v>0</v>
      </c>
      <c r="L25" s="1039">
        <f>IFERROR(MIN(4,MATCH(Application!B731,UnitSizes,0)-1),"")</f>
        <v>2</v>
      </c>
      <c r="M25" s="1060">
        <f>Application!G731</f>
        <v>17</v>
      </c>
      <c r="N25" s="1066">
        <f>Application!AC731</f>
        <v>0.6</v>
      </c>
      <c r="O25" s="1066">
        <f>IF(Cdlac[[#This Row],[Quantity]]&gt;0,IF(Cdlac[[#This Row],[Federal]],30%,IF(AND(OR(NOT($G$38),$G$38=""),$G$43),40%,Cdlac[[#This Row],[iAMI]])),"")</f>
        <v>0.6</v>
      </c>
      <c r="P25" s="1060" cm="1">
        <f t="array" ref="P25">IF(Cdlac[[#This Row],[Quantity]]&gt;0,INDEX(TcacRents,$P$18,Cdlac[[#This Row],[Bedrooms]]+1)*Cdlac[[#This Row],[AMI]],"")</f>
        <v>1376.3999999999999</v>
      </c>
      <c r="Q25" s="1157"/>
      <c r="R25" s="1060" cm="1">
        <f t="array" ref="R25">IF(Cdlac[[#This Row],[Quantity]]&gt;0,INDEX(HudFmrs,$P$18,Cdlac[[#This Row],[Bedrooms]]+1),"")</f>
        <v>1493</v>
      </c>
      <c r="S25" s="1060">
        <f>IF(Cdlac[[#This Row],[Quantity]]&gt;0,MAX(0,Cdlac[[#This Row],[Fair Market Rent]]-IF(AND($G$37,$G$38,$G$38&lt;&gt;"",NOT(Cdlac[[#This Row],[Federal]]),Cdlac[[#This Row],[Preservation Rent]]&lt;&gt;""),Cdlac[[#This Row],[Preservation Rent]],Cdlac[[#This Row],[Restricted Rent]])),"")</f>
        <v>116.60000000000014</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33</v>
      </c>
      <c r="F26" s="1070">
        <f>SUM(E26:E28)-SUM(F27:F28)</f>
        <v>54</v>
      </c>
      <c r="G26" s="1067">
        <f>D26*F26</f>
        <v>67.5</v>
      </c>
      <c r="H26" s="1069"/>
      <c r="I26" s="1069"/>
      <c r="L26" s="1039">
        <f>IFERROR(MIN(4,MATCH(Application!B732,UnitSizes,0)-1),"")</f>
        <v>3</v>
      </c>
      <c r="M26" s="1060">
        <f>Application!G732</f>
        <v>2</v>
      </c>
      <c r="N26" s="1066">
        <f>Application!AC732</f>
        <v>0.3</v>
      </c>
      <c r="O26" s="1066">
        <f>IF(Cdlac[[#This Row],[Quantity]]&gt;0,IF(Cdlac[[#This Row],[Federal]],30%,IF(AND(OR(NOT($G$38),$G$38=""),$G$43),40%,Cdlac[[#This Row],[iAMI]])),"")</f>
        <v>0.3</v>
      </c>
      <c r="P26" s="1060" cm="1">
        <f t="array" ref="P26">IF(Cdlac[[#This Row],[Quantity]]&gt;0,INDEX(TcacRents,$P$18,Cdlac[[#This Row],[Bedrooms]]+1)*Cdlac[[#This Row],[AMI]],"")</f>
        <v>795.6</v>
      </c>
      <c r="Q26" s="1157"/>
      <c r="R26" s="1060" cm="1">
        <f t="array" ref="R26">IF(Cdlac[[#This Row],[Quantity]]&gt;0,INDEX(HudFmrs,$P$18,Cdlac[[#This Row],[Bedrooms]]+1),"")</f>
        <v>2092</v>
      </c>
      <c r="S26" s="1060">
        <f>IF(Cdlac[[#This Row],[Quantity]]&gt;0,MAX(0,Cdlac[[#This Row],[Fair Market Rent]]-IF(AND($G$37,$G$38,$G$38&lt;&gt;"",NOT(Cdlac[[#This Row],[Federal]]),Cdlac[[#This Row],[Preservation Rent]]&lt;&gt;""),Cdlac[[#This Row],[Preservation Rent]],Cdlac[[#This Row],[Restricted Rent]])),"")</f>
        <v>1296.4000000000001</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44</v>
      </c>
      <c r="F27" s="1070">
        <f>MIN(E27,ROUNDDOWN(E29*30%,0))</f>
        <v>23</v>
      </c>
      <c r="G27" s="1067">
        <f>D27*F27</f>
        <v>34.5</v>
      </c>
      <c r="H27" s="1069"/>
      <c r="I27" s="1069"/>
      <c r="L27" s="1039">
        <f>IFERROR(MIN(4,MATCH(Application!B733,UnitSizes,0)-1),"")</f>
        <v>3</v>
      </c>
      <c r="M27" s="1060">
        <f>Application!G733</f>
        <v>2</v>
      </c>
      <c r="N27" s="1066">
        <f>Application!AC733</f>
        <v>0.3</v>
      </c>
      <c r="O27" s="1066">
        <f>IF(Cdlac[[#This Row],[Quantity]]&gt;0,IF(Cdlac[[#This Row],[Federal]],30%,IF(AND(OR(NOT($G$38),$G$38=""),$G$43),40%,Cdlac[[#This Row],[iAMI]])),"")</f>
        <v>0.3</v>
      </c>
      <c r="P27" s="1060" cm="1">
        <f t="array" ref="P27">IF(Cdlac[[#This Row],[Quantity]]&gt;0,INDEX(TcacRents,$P$18,Cdlac[[#This Row],[Bedrooms]]+1)*Cdlac[[#This Row],[AMI]],"")</f>
        <v>795.6</v>
      </c>
      <c r="Q27" s="1157"/>
      <c r="R27" s="1060" cm="1">
        <f t="array" ref="R27">IF(Cdlac[[#This Row],[Quantity]]&gt;0,INDEX(HudFmrs,$P$18,Cdlac[[#This Row],[Bedrooms]]+1),"")</f>
        <v>2092</v>
      </c>
      <c r="S27" s="1060">
        <f>IF(Cdlac[[#This Row],[Quantity]]&gt;0,MAX(0,Cdlac[[#This Row],[Fair Market Rent]]-IF(AND($G$37,$G$38,$G$38&lt;&gt;"",NOT(Cdlac[[#This Row],[Federal]]),Cdlac[[#This Row],[Preservation Rent]]&lt;&gt;""),Cdlac[[#This Row],[Preservation Rent]],Cdlac[[#This Row],[Restricted Rent]])),"")</f>
        <v>1296.4000000000001</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3</v>
      </c>
      <c r="M28" s="1060">
        <f>Application!G734</f>
        <v>2</v>
      </c>
      <c r="N28" s="1066">
        <f>Application!AC734</f>
        <v>0.5</v>
      </c>
      <c r="O28" s="1066">
        <f>IF(Cdlac[[#This Row],[Quantity]]&gt;0,IF(Cdlac[[#This Row],[Federal]],30%,IF(AND(OR(NOT($G$38),$G$38=""),$G$43),40%,Cdlac[[#This Row],[iAMI]])),"")</f>
        <v>0.5</v>
      </c>
      <c r="P28" s="1060" cm="1">
        <f t="array" ref="P28">IF(Cdlac[[#This Row],[Quantity]]&gt;0,INDEX(TcacRents,$P$18,Cdlac[[#This Row],[Bedrooms]]+1)*Cdlac[[#This Row],[AMI]],"")</f>
        <v>1326</v>
      </c>
      <c r="Q28" s="1157"/>
      <c r="R28" s="1060" cm="1">
        <f t="array" ref="R28">IF(Cdlac[[#This Row],[Quantity]]&gt;0,INDEX(HudFmrs,$P$18,Cdlac[[#This Row],[Bedrooms]]+1),"")</f>
        <v>2092</v>
      </c>
      <c r="S28" s="1060">
        <f>IF(Cdlac[[#This Row],[Quantity]]&gt;0,MAX(0,Cdlac[[#This Row],[Fair Market Rent]]-IF(AND($G$37,$G$38,$G$38&lt;&gt;"",NOT(Cdlac[[#This Row],[Federal]]),Cdlac[[#This Row],[Preservation Rent]]&lt;&gt;""),Cdlac[[#This Row],[Preservation Rent]],Cdlac[[#This Row],[Restricted Rent]])),"")</f>
        <v>766</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61" t="s">
        <v>1575</v>
      </c>
      <c r="D29" s="2662"/>
      <c r="E29" s="1084">
        <f>SUM(E24:E28)</f>
        <v>77</v>
      </c>
      <c r="F29" s="1084">
        <f>SUM(F24:F28)</f>
        <v>77</v>
      </c>
      <c r="G29" s="1085">
        <f>SUMPRODUCT(D24:D28,F24:F28)</f>
        <v>102</v>
      </c>
      <c r="H29" s="1069"/>
      <c r="I29" s="1069"/>
      <c r="L29" s="1039">
        <f>IFERROR(MIN(4,MATCH(Application!B735,UnitSizes,0)-1),"")</f>
        <v>3</v>
      </c>
      <c r="M29" s="1060">
        <f>Application!G735</f>
        <v>2</v>
      </c>
      <c r="N29" s="1066">
        <f>Application!AC735</f>
        <v>0.5</v>
      </c>
      <c r="O29" s="1066">
        <f>IF(Cdlac[[#This Row],[Quantity]]&gt;0,IF(Cdlac[[#This Row],[Federal]],30%,IF(AND(OR(NOT($G$38),$G$38=""),$G$43),40%,Cdlac[[#This Row],[iAMI]])),"")</f>
        <v>0.5</v>
      </c>
      <c r="P29" s="1060" cm="1">
        <f t="array" ref="P29">IF(Cdlac[[#This Row],[Quantity]]&gt;0,INDEX(TcacRents,$P$18,Cdlac[[#This Row],[Bedrooms]]+1)*Cdlac[[#This Row],[AMI]],"")</f>
        <v>1326</v>
      </c>
      <c r="Q29" s="1157"/>
      <c r="R29" s="1060" cm="1">
        <f t="array" ref="R29">IF(Cdlac[[#This Row],[Quantity]]&gt;0,INDEX(HudFmrs,$P$18,Cdlac[[#This Row],[Bedrooms]]+1),"")</f>
        <v>2092</v>
      </c>
      <c r="S29" s="1060">
        <f>IF(Cdlac[[#This Row],[Quantity]]&gt;0,MAX(0,Cdlac[[#This Row],[Fair Market Rent]]-IF(AND($G$37,$G$38,$G$38&lt;&gt;"",NOT(Cdlac[[#This Row],[Federal]]),Cdlac[[#This Row],[Preservation Rent]]&lt;&gt;""),Cdlac[[#This Row],[Preservation Rent]],Cdlac[[#This Row],[Restricted Rent]])),"")</f>
        <v>766</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f>IFERROR(MIN(4,MATCH(Application!B736,UnitSizes,0)-1),"")</f>
        <v>3</v>
      </c>
      <c r="M30" s="1060">
        <f>Application!G736</f>
        <v>16</v>
      </c>
      <c r="N30" s="1066">
        <f>Application!AC736</f>
        <v>0.6</v>
      </c>
      <c r="O30" s="1066">
        <f>IF(Cdlac[[#This Row],[Quantity]]&gt;0,IF(Cdlac[[#This Row],[Federal]],30%,IF(AND(OR(NOT($G$38),$G$38=""),$G$43),40%,Cdlac[[#This Row],[iAMI]])),"")</f>
        <v>0.6</v>
      </c>
      <c r="P30" s="1060" cm="1">
        <f t="array" ref="P30">IF(Cdlac[[#This Row],[Quantity]]&gt;0,INDEX(TcacRents,$P$18,Cdlac[[#This Row],[Bedrooms]]+1)*Cdlac[[#This Row],[AMI]],"")</f>
        <v>1591.2</v>
      </c>
      <c r="Q30" s="1157"/>
      <c r="R30" s="1060" cm="1">
        <f t="array" ref="R30">IF(Cdlac[[#This Row],[Quantity]]&gt;0,INDEX(HudFmrs,$P$18,Cdlac[[#This Row],[Bedrooms]]+1),"")</f>
        <v>2092</v>
      </c>
      <c r="S30" s="1060">
        <f>IF(Cdlac[[#This Row],[Quantity]]&gt;0,MAX(0,Cdlac[[#This Row],[Fair Market Rent]]-IF(AND($G$37,$G$38,$G$38&lt;&gt;"",NOT(Cdlac[[#This Row],[Federal]]),Cdlac[[#This Row],[Preservation Rent]]&lt;&gt;""),Cdlac[[#This Row],[Preservation Rent]],Cdlac[[#This Row],[Restricted Rent]])),"")</f>
        <v>500.79999999999995</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0</v>
      </c>
    </row>
    <row r="31" spans="1:21" ht="15" customHeight="1">
      <c r="A31" s="1069"/>
      <c r="E31" s="1111" t="s">
        <v>1959</v>
      </c>
      <c r="G31" s="1108">
        <f>G29</f>
        <v>102</v>
      </c>
      <c r="H31" s="1069"/>
      <c r="I31" s="1069"/>
      <c r="L31" s="1039">
        <f>IFERROR(MIN(4,MATCH(Application!B737,UnitSizes,0)-1),"")</f>
        <v>3</v>
      </c>
      <c r="M31" s="1060">
        <f>Application!G737</f>
        <v>20</v>
      </c>
      <c r="N31" s="1066">
        <f>Application!AC737</f>
        <v>0.6</v>
      </c>
      <c r="O31" s="1066">
        <f>IF(Cdlac[[#This Row],[Quantity]]&gt;0,IF(Cdlac[[#This Row],[Federal]],30%,IF(AND(OR(NOT($G$38),$G$38=""),$G$43),40%,Cdlac[[#This Row],[iAMI]])),"")</f>
        <v>0.6</v>
      </c>
      <c r="P31" s="1060" cm="1">
        <f t="array" ref="P31">IF(Cdlac[[#This Row],[Quantity]]&gt;0,INDEX(TcacRents,$P$18,Cdlac[[#This Row],[Bedrooms]]+1)*Cdlac[[#This Row],[AMI]],"")</f>
        <v>1591.2</v>
      </c>
      <c r="Q31" s="1157"/>
      <c r="R31" s="1060" cm="1">
        <f t="array" ref="R31">IF(Cdlac[[#This Row],[Quantity]]&gt;0,INDEX(HudFmrs,$P$18,Cdlac[[#This Row],[Bedrooms]]+1),"")</f>
        <v>2092</v>
      </c>
      <c r="S31" s="1060">
        <f>IF(Cdlac[[#This Row],[Quantity]]&gt;0,MAX(0,Cdlac[[#This Row],[Fair Market Rent]]-IF(AND($G$37,$G$38,$G$38&lt;&gt;"",NOT(Cdlac[[#This Row],[Federal]]),Cdlac[[#This Row],[Preservation Rent]]&lt;&gt;""),Cdlac[[#This Row],[Preservation Rent]],Cdlac[[#This Row],[Restricted Rent]])),"")</f>
        <v>500.79999999999995</v>
      </c>
      <c r="T31" s="1039">
        <f>IF(Cdlac[[#This Row],[Quantity]]&gt;0,AND(Application!AK737&lt;&gt;"N/A",Application!AK737&lt;&gt;"")*Cdlac[[#This Row],[Quantity]],"")</f>
        <v>0</v>
      </c>
      <c r="U31" s="1039" t="b">
        <f>AND('Subsidy Contract Calculation'!F15&gt;0,OR('Subsidy Contract Calculation'!C15="Federal",'Subsidy Contract Calculation'!C15="Local - Approved by ED"),Cdlac[[#This Row],[Quantity]]&gt;0)</f>
        <v>0</v>
      </c>
    </row>
    <row r="32" spans="1:21" ht="15" customHeight="1">
      <c r="A32" s="1069"/>
      <c r="E32" s="1111" t="s">
        <v>1918</v>
      </c>
      <c r="F32" s="1107" t="s">
        <v>1966</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1952</v>
      </c>
      <c r="F33" s="1041"/>
      <c r="G33" s="1113">
        <f>G32*G31</f>
        <v>5100000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2574</v>
      </c>
      <c r="G37" s="1039" t="b">
        <f>'Points System'!AK61&gt;0</f>
        <v>1</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2209</v>
      </c>
      <c r="G38" s="1156" t="b">
        <v>0</v>
      </c>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64" t="str">
        <f>IF(AND(G37,G38,G38&lt;&gt;""),"Enter the average rent charged for each unit type over the last three years, as documented with rent rolls or property audits, in cells Q20:Q44","")</f>
        <v/>
      </c>
      <c r="D39" s="2664"/>
      <c r="E39" s="2664"/>
      <c r="F39" s="2664"/>
      <c r="G39" s="2664"/>
      <c r="H39" s="2664"/>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64"/>
      <c r="D40" s="2664"/>
      <c r="E40" s="2664"/>
      <c r="F40" s="2664"/>
      <c r="G40" s="2664"/>
      <c r="H40" s="2664"/>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64"/>
      <c r="D41" s="2664"/>
      <c r="E41" s="2664"/>
      <c r="F41" s="2664"/>
      <c r="G41" s="2664"/>
      <c r="H41" s="2664"/>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1977</v>
      </c>
      <c r="G42" s="1114" cm="1">
        <f t="array" ref="G42">SUMPRODUCT(Cdlac[Quantity],Cdlac[iAMI],IF(Cdlac[Federal],0,1))/SUMIFS(Cdlac[Quantity],Cdlac[Federal],FALSE)</f>
        <v>0.55844155844155841</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1972</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1922</v>
      </c>
      <c r="G45" s="1073">
        <f>IFERROR(SUMPRODUCT(Cdlac[Quantity],Cdlac[Delta]),0)</f>
        <v>33796.600000000006</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1978</v>
      </c>
      <c r="F46" s="1107" t="s">
        <v>1966</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1917</v>
      </c>
      <c r="F47" s="1041"/>
      <c r="G47" s="1117">
        <f>G45*G46</f>
        <v>6083388.0000000009</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1969</v>
      </c>
      <c r="G51" s="1074">
        <f>SUMIFS(Cdlac[Quantity],Cdlac[iAMI],"&lt;=30%")</f>
        <v>8</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1968</v>
      </c>
      <c r="G52" s="1074">
        <f>ROUNDDOWN(E29*50%,0)</f>
        <v>38</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1928</v>
      </c>
      <c r="G54" s="1108">
        <f>MIN(G51:G52)</f>
        <v>8</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1918</v>
      </c>
      <c r="F55" s="1107" t="s">
        <v>1966</v>
      </c>
      <c r="G55" s="1118">
        <v>20000</v>
      </c>
      <c r="M55" s="1060"/>
      <c r="N55" s="1066"/>
      <c r="O55" s="1066"/>
      <c r="P55" s="1060"/>
      <c r="Q55" s="1157"/>
      <c r="R55" s="1060"/>
      <c r="S55" s="1060"/>
    </row>
    <row r="56" spans="2:21" ht="15" customHeight="1">
      <c r="E56" s="1112" t="s">
        <v>1950</v>
      </c>
      <c r="F56" s="1041"/>
      <c r="G56" s="1117">
        <f>G54*G55</f>
        <v>160000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1967</v>
      </c>
      <c r="G60" s="1202">
        <f>T18</f>
        <v>0</v>
      </c>
    </row>
    <row r="61" spans="2:21" ht="15" customHeight="1">
      <c r="E61" s="1111" t="s">
        <v>1968</v>
      </c>
      <c r="G61" s="1108">
        <f>ROUNDDOWN(E29*50%,0)</f>
        <v>38</v>
      </c>
    </row>
    <row r="62" spans="2:21" ht="15" customHeight="1">
      <c r="E62" s="1111"/>
      <c r="G62" s="1119"/>
    </row>
    <row r="63" spans="2:21" ht="15" customHeight="1">
      <c r="E63" s="1111" t="s">
        <v>1928</v>
      </c>
      <c r="G63" s="1108">
        <f>MIN(G60:G61)</f>
        <v>0</v>
      </c>
    </row>
    <row r="64" spans="2:21" ht="15" customHeight="1">
      <c r="E64" s="1111" t="s">
        <v>1918</v>
      </c>
      <c r="F64" s="1107" t="s">
        <v>1966</v>
      </c>
      <c r="G64" s="1118">
        <v>10000</v>
      </c>
    </row>
    <row r="65" spans="5:7" ht="15" customHeight="1">
      <c r="E65" s="1112" t="s">
        <v>1951</v>
      </c>
      <c r="F65" s="1041"/>
      <c r="G65" s="1117">
        <f>G63*G64</f>
        <v>0</v>
      </c>
    </row>
    <row r="66" spans="5:7" ht="15" customHeight="1">
      <c r="E66" s="1112"/>
      <c r="F66" s="1041"/>
      <c r="G66" s="1117"/>
    </row>
    <row r="67" spans="5:7" ht="15" customHeight="1">
      <c r="E67" s="1079" t="s">
        <v>2579</v>
      </c>
      <c r="G67" s="1039" t="b">
        <f>Application!V227="Yes"</f>
        <v>0</v>
      </c>
    </row>
    <row r="68" spans="5:7" ht="15" customHeight="1">
      <c r="E68" s="1079" t="s">
        <v>2580</v>
      </c>
      <c r="G68" s="1202">
        <f>SUMIF(Application!AK726:AK760,"Homeless",Application!G726:G760)</f>
        <v>0</v>
      </c>
    </row>
    <row r="69" spans="5:7" ht="15" customHeight="1">
      <c r="E69" s="1079"/>
    </row>
    <row r="70" spans="5:7" ht="15" customHeight="1">
      <c r="E70" s="1079" t="s">
        <v>2581</v>
      </c>
      <c r="G70" s="1203"/>
    </row>
    <row r="71" spans="5:7" ht="15" customHeight="1">
      <c r="E71" s="1079" t="s">
        <v>2582</v>
      </c>
      <c r="G71" s="1203"/>
    </row>
    <row r="72" spans="5:7" ht="15" customHeight="1">
      <c r="E72" s="1079" t="s">
        <v>2583</v>
      </c>
      <c r="G72" s="1202">
        <f>IF(G71=0,0,(G70/G71)*100000)</f>
        <v>0</v>
      </c>
    </row>
    <row r="73" spans="5:7" ht="15" customHeight="1">
      <c r="E73" s="1079" t="s">
        <v>2584</v>
      </c>
      <c r="G73" s="1203"/>
    </row>
    <row r="74" spans="5:7" ht="15" customHeight="1">
      <c r="E74" s="1079" t="s">
        <v>2585</v>
      </c>
      <c r="G74" s="1203"/>
    </row>
    <row r="75" spans="5:7" ht="15" customHeight="1">
      <c r="E75" s="1079" t="s">
        <v>2586</v>
      </c>
      <c r="G75" s="1202">
        <f>IF(G74=0,0,(G73/G74)*100000)</f>
        <v>0</v>
      </c>
    </row>
    <row r="76" spans="5:7" ht="15" customHeight="1">
      <c r="E76" s="1112"/>
      <c r="F76" s="1041"/>
      <c r="G76" s="1117"/>
    </row>
    <row r="77" spans="5:7" ht="15" customHeight="1">
      <c r="E77" s="1111" t="s">
        <v>1928</v>
      </c>
      <c r="G77" s="1108">
        <f>IF(OR(G75&gt;G72,G71&lt;100000),G75*G68,G72*G68)</f>
        <v>0</v>
      </c>
    </row>
    <row r="78" spans="5:7" ht="15" customHeight="1">
      <c r="E78" s="1111" t="s">
        <v>1918</v>
      </c>
      <c r="F78" s="1107" t="s">
        <v>1966</v>
      </c>
      <c r="G78" s="1118">
        <v>100</v>
      </c>
    </row>
    <row r="79" spans="5:7" ht="15" customHeight="1">
      <c r="E79" s="1112" t="s">
        <v>1951</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1954</v>
      </c>
      <c r="G83" s="1038" t="s">
        <v>669</v>
      </c>
      <c r="L83" s="2685" t="s">
        <v>1943</v>
      </c>
      <c r="M83" s="2686"/>
      <c r="N83" s="1125">
        <v>30000</v>
      </c>
    </row>
    <row r="84" spans="2:14" ht="15" customHeight="1">
      <c r="C84" s="1072" t="s">
        <v>1955</v>
      </c>
      <c r="G84" s="1076" t="str">
        <f>IF(Application!D211="Large Family","Yes","No")</f>
        <v>No</v>
      </c>
      <c r="L84" s="2689" t="s">
        <v>1911</v>
      </c>
      <c r="M84" s="2690"/>
      <c r="N84" s="1126">
        <v>20000</v>
      </c>
    </row>
    <row r="85" spans="2:14" ht="15" customHeight="1" thickBot="1">
      <c r="C85" s="1072" t="s">
        <v>1941</v>
      </c>
      <c r="G85" s="1038" t="s">
        <v>669</v>
      </c>
      <c r="L85" s="2691" t="s">
        <v>1944</v>
      </c>
      <c r="M85" s="2692"/>
      <c r="N85" s="1127">
        <v>10000</v>
      </c>
    </row>
    <row r="86" spans="2:14" ht="15" customHeight="1" thickBot="1">
      <c r="C86" s="1072" t="s">
        <v>1942</v>
      </c>
      <c r="G86" s="1039" t="str">
        <f>Application!T193</f>
        <v>High Resource</v>
      </c>
    </row>
    <row r="87" spans="2:14" ht="15" customHeight="1">
      <c r="C87" s="2667" t="s">
        <v>2211</v>
      </c>
      <c r="D87" s="2667"/>
      <c r="E87" s="2667"/>
      <c r="F87" s="2667"/>
      <c r="G87" s="1038" t="s">
        <v>669</v>
      </c>
      <c r="L87" s="1121" t="str">
        <f>'Points System'!H651</f>
        <v>(i)</v>
      </c>
      <c r="M87" s="2687" t="s">
        <v>1397</v>
      </c>
      <c r="N87" s="2688"/>
    </row>
    <row r="88" spans="2:14" ht="15" customHeight="1">
      <c r="C88" s="2667"/>
      <c r="D88" s="2667"/>
      <c r="E88" s="2667"/>
      <c r="F88" s="2667"/>
      <c r="L88" s="1122" t="str">
        <f>'Points System'!H663</f>
        <v>(i)</v>
      </c>
      <c r="M88" s="2681" t="s">
        <v>1930</v>
      </c>
      <c r="N88" s="2682"/>
    </row>
    <row r="89" spans="2:14" ht="15" customHeight="1">
      <c r="C89" s="1072"/>
      <c r="L89" s="1122" t="str">
        <f>'Points System'!H698</f>
        <v>(i)</v>
      </c>
      <c r="M89" s="2681" t="s">
        <v>1931</v>
      </c>
      <c r="N89" s="2682"/>
    </row>
    <row r="90" spans="2:14" ht="15" customHeight="1">
      <c r="E90" s="1079" t="s">
        <v>1973</v>
      </c>
      <c r="G90" s="1074" t="b">
        <f>OR(AND(COUNTIFS(G84:G85,"Yes")&gt;=1,G83="Yes"),G87="Yes")</f>
        <v>0</v>
      </c>
      <c r="L90" s="1122" t="str">
        <f>IF(OR('Points System'!H722="(ii)",'Points System'!H722="(i)"),"(i)","N/A")</f>
        <v>(i)</v>
      </c>
      <c r="M90" s="2681" t="s">
        <v>1932</v>
      </c>
      <c r="N90" s="2682"/>
    </row>
    <row r="91" spans="2:14" ht="15" customHeight="1">
      <c r="E91" s="1079"/>
      <c r="G91" s="1074"/>
      <c r="L91" s="1123" t="str">
        <f>'Points System'!H736</f>
        <v>N/A</v>
      </c>
      <c r="M91" s="2681" t="s">
        <v>1423</v>
      </c>
      <c r="N91" s="2682"/>
    </row>
    <row r="92" spans="2:14" ht="15" customHeight="1">
      <c r="E92" s="1079" t="s">
        <v>1918</v>
      </c>
      <c r="G92" s="1073">
        <f>IFERROR(IF($G$87="Yes",30000,INDEX(N83:N85,MATCH(LEFT(G86,17),L83:L85,0))),0)</f>
        <v>20000</v>
      </c>
      <c r="L92" s="1122" t="str">
        <f>'Points System'!H748</f>
        <v>N/A</v>
      </c>
      <c r="M92" s="2681" t="s">
        <v>1933</v>
      </c>
      <c r="N92" s="2682"/>
    </row>
    <row r="93" spans="2:14" ht="15" customHeight="1">
      <c r="E93" s="1079" t="str">
        <f>E110</f>
        <v>Bedroom-Adjusted Low-Income Units</v>
      </c>
      <c r="F93" s="1107" t="s">
        <v>1966</v>
      </c>
      <c r="G93" s="1108">
        <f>G29</f>
        <v>102</v>
      </c>
      <c r="L93" s="1122" t="str">
        <f>'Points System'!H764</f>
        <v>(i)</v>
      </c>
      <c r="M93" s="2681" t="s">
        <v>1934</v>
      </c>
      <c r="N93" s="2682"/>
    </row>
    <row r="94" spans="2:14" ht="15" customHeight="1" thickBot="1">
      <c r="D94" s="1041"/>
      <c r="E94" s="1112" t="s">
        <v>2214</v>
      </c>
      <c r="F94" s="1041"/>
      <c r="G94" s="1117">
        <f>G93*G92*G90</f>
        <v>0</v>
      </c>
      <c r="L94" s="1124" t="str">
        <f>'Points System'!H776</f>
        <v>(i)</v>
      </c>
      <c r="M94" s="2683" t="s">
        <v>1426</v>
      </c>
      <c r="N94" s="2684"/>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1949</v>
      </c>
      <c r="G98" s="1038"/>
    </row>
    <row r="99" spans="2:9" ht="15" customHeight="1">
      <c r="F99" s="1110"/>
    </row>
    <row r="100" spans="2:9" ht="15" customHeight="1">
      <c r="E100" s="1079" t="s">
        <v>1973</v>
      </c>
      <c r="G100" s="1074" t="b">
        <f>G98="Yes"</f>
        <v>0</v>
      </c>
    </row>
    <row r="101" spans="2:9" ht="15" customHeight="1"/>
    <row r="102" spans="2:9" ht="15" customHeight="1">
      <c r="E102" s="1079" t="str">
        <f>E110</f>
        <v>Bedroom-Adjusted Low-Income Units</v>
      </c>
      <c r="G102" s="1108">
        <f>G29</f>
        <v>102</v>
      </c>
    </row>
    <row r="103" spans="2:9" ht="15" customHeight="1">
      <c r="E103" s="1079" t="s">
        <v>1918</v>
      </c>
      <c r="F103" s="1107" t="s">
        <v>1966</v>
      </c>
      <c r="G103" s="1045">
        <v>20000</v>
      </c>
    </row>
    <row r="104" spans="2:9" ht="15" customHeight="1">
      <c r="E104" s="1112" t="s">
        <v>2215</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1929</v>
      </c>
      <c r="G108" s="1108">
        <f>VLOOKUP('Points System'!$H$619,'Points System'!$AO$599:$AP$604,2,FALSE)</f>
        <v>6</v>
      </c>
    </row>
    <row r="109" spans="2:9" ht="15" customHeight="1">
      <c r="E109" s="1079" t="s">
        <v>1918</v>
      </c>
      <c r="F109" s="1107" t="s">
        <v>1966</v>
      </c>
      <c r="G109" s="1071">
        <v>4000</v>
      </c>
    </row>
    <row r="110" spans="2:9" ht="15" customHeight="1">
      <c r="E110" s="1079" t="s">
        <v>1970</v>
      </c>
      <c r="F110" s="1107" t="s">
        <v>1966</v>
      </c>
      <c r="G110" s="1120">
        <f>G29</f>
        <v>102</v>
      </c>
    </row>
    <row r="111" spans="2:9" ht="15" customHeight="1">
      <c r="E111" s="1112" t="s">
        <v>1935</v>
      </c>
      <c r="F111" s="1041"/>
      <c r="G111" s="1117">
        <f>G108*G109*G110</f>
        <v>2448000</v>
      </c>
    </row>
    <row r="112" spans="2:9" ht="15" customHeight="1">
      <c r="C112" s="1072"/>
      <c r="G112" s="1108"/>
    </row>
    <row r="113" spans="2:7" ht="15" customHeight="1">
      <c r="E113" s="1079" t="s">
        <v>1971</v>
      </c>
      <c r="G113" s="1108">
        <f>COUNTIFS(L87:L94,"(i)")</f>
        <v>6</v>
      </c>
    </row>
    <row r="114" spans="2:7" ht="15" customHeight="1">
      <c r="E114" s="1079" t="s">
        <v>1918</v>
      </c>
      <c r="F114" s="1107" t="s">
        <v>1966</v>
      </c>
      <c r="G114" s="1118">
        <v>4000</v>
      </c>
    </row>
    <row r="115" spans="2:7" ht="15" customHeight="1">
      <c r="E115" s="1112" t="s">
        <v>1936</v>
      </c>
      <c r="F115" s="1041"/>
      <c r="G115" s="1117">
        <f>G110*G113*G114</f>
        <v>2448000</v>
      </c>
    </row>
    <row r="116" spans="2:7" ht="15" customHeight="1"/>
    <row r="117" spans="2:7" ht="15" customHeight="1">
      <c r="C117" s="1075" t="s">
        <v>1938</v>
      </c>
    </row>
    <row r="118" spans="2:7" ht="15" customHeight="1">
      <c r="C118" s="1072" t="s">
        <v>1939</v>
      </c>
      <c r="G118" s="1038"/>
    </row>
    <row r="119" spans="2:7" ht="15" customHeight="1">
      <c r="C119" s="1072" t="s">
        <v>1940</v>
      </c>
      <c r="G119" s="1038"/>
    </row>
    <row r="120" spans="2:7" ht="15" customHeight="1">
      <c r="C120" s="1072" t="s">
        <v>2096</v>
      </c>
      <c r="G120" s="1038" t="s">
        <v>545</v>
      </c>
    </row>
    <row r="121" spans="2:7">
      <c r="C121" s="1072" t="s">
        <v>2097</v>
      </c>
      <c r="G121" s="1038"/>
    </row>
    <row r="123" spans="2:7">
      <c r="B123" s="1073"/>
      <c r="C123" s="1072"/>
      <c r="E123" s="1079" t="s">
        <v>1973</v>
      </c>
      <c r="G123" s="1074" t="b">
        <f>COUNTIFS(G118:G121,"Yes")&gt;=1</f>
        <v>1</v>
      </c>
    </row>
    <row r="124" spans="2:7">
      <c r="E124" s="1072"/>
    </row>
    <row r="125" spans="2:7" ht="15">
      <c r="E125" s="1079" t="s">
        <v>1970</v>
      </c>
      <c r="F125" s="1107" t="s">
        <v>1966</v>
      </c>
      <c r="G125" s="1108">
        <f>G29</f>
        <v>102</v>
      </c>
    </row>
    <row r="126" spans="2:7" ht="15">
      <c r="E126" s="1079" t="s">
        <v>1918</v>
      </c>
      <c r="F126" s="1107" t="s">
        <v>1966</v>
      </c>
      <c r="G126" s="1118">
        <v>25000</v>
      </c>
    </row>
    <row r="127" spans="2:7" ht="15">
      <c r="E127" s="1112" t="s">
        <v>1937</v>
      </c>
      <c r="F127" s="1041"/>
      <c r="G127" s="1117">
        <f>G123*G126*G110</f>
        <v>2550000</v>
      </c>
    </row>
    <row r="128" spans="2:7">
      <c r="C128" s="1072"/>
      <c r="E128" s="1072"/>
    </row>
    <row r="129" spans="2:9" ht="15">
      <c r="E129" s="1112" t="s">
        <v>2216</v>
      </c>
      <c r="G129" s="1117">
        <f>G127+G115+G111</f>
        <v>7446000</v>
      </c>
    </row>
    <row r="131" spans="2:9" ht="15">
      <c r="B131" s="1061" t="s">
        <v>139</v>
      </c>
      <c r="C131" s="1062"/>
      <c r="D131" s="1062"/>
      <c r="E131" s="1062"/>
      <c r="F131" s="1062"/>
      <c r="G131" s="1062"/>
      <c r="H131" s="1062"/>
      <c r="I131" s="1063"/>
    </row>
    <row r="133" spans="2:9">
      <c r="C133" s="2663" t="s">
        <v>2182</v>
      </c>
      <c r="D133" s="2663"/>
      <c r="E133" s="2663"/>
      <c r="F133" s="2663"/>
    </row>
    <row r="134" spans="2:9">
      <c r="C134" s="2663"/>
      <c r="D134" s="2663"/>
      <c r="E134" s="2663"/>
      <c r="F134" s="2663"/>
      <c r="G134" s="1038"/>
    </row>
    <row r="135" spans="2:9" ht="14.25" customHeight="1"/>
    <row r="136" spans="2:9">
      <c r="C136" s="1039" t="s">
        <v>2184</v>
      </c>
      <c r="G136" s="2665"/>
      <c r="H136" s="2665"/>
    </row>
    <row r="137" spans="2:9">
      <c r="G137" s="2665"/>
      <c r="H137" s="2665"/>
    </row>
    <row r="138" spans="2:9">
      <c r="G138" s="2666"/>
      <c r="H138" s="2666"/>
    </row>
    <row r="140" spans="2:9">
      <c r="C140" s="2663" t="s">
        <v>2594</v>
      </c>
      <c r="D140" s="2663"/>
      <c r="E140" s="2663"/>
      <c r="F140" s="2663"/>
    </row>
    <row r="141" spans="2:9">
      <c r="C141" s="2663"/>
      <c r="D141" s="2663"/>
      <c r="E141" s="2663"/>
      <c r="F141" s="2663"/>
      <c r="G141" s="1038"/>
    </row>
    <row r="142" spans="2:9">
      <c r="C142" s="2663"/>
      <c r="D142" s="2663"/>
      <c r="E142" s="2663"/>
      <c r="F142" s="2663"/>
    </row>
    <row r="144" spans="2:9">
      <c r="C144" s="2663" t="s">
        <v>2593</v>
      </c>
      <c r="D144" s="2663"/>
      <c r="E144" s="2663"/>
      <c r="F144" s="2663"/>
    </row>
    <row r="145" spans="2:9">
      <c r="C145" s="2663"/>
      <c r="D145" s="2663"/>
      <c r="E145" s="2663"/>
      <c r="F145" s="2663"/>
      <c r="G145" s="1038"/>
    </row>
    <row r="146" spans="2:9">
      <c r="C146" s="2663"/>
      <c r="D146" s="2663"/>
      <c r="E146" s="2663"/>
      <c r="F146" s="2663"/>
    </row>
    <row r="147" spans="2:9">
      <c r="C147" s="2663"/>
      <c r="D147" s="2663"/>
      <c r="E147" s="2663"/>
      <c r="F147" s="2663"/>
    </row>
    <row r="149" spans="2:9" ht="15">
      <c r="B149" s="1061" t="s">
        <v>1975</v>
      </c>
      <c r="C149" s="1062"/>
      <c r="D149" s="1062"/>
      <c r="E149" s="1062"/>
      <c r="F149" s="1062"/>
      <c r="G149" s="1062"/>
      <c r="H149" s="1062"/>
      <c r="I149" s="1063"/>
    </row>
    <row r="151" spans="2:9">
      <c r="E151" s="1079" t="s">
        <v>582</v>
      </c>
      <c r="G151" s="1039" t="str">
        <f>IF(Application!T189="","",Application!T189)</f>
        <v>Mono</v>
      </c>
    </row>
    <row r="152" spans="2:9">
      <c r="E152" s="1079"/>
      <c r="G152" s="1073"/>
    </row>
    <row r="153" spans="2:9">
      <c r="E153" s="1079" t="str">
        <f>"2-Bedroom "&amp;G151&amp;" County Basis Limit"</f>
        <v>2-Bedroom Mono County Basis Limit</v>
      </c>
      <c r="G153" s="1073">
        <f>Application!R997</f>
        <v>560000</v>
      </c>
    </row>
    <row r="154" spans="2:9">
      <c r="E154" s="1079" t="s">
        <v>1974</v>
      </c>
      <c r="G154" s="1073">
        <f>MEDIAN((Application!CU160:CU217))</f>
        <v>560000</v>
      </c>
    </row>
    <row r="155" spans="2:9" ht="15">
      <c r="D155" s="1041"/>
      <c r="E155" s="1112" t="s">
        <v>1976</v>
      </c>
      <c r="F155" s="1128"/>
      <c r="G155" s="1129">
        <f>((G153-G154)/G154)*0.25</f>
        <v>0</v>
      </c>
      <c r="H155" s="1037"/>
      <c r="I155" s="1037"/>
    </row>
    <row r="156" spans="2:9">
      <c r="D156" s="1040"/>
      <c r="E156" s="1040"/>
    </row>
    <row r="157" spans="2:9" ht="15">
      <c r="B157" s="1061" t="s">
        <v>2217</v>
      </c>
      <c r="C157" s="1062"/>
      <c r="D157" s="1062"/>
      <c r="E157" s="1062"/>
      <c r="F157" s="1062"/>
      <c r="G157" s="1062"/>
      <c r="H157" s="1062"/>
      <c r="I157" s="1063"/>
    </row>
    <row r="159" spans="2:9">
      <c r="E159" s="1079" t="s">
        <v>2574</v>
      </c>
      <c r="G159" s="1039" t="b">
        <f>G37</f>
        <v>1</v>
      </c>
    </row>
    <row r="160" spans="2:9">
      <c r="C160" s="2658" t="s">
        <v>2218</v>
      </c>
      <c r="D160" s="2658"/>
      <c r="E160" s="2658"/>
      <c r="F160" s="2658"/>
    </row>
    <row r="161" spans="2:7">
      <c r="B161" s="1040"/>
      <c r="C161" s="2658"/>
      <c r="D161" s="2658"/>
      <c r="E161" s="2658"/>
      <c r="F161" s="2658"/>
      <c r="G161" s="1038"/>
    </row>
    <row r="162" spans="2:7">
      <c r="B162" s="1040"/>
      <c r="C162" s="1040"/>
      <c r="D162" s="1040"/>
      <c r="E162" s="1040"/>
      <c r="F162" s="1040"/>
    </row>
    <row r="163" spans="2:7">
      <c r="E163" s="1079" t="s">
        <v>2220</v>
      </c>
      <c r="G163" s="1162"/>
    </row>
    <row r="165" spans="2:7">
      <c r="E165" s="1079" t="s">
        <v>2222</v>
      </c>
      <c r="G165" s="1161">
        <f>IF(I9=0,0,G163/I9)</f>
        <v>0</v>
      </c>
    </row>
    <row r="166" spans="2:7">
      <c r="E166" s="1079" t="s">
        <v>2219</v>
      </c>
      <c r="G166" s="1159">
        <f>I9*0.15</f>
        <v>1305108.8999999999</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9"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93" t="s">
        <v>909</v>
      </c>
      <c r="B1" s="2693"/>
      <c r="C1" s="2693"/>
      <c r="D1" s="2693"/>
      <c r="E1" s="2693"/>
      <c r="F1" s="2693"/>
      <c r="G1" s="2693"/>
      <c r="H1" s="2693"/>
      <c r="I1" s="2693"/>
      <c r="J1" s="2693"/>
      <c r="K1" s="204"/>
      <c r="L1" s="204"/>
    </row>
    <row r="2" spans="1:12">
      <c r="A2" s="210"/>
      <c r="B2" s="210"/>
      <c r="C2" s="210"/>
      <c r="D2" s="210"/>
      <c r="E2" s="210"/>
      <c r="F2" s="210"/>
      <c r="G2" s="210"/>
      <c r="H2" s="210"/>
      <c r="I2" s="210"/>
      <c r="J2" s="210"/>
    </row>
    <row r="3" spans="1:12" ht="100.5">
      <c r="A3" s="426" t="s">
        <v>910</v>
      </c>
      <c r="B3" s="426" t="s">
        <v>2204</v>
      </c>
      <c r="C3" s="426" t="s">
        <v>2205</v>
      </c>
      <c r="D3" s="1140" t="s">
        <v>2206</v>
      </c>
      <c r="E3" s="204"/>
      <c r="F3" s="1140" t="s">
        <v>911</v>
      </c>
      <c r="G3" s="426" t="s">
        <v>912</v>
      </c>
      <c r="H3" s="427"/>
      <c r="I3" s="426" t="s">
        <v>913</v>
      </c>
      <c r="J3" s="426" t="s">
        <v>914</v>
      </c>
      <c r="K3" s="204"/>
      <c r="L3" s="305"/>
    </row>
    <row r="4" spans="1:12">
      <c r="A4" s="428" t="str">
        <f>Application!B726</f>
        <v>2 Bedrooms</v>
      </c>
      <c r="B4" s="1077">
        <f>Application!G726</f>
        <v>1</v>
      </c>
      <c r="C4" s="1155"/>
      <c r="D4" s="428">
        <f>Application!O726</f>
        <v>512</v>
      </c>
      <c r="E4" s="429"/>
      <c r="F4" s="1078"/>
      <c r="G4" s="428">
        <f>F4*B4</f>
        <v>0</v>
      </c>
      <c r="H4" s="429"/>
      <c r="I4" s="428" t="str">
        <f t="shared" ref="I4:I27" si="0">IF(F4=0,"",(F4-D4))</f>
        <v/>
      </c>
      <c r="J4" s="428" t="str">
        <f t="shared" ref="J4:J27" si="1">IF(F4=0,"",(I4*B4))</f>
        <v/>
      </c>
      <c r="K4" s="204"/>
      <c r="L4" s="305"/>
    </row>
    <row r="5" spans="1:12">
      <c r="A5" s="428" t="str">
        <f>Application!B727</f>
        <v>2 Bedrooms</v>
      </c>
      <c r="B5" s="1077">
        <f>Application!G727</f>
        <v>3</v>
      </c>
      <c r="C5" s="1155"/>
      <c r="D5" s="428">
        <f>Application!O727</f>
        <v>533</v>
      </c>
      <c r="E5" s="429"/>
      <c r="F5" s="1078"/>
      <c r="G5" s="428">
        <f t="shared" ref="G5:G38" si="2">F5*B5</f>
        <v>0</v>
      </c>
      <c r="H5" s="429"/>
      <c r="I5" s="428" t="str">
        <f t="shared" si="0"/>
        <v/>
      </c>
      <c r="J5" s="428" t="str">
        <f t="shared" si="1"/>
        <v/>
      </c>
      <c r="K5" s="204"/>
      <c r="L5" s="305"/>
    </row>
    <row r="6" spans="1:12">
      <c r="A6" s="428" t="str">
        <f>Application!B728</f>
        <v>2 Bedrooms</v>
      </c>
      <c r="B6" s="1077">
        <f>Application!G728</f>
        <v>1</v>
      </c>
      <c r="C6" s="1155"/>
      <c r="D6" s="428">
        <f>Application!O728</f>
        <v>915</v>
      </c>
      <c r="E6" s="429"/>
      <c r="F6" s="1078"/>
      <c r="G6" s="428">
        <f t="shared" si="2"/>
        <v>0</v>
      </c>
      <c r="H6" s="429"/>
      <c r="I6" s="428" t="str">
        <f t="shared" si="0"/>
        <v/>
      </c>
      <c r="J6" s="428" t="str">
        <f t="shared" si="1"/>
        <v/>
      </c>
      <c r="K6" s="204"/>
      <c r="L6" s="305"/>
    </row>
    <row r="7" spans="1:12">
      <c r="A7" s="428" t="str">
        <f>Application!B729</f>
        <v>2 Bedrooms</v>
      </c>
      <c r="B7" s="1077">
        <f>Application!G729</f>
        <v>3</v>
      </c>
      <c r="C7" s="1155"/>
      <c r="D7" s="428">
        <f>Application!O729</f>
        <v>938</v>
      </c>
      <c r="E7" s="429"/>
      <c r="F7" s="1078"/>
      <c r="G7" s="428">
        <f t="shared" si="2"/>
        <v>0</v>
      </c>
      <c r="H7" s="429"/>
      <c r="I7" s="428" t="str">
        <f t="shared" si="0"/>
        <v/>
      </c>
      <c r="J7" s="428" t="str">
        <f t="shared" si="1"/>
        <v/>
      </c>
      <c r="K7" s="204"/>
      <c r="L7" s="305"/>
    </row>
    <row r="8" spans="1:12">
      <c r="A8" s="428" t="str">
        <f>Application!B730</f>
        <v>2 Bedrooms</v>
      </c>
      <c r="B8" s="1077">
        <f>Application!G730</f>
        <v>8</v>
      </c>
      <c r="C8" s="1155"/>
      <c r="D8" s="428">
        <f>Application!O730</f>
        <v>1135</v>
      </c>
      <c r="E8" s="429"/>
      <c r="F8" s="1078"/>
      <c r="G8" s="428">
        <f t="shared" si="2"/>
        <v>0</v>
      </c>
      <c r="H8" s="429"/>
      <c r="I8" s="428" t="str">
        <f t="shared" si="0"/>
        <v/>
      </c>
      <c r="J8" s="428" t="str">
        <f t="shared" si="1"/>
        <v/>
      </c>
      <c r="K8" s="204"/>
      <c r="L8" s="305"/>
    </row>
    <row r="9" spans="1:12">
      <c r="A9" s="428" t="str">
        <f>Application!B731</f>
        <v>2 Bedrooms</v>
      </c>
      <c r="B9" s="1077">
        <f>Application!G731</f>
        <v>17</v>
      </c>
      <c r="C9" s="1155"/>
      <c r="D9" s="428">
        <f>Application!O731</f>
        <v>1160</v>
      </c>
      <c r="E9" s="429"/>
      <c r="F9" s="1078"/>
      <c r="G9" s="428">
        <f t="shared" si="2"/>
        <v>0</v>
      </c>
      <c r="H9" s="429"/>
      <c r="I9" s="428" t="str">
        <f t="shared" si="0"/>
        <v/>
      </c>
      <c r="J9" s="428" t="str">
        <f t="shared" si="1"/>
        <v/>
      </c>
      <c r="K9" s="204"/>
      <c r="L9" s="305"/>
    </row>
    <row r="10" spans="1:12">
      <c r="A10" s="428" t="str">
        <f>Application!B732</f>
        <v>3 Bedrooms</v>
      </c>
      <c r="B10" s="1077">
        <f>Application!G732</f>
        <v>2</v>
      </c>
      <c r="C10" s="1155"/>
      <c r="D10" s="428">
        <f>Application!O732</f>
        <v>585</v>
      </c>
      <c r="E10" s="429"/>
      <c r="F10" s="1078"/>
      <c r="G10" s="428">
        <f t="shared" si="2"/>
        <v>0</v>
      </c>
      <c r="H10" s="429"/>
      <c r="I10" s="428" t="str">
        <f t="shared" si="0"/>
        <v/>
      </c>
      <c r="J10" s="428" t="str">
        <f t="shared" si="1"/>
        <v/>
      </c>
      <c r="K10" s="204"/>
      <c r="L10" s="305"/>
    </row>
    <row r="11" spans="1:12">
      <c r="A11" s="428" t="str">
        <f>Application!B733</f>
        <v>3 Bedrooms</v>
      </c>
      <c r="B11" s="1077">
        <f>Application!G733</f>
        <v>2</v>
      </c>
      <c r="C11" s="1155"/>
      <c r="D11" s="428">
        <f>Application!O733</f>
        <v>613</v>
      </c>
      <c r="E11" s="429"/>
      <c r="F11" s="1078"/>
      <c r="G11" s="428">
        <f t="shared" si="2"/>
        <v>0</v>
      </c>
      <c r="H11" s="429"/>
      <c r="I11" s="428" t="str">
        <f t="shared" si="0"/>
        <v/>
      </c>
      <c r="J11" s="428" t="str">
        <f t="shared" si="1"/>
        <v/>
      </c>
      <c r="K11" s="204"/>
      <c r="L11" s="305"/>
    </row>
    <row r="12" spans="1:12">
      <c r="A12" s="428" t="str">
        <f>Application!B734</f>
        <v>3 Bedrooms</v>
      </c>
      <c r="B12" s="1077">
        <f>Application!G734</f>
        <v>2</v>
      </c>
      <c r="C12" s="1155"/>
      <c r="D12" s="428">
        <f>Application!O734</f>
        <v>1052</v>
      </c>
      <c r="E12" s="429"/>
      <c r="F12" s="1078"/>
      <c r="G12" s="428">
        <f t="shared" si="2"/>
        <v>0</v>
      </c>
      <c r="H12" s="429"/>
      <c r="I12" s="428" t="str">
        <f t="shared" si="0"/>
        <v/>
      </c>
      <c r="J12" s="428" t="str">
        <f t="shared" si="1"/>
        <v/>
      </c>
      <c r="K12" s="204"/>
      <c r="L12" s="305"/>
    </row>
    <row r="13" spans="1:12">
      <c r="A13" s="428" t="str">
        <f>Application!B735</f>
        <v>3 Bedrooms</v>
      </c>
      <c r="B13" s="1077">
        <f>Application!G735</f>
        <v>2</v>
      </c>
      <c r="C13" s="1155"/>
      <c r="D13" s="428">
        <f>Application!O735</f>
        <v>1084</v>
      </c>
      <c r="E13" s="429"/>
      <c r="F13" s="1078"/>
      <c r="G13" s="428">
        <f t="shared" si="2"/>
        <v>0</v>
      </c>
      <c r="H13" s="429"/>
      <c r="I13" s="428" t="str">
        <f t="shared" si="0"/>
        <v/>
      </c>
      <c r="J13" s="428" t="str">
        <f t="shared" si="1"/>
        <v/>
      </c>
      <c r="K13" s="204"/>
      <c r="L13" s="305"/>
    </row>
    <row r="14" spans="1:12">
      <c r="A14" s="428" t="str">
        <f>Application!B736</f>
        <v>3 Bedrooms</v>
      </c>
      <c r="B14" s="1077">
        <f>Application!G736</f>
        <v>16</v>
      </c>
      <c r="C14" s="1155"/>
      <c r="D14" s="428">
        <f>Application!O736</f>
        <v>1307</v>
      </c>
      <c r="E14" s="429"/>
      <c r="F14" s="1078"/>
      <c r="G14" s="428">
        <f t="shared" si="2"/>
        <v>0</v>
      </c>
      <c r="H14" s="429"/>
      <c r="I14" s="428" t="str">
        <f t="shared" si="0"/>
        <v/>
      </c>
      <c r="J14" s="428" t="str">
        <f t="shared" si="1"/>
        <v/>
      </c>
      <c r="K14" s="204"/>
      <c r="L14" s="305"/>
    </row>
    <row r="15" spans="1:12">
      <c r="A15" s="428" t="str">
        <f>Application!B737</f>
        <v>3 Bedrooms</v>
      </c>
      <c r="B15" s="1077">
        <f>Application!G737</f>
        <v>20</v>
      </c>
      <c r="C15" s="1155"/>
      <c r="D15" s="428">
        <f>Application!O737</f>
        <v>1339</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Application!O761</f>
        <v>89000</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2207</v>
      </c>
    </row>
    <row r="43" spans="1:12">
      <c r="A43" s="2694" t="s">
        <v>2428</v>
      </c>
      <c r="B43" s="2694"/>
      <c r="C43" s="2694"/>
      <c r="D43" s="2694"/>
      <c r="E43" s="2694"/>
      <c r="F43" s="2694"/>
      <c r="G43" s="2694"/>
      <c r="H43" s="2694"/>
      <c r="I43" s="2694"/>
      <c r="J43" s="2694"/>
    </row>
    <row r="44" spans="1:12">
      <c r="A44" s="2694"/>
      <c r="B44" s="2694"/>
      <c r="C44" s="2694"/>
      <c r="D44" s="2694"/>
      <c r="E44" s="2694"/>
      <c r="F44" s="2694"/>
      <c r="G44" s="2694"/>
      <c r="H44" s="2694"/>
      <c r="I44" s="2694"/>
      <c r="J44" s="2694"/>
    </row>
    <row r="45" spans="1:12">
      <c r="A45" s="2694" t="s">
        <v>2208</v>
      </c>
      <c r="B45" s="2694"/>
      <c r="C45" s="2694"/>
      <c r="D45" s="2694"/>
      <c r="E45" s="2694"/>
      <c r="F45" s="2694"/>
      <c r="G45" s="2694"/>
      <c r="H45" s="2694"/>
      <c r="I45" s="2694"/>
      <c r="J45" s="2694"/>
    </row>
    <row r="46" spans="1:12">
      <c r="A46" s="2694"/>
      <c r="B46" s="2694"/>
      <c r="C46" s="2694"/>
      <c r="D46" s="2694"/>
      <c r="E46" s="2694"/>
      <c r="F46" s="2694"/>
      <c r="G46" s="2694"/>
      <c r="H46" s="2694"/>
      <c r="I46" s="2694"/>
      <c r="J46" s="2694"/>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6" workbookViewId="0">
      <selection activeCell="K65" sqref="K65"/>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2050</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Application!Y809</f>
        <v>1068000</v>
      </c>
      <c r="G4" s="219">
        <f>E4*$C$4</f>
        <v>1094700</v>
      </c>
      <c r="I4" s="219">
        <f>G4*$C$4</f>
        <v>1122067.5</v>
      </c>
      <c r="K4" s="219">
        <f>I4*$C$4</f>
        <v>1150119.1875</v>
      </c>
      <c r="M4" s="219">
        <f>K4*$C$4</f>
        <v>1178872.1671874998</v>
      </c>
      <c r="O4" s="219">
        <f>M4*$C$4</f>
        <v>1208343.9713671871</v>
      </c>
      <c r="Q4" s="219">
        <f>O4*$C$4</f>
        <v>1238552.5706513666</v>
      </c>
      <c r="S4" s="219">
        <f>Q4*$C$4</f>
        <v>1269516.3849176506</v>
      </c>
      <c r="U4" s="219">
        <f>S4*$C$4</f>
        <v>1301254.2945405918</v>
      </c>
      <c r="W4" s="219">
        <f>U4*$C$4</f>
        <v>1333785.6519041064</v>
      </c>
      <c r="Y4" s="219">
        <f>W4*$C$4</f>
        <v>1367130.2932017089</v>
      </c>
      <c r="AA4" s="219">
        <f>Y4*$C$4</f>
        <v>1401308.5505317515</v>
      </c>
      <c r="AC4" s="219">
        <f>AA4*$C$4</f>
        <v>1436341.2642950451</v>
      </c>
      <c r="AE4" s="219">
        <f>AC4*$C$4</f>
        <v>1472249.795902421</v>
      </c>
      <c r="AG4" s="219">
        <f>AE4*$C$4</f>
        <v>1509056.0407999814</v>
      </c>
    </row>
    <row r="5" spans="1:34" s="210" customFormat="1" ht="14.25">
      <c r="B5" s="210" t="s">
        <v>838</v>
      </c>
      <c r="C5" s="238">
        <f>IF(Application!$D$211="Special Needs",(((0.1*Application!$T$212)+(0.05*(1-Application!$T$212)))),0.05)</f>
        <v>0.05</v>
      </c>
      <c r="E5" s="221">
        <f>-E4*$C$5</f>
        <v>-53400</v>
      </c>
      <c r="F5" s="221"/>
      <c r="G5" s="221">
        <f>-G4*$C$5</f>
        <v>-54735</v>
      </c>
      <c r="H5" s="221"/>
      <c r="I5" s="221">
        <f>-I4*$C$5</f>
        <v>-56103.375</v>
      </c>
      <c r="J5" s="221"/>
      <c r="K5" s="221">
        <f>-K4*$C$5</f>
        <v>-57505.959375000006</v>
      </c>
      <c r="L5" s="221"/>
      <c r="M5" s="221">
        <f>-M4*$C$5</f>
        <v>-58943.608359374994</v>
      </c>
      <c r="N5" s="221"/>
      <c r="O5" s="221">
        <f>-O4*$C$5</f>
        <v>-60417.198568359359</v>
      </c>
      <c r="P5" s="221"/>
      <c r="Q5" s="221">
        <f>-Q4*$C$5</f>
        <v>-61927.628532568335</v>
      </c>
      <c r="R5" s="221"/>
      <c r="S5" s="221">
        <f>-S4*$C$5</f>
        <v>-63475.819245882536</v>
      </c>
      <c r="T5" s="221"/>
      <c r="U5" s="221">
        <f>-U4*$C$5</f>
        <v>-65062.71472702959</v>
      </c>
      <c r="V5" s="221"/>
      <c r="W5" s="221">
        <f>-W4*$C$5</f>
        <v>-66689.282595205324</v>
      </c>
      <c r="X5" s="221"/>
      <c r="Y5" s="221">
        <f>-Y4*$C$5</f>
        <v>-68356.51466008545</v>
      </c>
      <c r="Z5" s="221"/>
      <c r="AA5" s="221">
        <f>-AA4*$C$5</f>
        <v>-70065.427526587577</v>
      </c>
      <c r="AB5" s="221"/>
      <c r="AC5" s="221">
        <f>-AC4*$C$5</f>
        <v>-71817.063214752256</v>
      </c>
      <c r="AD5" s="221"/>
      <c r="AE5" s="221">
        <f>-AE4*$C$5</f>
        <v>-73612.489795121059</v>
      </c>
      <c r="AF5" s="221"/>
      <c r="AG5" s="221">
        <f>-AG4*$C$5</f>
        <v>-75452.802039999078</v>
      </c>
    </row>
    <row r="6" spans="1:34" s="210" customFormat="1" ht="14.25">
      <c r="A6" s="210" t="s">
        <v>836</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Application!Z825</f>
        <v>5070</v>
      </c>
      <c r="F8" s="222"/>
      <c r="G8" s="222">
        <f>E8*$C$8</f>
        <v>5196.75</v>
      </c>
      <c r="H8" s="222"/>
      <c r="I8" s="222">
        <f>G8*$C$8</f>
        <v>5326.6687499999998</v>
      </c>
      <c r="J8" s="222"/>
      <c r="K8" s="222">
        <f>I8*$C$8</f>
        <v>5459.8354687499996</v>
      </c>
      <c r="L8" s="222"/>
      <c r="M8" s="222">
        <f>K8*$C$8</f>
        <v>5596.3313554687493</v>
      </c>
      <c r="N8" s="222"/>
      <c r="O8" s="222">
        <f>M8*$C$8</f>
        <v>5736.2396393554673</v>
      </c>
      <c r="P8" s="222"/>
      <c r="Q8" s="222">
        <f>O8*$C$8</f>
        <v>5879.6456303393534</v>
      </c>
      <c r="R8" s="222"/>
      <c r="S8" s="222">
        <f>Q8*$C$8</f>
        <v>6026.6367710978366</v>
      </c>
      <c r="T8" s="222"/>
      <c r="U8" s="222">
        <f>S8*$C$8</f>
        <v>6177.3026903752816</v>
      </c>
      <c r="V8" s="222"/>
      <c r="W8" s="222">
        <f>U8*$C$8</f>
        <v>6331.735257634663</v>
      </c>
      <c r="X8" s="222"/>
      <c r="Y8" s="222">
        <f>W8*$C$8</f>
        <v>6490.0286390755291</v>
      </c>
      <c r="Z8" s="222"/>
      <c r="AA8" s="222">
        <f>Y8*$C$8</f>
        <v>6652.2793550524166</v>
      </c>
      <c r="AB8" s="222"/>
      <c r="AC8" s="222">
        <f>AA8*$C$8</f>
        <v>6818.586338928726</v>
      </c>
      <c r="AD8" s="222"/>
      <c r="AE8" s="222">
        <f>AC8*$C$8</f>
        <v>6989.0509974019433</v>
      </c>
      <c r="AF8" s="222"/>
      <c r="AG8" s="222">
        <f>AE8*$C$8</f>
        <v>7163.7772723369908</v>
      </c>
    </row>
    <row r="9" spans="1:34" s="210" customFormat="1" ht="14.25">
      <c r="B9" s="210" t="s">
        <v>838</v>
      </c>
      <c r="C9" s="238">
        <f>IF(Application!$D$211="Special Needs",(((0.1*Application!$T$212)+(0.05*(1-Application!$T$212)))),0.05)</f>
        <v>0.05</v>
      </c>
      <c r="E9" s="221">
        <f>-E8*$C$9</f>
        <v>-253.5</v>
      </c>
      <c r="F9" s="221"/>
      <c r="G9" s="221">
        <f>-G8*$C$9</f>
        <v>-259.83750000000003</v>
      </c>
      <c r="H9" s="221"/>
      <c r="I9" s="221">
        <f>-I8*$C$9</f>
        <v>-266.3334375</v>
      </c>
      <c r="J9" s="221"/>
      <c r="K9" s="221">
        <f>-K8*$C$9</f>
        <v>-272.9917734375</v>
      </c>
      <c r="L9" s="221"/>
      <c r="M9" s="221">
        <f>-M8*$C$9</f>
        <v>-279.8165677734375</v>
      </c>
      <c r="N9" s="221"/>
      <c r="O9" s="221">
        <f>-O8*$C$9</f>
        <v>-286.81198196777336</v>
      </c>
      <c r="P9" s="221"/>
      <c r="Q9" s="221">
        <f>-Q8*$C$9</f>
        <v>-293.9822815169677</v>
      </c>
      <c r="R9" s="221"/>
      <c r="S9" s="221">
        <f>-S8*$C$9</f>
        <v>-301.33183855489182</v>
      </c>
      <c r="T9" s="221"/>
      <c r="U9" s="221">
        <f>-U8*$C$9</f>
        <v>-308.86513451876408</v>
      </c>
      <c r="V9" s="221"/>
      <c r="W9" s="221">
        <f>-W8*$C$9</f>
        <v>-316.58676288173319</v>
      </c>
      <c r="X9" s="221"/>
      <c r="Y9" s="221">
        <f>-Y8*$C$9</f>
        <v>-324.50143195377649</v>
      </c>
      <c r="Z9" s="221"/>
      <c r="AA9" s="221">
        <f>-AA8*$C$9</f>
        <v>-332.61396775262085</v>
      </c>
      <c r="AB9" s="221"/>
      <c r="AC9" s="221">
        <f>-AC8*$C$9</f>
        <v>-340.9293169464363</v>
      </c>
      <c r="AD9" s="221"/>
      <c r="AE9" s="221">
        <f>-AE8*$C$9</f>
        <v>-349.45254987009719</v>
      </c>
      <c r="AF9" s="221"/>
      <c r="AG9" s="221">
        <f>-AG8*$C$9</f>
        <v>-358.18886361684957</v>
      </c>
    </row>
    <row r="10" spans="1:34" s="210" customFormat="1" ht="14.25">
      <c r="A10" s="1137" t="s">
        <v>2178</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859</v>
      </c>
      <c r="C11" s="216"/>
      <c r="E11" s="223">
        <f>SUM(E4:E10)</f>
        <v>1019416.5</v>
      </c>
      <c r="G11" s="223">
        <f>SUM(G4:G10)</f>
        <v>1044901.9125</v>
      </c>
      <c r="I11" s="223">
        <f>SUM(I4:I10)</f>
        <v>1071024.4603124999</v>
      </c>
      <c r="K11" s="223">
        <f>SUM(K4:K10)</f>
        <v>1097800.0718203124</v>
      </c>
      <c r="M11" s="223">
        <f>SUM(M4:M10)</f>
        <v>1125245.0736158201</v>
      </c>
      <c r="O11" s="223">
        <f>SUM(O4:O10)</f>
        <v>1153376.2004562155</v>
      </c>
      <c r="Q11" s="223">
        <f>SUM(Q4:Q10)</f>
        <v>1182210.6054676208</v>
      </c>
      <c r="S11" s="223">
        <f>SUM(S4:S10)</f>
        <v>1211765.8706043109</v>
      </c>
      <c r="U11" s="223">
        <f>SUM(U4:U10)</f>
        <v>1242060.0173694186</v>
      </c>
      <c r="W11" s="223">
        <f>SUM(W4:W10)</f>
        <v>1273111.5178036538</v>
      </c>
      <c r="Y11" s="223">
        <f>SUM(Y4:Y10)</f>
        <v>1304939.3057487451</v>
      </c>
      <c r="AA11" s="223">
        <f>SUM(AA4:AA10)</f>
        <v>1337562.7883924637</v>
      </c>
      <c r="AC11" s="223">
        <f>SUM(AC4:AC10)</f>
        <v>1371001.8581022748</v>
      </c>
      <c r="AE11" s="223">
        <f>SUM(AE4:AE10)</f>
        <v>1405276.9045548318</v>
      </c>
      <c r="AG11" s="223">
        <f>SUM(AG4:AG10)</f>
        <v>1440408.8271687024</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Application!W855</f>
        <v>41636</v>
      </c>
      <c r="G15" s="219">
        <f>E15*$C$14</f>
        <v>43093.259999999995</v>
      </c>
      <c r="I15" s="219">
        <f>G15*$C$14</f>
        <v>44601.524099999988</v>
      </c>
      <c r="K15" s="219">
        <f>I15*$C$14</f>
        <v>46162.577443499984</v>
      </c>
      <c r="M15" s="219">
        <f>K15*$C$14</f>
        <v>47778.267654022478</v>
      </c>
      <c r="O15" s="219">
        <f>M15*$C$14</f>
        <v>49450.507021913261</v>
      </c>
      <c r="Q15" s="219">
        <f>O15*$C$14</f>
        <v>51181.274767680225</v>
      </c>
      <c r="S15" s="219">
        <f>Q15*$C$14</f>
        <v>52972.619384549027</v>
      </c>
      <c r="U15" s="219">
        <f>S15*$C$14</f>
        <v>54826.661063008236</v>
      </c>
      <c r="W15" s="219">
        <f>U15*$C$14</f>
        <v>56745.59420021352</v>
      </c>
      <c r="Y15" s="219">
        <f>W15*$C$14</f>
        <v>58731.689997220987</v>
      </c>
      <c r="AA15" s="219">
        <f>Y15*$C$14</f>
        <v>60787.299147123718</v>
      </c>
      <c r="AC15" s="219">
        <f>AA15*$C$14</f>
        <v>62914.854617273042</v>
      </c>
      <c r="AE15" s="219">
        <f>AC15*$C$14</f>
        <v>65116.87452887759</v>
      </c>
      <c r="AG15" s="219">
        <f>AE15*$C$14</f>
        <v>67395.965137388295</v>
      </c>
    </row>
    <row r="16" spans="1:34" s="210" customFormat="1" ht="14.25">
      <c r="A16" s="210" t="s">
        <v>344</v>
      </c>
      <c r="C16" s="233"/>
      <c r="E16" s="222">
        <f>Application!W857</f>
        <v>49265</v>
      </c>
      <c r="F16" s="222"/>
      <c r="G16" s="222">
        <f t="shared" ref="G16:AG21" si="0">E16*$C$14</f>
        <v>50989.274999999994</v>
      </c>
      <c r="H16" s="222"/>
      <c r="I16" s="222">
        <f t="shared" si="0"/>
        <v>52773.899624999991</v>
      </c>
      <c r="J16" s="222"/>
      <c r="K16" s="222">
        <f t="shared" si="0"/>
        <v>54620.986111874983</v>
      </c>
      <c r="L16" s="222"/>
      <c r="M16" s="222">
        <f t="shared" si="0"/>
        <v>56532.7206257906</v>
      </c>
      <c r="N16" s="222"/>
      <c r="O16" s="222">
        <f t="shared" si="0"/>
        <v>58511.365847693269</v>
      </c>
      <c r="P16" s="222"/>
      <c r="Q16" s="222">
        <f t="shared" si="0"/>
        <v>60559.263652362526</v>
      </c>
      <c r="R16" s="222"/>
      <c r="S16" s="222">
        <f t="shared" si="0"/>
        <v>62678.837880195213</v>
      </c>
      <c r="T16" s="222"/>
      <c r="U16" s="222">
        <f t="shared" si="0"/>
        <v>64872.597206002043</v>
      </c>
      <c r="V16" s="222"/>
      <c r="W16" s="222">
        <f t="shared" si="0"/>
        <v>67143.138108212108</v>
      </c>
      <c r="X16" s="222"/>
      <c r="Y16" s="222">
        <f t="shared" si="0"/>
        <v>69493.14794199953</v>
      </c>
      <c r="Z16" s="222"/>
      <c r="AA16" s="222">
        <f t="shared" si="0"/>
        <v>71925.408119969507</v>
      </c>
      <c r="AB16" s="222"/>
      <c r="AC16" s="222">
        <f t="shared" si="0"/>
        <v>74442.797404168436</v>
      </c>
      <c r="AD16" s="222"/>
      <c r="AE16" s="222">
        <f t="shared" si="0"/>
        <v>77048.295313314331</v>
      </c>
      <c r="AF16" s="222"/>
      <c r="AG16" s="222">
        <f t="shared" si="0"/>
        <v>79744.985649280323</v>
      </c>
    </row>
    <row r="17" spans="1:33" s="210" customFormat="1" ht="14.25">
      <c r="A17" s="210" t="s">
        <v>561</v>
      </c>
      <c r="C17" s="233"/>
      <c r="E17" s="222">
        <f>Application!W863</f>
        <v>72930</v>
      </c>
      <c r="F17" s="222"/>
      <c r="G17" s="222">
        <f t="shared" si="0"/>
        <v>75482.549999999988</v>
      </c>
      <c r="H17" s="222"/>
      <c r="I17" s="222">
        <f t="shared" si="0"/>
        <v>78124.439249999981</v>
      </c>
      <c r="J17" s="222"/>
      <c r="K17" s="222">
        <f t="shared" si="0"/>
        <v>80858.794623749971</v>
      </c>
      <c r="L17" s="222"/>
      <c r="M17" s="222">
        <f t="shared" si="0"/>
        <v>83688.852435581211</v>
      </c>
      <c r="N17" s="222"/>
      <c r="O17" s="222">
        <f t="shared" si="0"/>
        <v>86617.962270826552</v>
      </c>
      <c r="P17" s="222"/>
      <c r="Q17" s="222">
        <f t="shared" si="0"/>
        <v>89649.590950305472</v>
      </c>
      <c r="R17" s="222"/>
      <c r="S17" s="222">
        <f t="shared" si="0"/>
        <v>92787.326633566161</v>
      </c>
      <c r="T17" s="222"/>
      <c r="U17" s="222">
        <f t="shared" si="0"/>
        <v>96034.883065740971</v>
      </c>
      <c r="V17" s="222"/>
      <c r="W17" s="222">
        <f t="shared" si="0"/>
        <v>99396.1039730419</v>
      </c>
      <c r="X17" s="222"/>
      <c r="Y17" s="222">
        <f t="shared" si="0"/>
        <v>102874.96761209836</v>
      </c>
      <c r="Z17" s="222"/>
      <c r="AA17" s="222">
        <f t="shared" si="0"/>
        <v>106475.5914785218</v>
      </c>
      <c r="AB17" s="222"/>
      <c r="AC17" s="222">
        <f t="shared" si="0"/>
        <v>110202.23718027007</v>
      </c>
      <c r="AD17" s="222"/>
      <c r="AE17" s="222">
        <f t="shared" si="0"/>
        <v>114059.31548157951</v>
      </c>
      <c r="AF17" s="222"/>
      <c r="AG17" s="222">
        <f t="shared" si="0"/>
        <v>118051.39152343478</v>
      </c>
    </row>
    <row r="18" spans="1:33" s="210" customFormat="1" ht="14.25">
      <c r="A18" s="210" t="s">
        <v>842</v>
      </c>
      <c r="C18" s="233"/>
      <c r="E18" s="222">
        <f>Application!W870</f>
        <v>143520</v>
      </c>
      <c r="F18" s="222"/>
      <c r="G18" s="222">
        <f t="shared" si="0"/>
        <v>148543.19999999998</v>
      </c>
      <c r="H18" s="222"/>
      <c r="I18" s="222">
        <f t="shared" si="0"/>
        <v>153742.21199999997</v>
      </c>
      <c r="J18" s="222"/>
      <c r="K18" s="222">
        <f t="shared" si="0"/>
        <v>159123.18941999995</v>
      </c>
      <c r="L18" s="222"/>
      <c r="M18" s="222">
        <f t="shared" si="0"/>
        <v>164692.50104969993</v>
      </c>
      <c r="N18" s="222"/>
      <c r="O18" s="222">
        <f t="shared" si="0"/>
        <v>170456.7385864394</v>
      </c>
      <c r="P18" s="222"/>
      <c r="Q18" s="222">
        <f t="shared" si="0"/>
        <v>176422.72443696478</v>
      </c>
      <c r="R18" s="222"/>
      <c r="S18" s="222">
        <f t="shared" si="0"/>
        <v>182597.51979225854</v>
      </c>
      <c r="T18" s="222"/>
      <c r="U18" s="222">
        <f t="shared" si="0"/>
        <v>188988.43298498756</v>
      </c>
      <c r="V18" s="222"/>
      <c r="W18" s="222">
        <f t="shared" si="0"/>
        <v>195603.02813946211</v>
      </c>
      <c r="X18" s="222"/>
      <c r="Y18" s="222">
        <f t="shared" si="0"/>
        <v>202449.13412434328</v>
      </c>
      <c r="Z18" s="222"/>
      <c r="AA18" s="222">
        <f t="shared" si="0"/>
        <v>209534.85381869529</v>
      </c>
      <c r="AB18" s="222"/>
      <c r="AC18" s="222">
        <f t="shared" si="0"/>
        <v>216868.57370234962</v>
      </c>
      <c r="AD18" s="222"/>
      <c r="AE18" s="222">
        <f t="shared" si="0"/>
        <v>224458.97378193183</v>
      </c>
      <c r="AF18" s="222"/>
      <c r="AG18" s="222">
        <f t="shared" si="0"/>
        <v>232315.03786429943</v>
      </c>
    </row>
    <row r="19" spans="1:33" s="210" customFormat="1" ht="14.25">
      <c r="A19" s="210" t="s">
        <v>155</v>
      </c>
      <c r="C19" s="233"/>
      <c r="E19" s="222">
        <f>Application!W872</f>
        <v>39000</v>
      </c>
      <c r="F19" s="222"/>
      <c r="G19" s="222">
        <f t="shared" si="0"/>
        <v>40365</v>
      </c>
      <c r="H19" s="222"/>
      <c r="I19" s="222">
        <f t="shared" si="0"/>
        <v>41777.774999999994</v>
      </c>
      <c r="J19" s="222"/>
      <c r="K19" s="222">
        <f t="shared" si="0"/>
        <v>43239.997124999987</v>
      </c>
      <c r="L19" s="222"/>
      <c r="M19" s="222">
        <f t="shared" si="0"/>
        <v>44753.397024374986</v>
      </c>
      <c r="N19" s="222"/>
      <c r="O19" s="222">
        <f t="shared" si="0"/>
        <v>46319.765920228107</v>
      </c>
      <c r="P19" s="222"/>
      <c r="Q19" s="222">
        <f t="shared" si="0"/>
        <v>47940.957727436085</v>
      </c>
      <c r="R19" s="222"/>
      <c r="S19" s="222">
        <f t="shared" si="0"/>
        <v>49618.891247896347</v>
      </c>
      <c r="T19" s="222"/>
      <c r="U19" s="222">
        <f t="shared" si="0"/>
        <v>51355.552441572712</v>
      </c>
      <c r="V19" s="222"/>
      <c r="W19" s="222">
        <f t="shared" si="0"/>
        <v>53152.996777027751</v>
      </c>
      <c r="X19" s="222"/>
      <c r="Y19" s="222">
        <f t="shared" si="0"/>
        <v>55013.351664223715</v>
      </c>
      <c r="Z19" s="222"/>
      <c r="AA19" s="222">
        <f t="shared" si="0"/>
        <v>56938.818972471541</v>
      </c>
      <c r="AB19" s="222"/>
      <c r="AC19" s="222">
        <f t="shared" si="0"/>
        <v>58931.677636508044</v>
      </c>
      <c r="AD19" s="222"/>
      <c r="AE19" s="222">
        <f t="shared" si="0"/>
        <v>60994.286353785821</v>
      </c>
      <c r="AF19" s="222"/>
      <c r="AG19" s="222">
        <f t="shared" si="0"/>
        <v>63129.086376168321</v>
      </c>
    </row>
    <row r="20" spans="1:33" s="210" customFormat="1" ht="14.25">
      <c r="A20" s="210" t="s">
        <v>390</v>
      </c>
      <c r="C20" s="233"/>
      <c r="E20" s="222">
        <f>Application!W881</f>
        <v>107222</v>
      </c>
      <c r="F20" s="222"/>
      <c r="G20" s="222">
        <f t="shared" si="0"/>
        <v>110974.76999999999</v>
      </c>
      <c r="H20" s="222"/>
      <c r="I20" s="222">
        <f t="shared" si="0"/>
        <v>114858.88694999999</v>
      </c>
      <c r="J20" s="222"/>
      <c r="K20" s="222">
        <f t="shared" si="0"/>
        <v>118878.94799324998</v>
      </c>
      <c r="L20" s="222"/>
      <c r="M20" s="222">
        <f t="shared" si="0"/>
        <v>123039.71117301373</v>
      </c>
      <c r="N20" s="222"/>
      <c r="O20" s="222">
        <f t="shared" si="0"/>
        <v>127346.1010640692</v>
      </c>
      <c r="P20" s="222"/>
      <c r="Q20" s="222">
        <f t="shared" si="0"/>
        <v>131803.2146013116</v>
      </c>
      <c r="R20" s="222"/>
      <c r="S20" s="222">
        <f t="shared" si="0"/>
        <v>136416.32711235748</v>
      </c>
      <c r="T20" s="222"/>
      <c r="U20" s="222">
        <f t="shared" si="0"/>
        <v>141190.89856128997</v>
      </c>
      <c r="V20" s="222"/>
      <c r="W20" s="222">
        <f t="shared" si="0"/>
        <v>146132.58001093511</v>
      </c>
      <c r="X20" s="222"/>
      <c r="Y20" s="222">
        <f t="shared" si="0"/>
        <v>151247.22031131783</v>
      </c>
      <c r="Z20" s="222"/>
      <c r="AA20" s="222">
        <f t="shared" si="0"/>
        <v>156540.87302221393</v>
      </c>
      <c r="AB20" s="222"/>
      <c r="AC20" s="222">
        <f t="shared" si="0"/>
        <v>162019.80357799141</v>
      </c>
      <c r="AD20" s="222"/>
      <c r="AE20" s="222">
        <f t="shared" si="0"/>
        <v>167690.49670322108</v>
      </c>
      <c r="AF20" s="222"/>
      <c r="AG20" s="222">
        <f t="shared" si="0"/>
        <v>173559.66408783381</v>
      </c>
    </row>
    <row r="21" spans="1:33" s="210" customFormat="1" ht="14.25">
      <c r="A21" s="226" t="s">
        <v>962</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843</v>
      </c>
      <c r="C22" s="233"/>
      <c r="E22" s="223">
        <f>SUM(E15:E21)</f>
        <v>453573</v>
      </c>
      <c r="G22" s="223">
        <f>SUM(G15:G21)</f>
        <v>469448.05499999993</v>
      </c>
      <c r="I22" s="223">
        <f>SUM(I15:I21)</f>
        <v>485878.73692499986</v>
      </c>
      <c r="K22" s="223">
        <f>SUM(K15:K21)</f>
        <v>502884.49271737487</v>
      </c>
      <c r="M22" s="223">
        <f>SUM(M15:M21)</f>
        <v>520485.4499624829</v>
      </c>
      <c r="O22" s="223">
        <f>SUM(O15:O21)</f>
        <v>538702.44071116974</v>
      </c>
      <c r="Q22" s="223">
        <f>SUM(Q15:Q21)</f>
        <v>557557.02613606071</v>
      </c>
      <c r="S22" s="223">
        <f>SUM(S15:S21)</f>
        <v>577071.52205082274</v>
      </c>
      <c r="U22" s="223">
        <f>SUM(U15:U21)</f>
        <v>597269.02532260155</v>
      </c>
      <c r="W22" s="223">
        <f>SUM(W15:W21)</f>
        <v>618173.4412088925</v>
      </c>
      <c r="Y22" s="223">
        <f>SUM(Y15:Y21)</f>
        <v>639809.51165120373</v>
      </c>
      <c r="AA22" s="223">
        <f>SUM(AA15:AA21)</f>
        <v>662202.8445589958</v>
      </c>
      <c r="AC22" s="223">
        <f>SUM(AC15:AC21)</f>
        <v>685379.94411856064</v>
      </c>
      <c r="AE22" s="223">
        <f>SUM(AE15:AE21)</f>
        <v>709368.24216271017</v>
      </c>
      <c r="AG22" s="223">
        <f>SUM(AG15:AG21)</f>
        <v>734196.13063840498</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1671</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Application!AC897</f>
        <v>20000</v>
      </c>
      <c r="F27" s="222"/>
      <c r="G27" s="222">
        <f>E27*$C$27</f>
        <v>20700</v>
      </c>
      <c r="H27" s="222"/>
      <c r="I27" s="222">
        <f>G27*$C$27</f>
        <v>21424.5</v>
      </c>
      <c r="J27" s="222"/>
      <c r="K27" s="222">
        <f>I27*$C$27</f>
        <v>22174.357499999998</v>
      </c>
      <c r="L27" s="222"/>
      <c r="M27" s="222">
        <f>K27*$C$27</f>
        <v>22950.460012499996</v>
      </c>
      <c r="N27" s="222"/>
      <c r="O27" s="222">
        <f>M27*$C$27</f>
        <v>23753.726112937493</v>
      </c>
      <c r="P27" s="222"/>
      <c r="Q27" s="222">
        <f>O27*$C$27</f>
        <v>24585.106526890304</v>
      </c>
      <c r="R27" s="222"/>
      <c r="S27" s="222">
        <f>Q27*$C$27</f>
        <v>25445.585255331462</v>
      </c>
      <c r="T27" s="222"/>
      <c r="U27" s="222">
        <f>S27*$C$27</f>
        <v>26336.18073926806</v>
      </c>
      <c r="V27" s="222"/>
      <c r="W27" s="222">
        <f>U27*$C$27</f>
        <v>27257.947065142442</v>
      </c>
      <c r="X27" s="222"/>
      <c r="Y27" s="222">
        <f>W27*$C$27</f>
        <v>28211.975212422425</v>
      </c>
      <c r="Z27" s="222"/>
      <c r="AA27" s="222">
        <f>Y27*$C$27</f>
        <v>29199.394344857206</v>
      </c>
      <c r="AB27" s="222"/>
      <c r="AC27" s="222">
        <f>AA27*$C$27</f>
        <v>30221.373146927206</v>
      </c>
      <c r="AD27" s="222"/>
      <c r="AE27" s="222">
        <f>AC27*$C$27</f>
        <v>31279.121207069657</v>
      </c>
      <c r="AF27" s="222"/>
      <c r="AG27" s="222">
        <f>AE27*$C$27</f>
        <v>32373.890449317092</v>
      </c>
    </row>
    <row r="28" spans="1:33" s="210" customFormat="1" ht="14.25">
      <c r="A28" s="210" t="s">
        <v>846</v>
      </c>
      <c r="C28" s="237"/>
      <c r="E28" s="222">
        <f>Application!AC898</f>
        <v>23400</v>
      </c>
      <c r="F28" s="222"/>
      <c r="G28" s="222">
        <f>$E$28</f>
        <v>23400</v>
      </c>
      <c r="H28" s="222"/>
      <c r="I28" s="222">
        <f>$E$28</f>
        <v>23400</v>
      </c>
      <c r="J28" s="222"/>
      <c r="K28" s="222">
        <f>$E$28</f>
        <v>23400</v>
      </c>
      <c r="L28" s="222"/>
      <c r="M28" s="222">
        <f>$E$28</f>
        <v>23400</v>
      </c>
      <c r="N28" s="222"/>
      <c r="O28" s="222">
        <f>$E$28</f>
        <v>23400</v>
      </c>
      <c r="P28" s="222"/>
      <c r="Q28" s="222">
        <f>$E$28</f>
        <v>23400</v>
      </c>
      <c r="R28" s="222"/>
      <c r="S28" s="222">
        <f>$E$28</f>
        <v>23400</v>
      </c>
      <c r="T28" s="222"/>
      <c r="U28" s="222">
        <f>$E$28</f>
        <v>23400</v>
      </c>
      <c r="V28" s="222"/>
      <c r="W28" s="222">
        <f>$E$28</f>
        <v>23400</v>
      </c>
      <c r="X28" s="222"/>
      <c r="Y28" s="222">
        <f>$E$28</f>
        <v>23400</v>
      </c>
      <c r="Z28" s="222"/>
      <c r="AA28" s="222">
        <f>$E$28</f>
        <v>23400</v>
      </c>
      <c r="AB28" s="222"/>
      <c r="AC28" s="222">
        <f>$E$28</f>
        <v>23400</v>
      </c>
      <c r="AD28" s="222"/>
      <c r="AE28" s="222">
        <f>$E$28</f>
        <v>23400</v>
      </c>
      <c r="AF28" s="222"/>
      <c r="AG28" s="222">
        <f>$E$28</f>
        <v>23400</v>
      </c>
    </row>
    <row r="29" spans="1:33" s="210" customFormat="1" ht="14.25">
      <c r="A29" s="210" t="s">
        <v>1669</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844</v>
      </c>
      <c r="C30" s="237">
        <v>1.02</v>
      </c>
      <c r="E30" s="222">
        <f>Application!AC900</f>
        <v>234</v>
      </c>
      <c r="F30" s="222"/>
      <c r="G30" s="222">
        <f>E30*$C$30</f>
        <v>238.68</v>
      </c>
      <c r="H30" s="222"/>
      <c r="I30" s="222">
        <f>G30*$C$30</f>
        <v>243.45360000000002</v>
      </c>
      <c r="J30" s="222"/>
      <c r="K30" s="222">
        <f>I30*$C$30</f>
        <v>248.32267200000004</v>
      </c>
      <c r="L30" s="222"/>
      <c r="M30" s="222">
        <f>K30*$C$30</f>
        <v>253.28912544000005</v>
      </c>
      <c r="N30" s="222"/>
      <c r="O30" s="222">
        <f>M30*$C$30</f>
        <v>258.35490794880008</v>
      </c>
      <c r="P30" s="222"/>
      <c r="Q30" s="222">
        <f>O30*$C$30</f>
        <v>263.52200610777606</v>
      </c>
      <c r="R30" s="222"/>
      <c r="S30" s="222">
        <f>Q30*$C$30</f>
        <v>268.79244622993161</v>
      </c>
      <c r="T30" s="222"/>
      <c r="U30" s="222">
        <f>S30*$C$30</f>
        <v>274.16829515453026</v>
      </c>
      <c r="V30" s="222"/>
      <c r="W30" s="222">
        <f>U30*$C$30</f>
        <v>279.65166105762086</v>
      </c>
      <c r="X30" s="222"/>
      <c r="Y30" s="222">
        <f>W30*$C$30</f>
        <v>285.2446942787733</v>
      </c>
      <c r="Z30" s="222"/>
      <c r="AA30" s="222">
        <f>Y30*$C$30</f>
        <v>290.94958816434877</v>
      </c>
      <c r="AB30" s="222"/>
      <c r="AC30" s="222">
        <f>AA30*$C$30</f>
        <v>296.76857992763576</v>
      </c>
      <c r="AD30" s="222"/>
      <c r="AE30" s="222">
        <f>AC30*$C$30</f>
        <v>302.70395152618846</v>
      </c>
      <c r="AF30" s="222"/>
      <c r="AG30" s="222">
        <f>AE30*$C$30</f>
        <v>308.75803055671224</v>
      </c>
    </row>
    <row r="31" spans="1:33" s="210" customFormat="1" ht="14.25">
      <c r="A31" s="210" t="s">
        <v>1670</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497207</v>
      </c>
      <c r="G35" s="223">
        <f>SUM(G22:G33)</f>
        <v>513786.73499999993</v>
      </c>
      <c r="I35" s="223">
        <f>SUM(I22:I33)</f>
        <v>530946.69052499987</v>
      </c>
      <c r="K35" s="223">
        <f>SUM(K22:K33)</f>
        <v>548707.1728893749</v>
      </c>
      <c r="M35" s="223">
        <f>SUM(M22:M33)</f>
        <v>567089.19910042279</v>
      </c>
      <c r="O35" s="223">
        <f>SUM(O22:O33)</f>
        <v>586114.52173205593</v>
      </c>
      <c r="Q35" s="223">
        <f>SUM(Q22:Q33)</f>
        <v>605805.65466905874</v>
      </c>
      <c r="S35" s="223">
        <f>SUM(S22:S33)</f>
        <v>626185.89975238417</v>
      </c>
      <c r="U35" s="223">
        <f>SUM(U22:U33)</f>
        <v>647279.37435702421</v>
      </c>
      <c r="W35" s="223">
        <f>SUM(W22:W33)</f>
        <v>669111.03993509256</v>
      </c>
      <c r="Y35" s="223">
        <f>SUM(Y22:Y33)</f>
        <v>691706.73155790498</v>
      </c>
      <c r="AA35" s="223">
        <f>SUM(AA22:AA33)</f>
        <v>715093.18849201733</v>
      </c>
      <c r="AC35" s="223">
        <f>SUM(AC22:AC33)</f>
        <v>739298.08584541548</v>
      </c>
      <c r="AE35" s="223">
        <f>SUM(AE22:AE33)</f>
        <v>764350.06732130598</v>
      </c>
      <c r="AG35" s="223">
        <f>SUM(AG22:AG33)</f>
        <v>790278.77911827876</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522209.5</v>
      </c>
      <c r="G37" s="223">
        <f>G11-G35</f>
        <v>531115.17749999999</v>
      </c>
      <c r="I37" s="223">
        <f>I11-I35</f>
        <v>540077.76978750003</v>
      </c>
      <c r="K37" s="223">
        <f>K11-K35</f>
        <v>549092.89893093752</v>
      </c>
      <c r="M37" s="223">
        <f>M11-M35</f>
        <v>558155.87451539736</v>
      </c>
      <c r="O37" s="223">
        <f>O11-O35</f>
        <v>567261.6787241596</v>
      </c>
      <c r="Q37" s="223">
        <f>Q11-Q35</f>
        <v>576404.95079856203</v>
      </c>
      <c r="S37" s="223">
        <f>S11-S35</f>
        <v>585579.97085192672</v>
      </c>
      <c r="U37" s="223">
        <f>U11-U35</f>
        <v>594780.64301239443</v>
      </c>
      <c r="W37" s="223">
        <f>W11-W35</f>
        <v>604000.47786856128</v>
      </c>
      <c r="Y37" s="223">
        <f>Y11-Y35</f>
        <v>613232.57419084013</v>
      </c>
      <c r="AA37" s="223">
        <f>AA11-AA35</f>
        <v>622469.59990044637</v>
      </c>
      <c r="AC37" s="223">
        <f>AC11-AC35</f>
        <v>631703.77225685935</v>
      </c>
      <c r="AE37" s="223">
        <f>AE11-AE35</f>
        <v>640926.83723352582</v>
      </c>
      <c r="AG37" s="223">
        <f>AG11-AG35</f>
        <v>650130.04805042362</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Citibank, N.A.</v>
      </c>
      <c r="B40" s="226"/>
      <c r="C40" s="220"/>
      <c r="E40" s="222">
        <f>Application!AF635</f>
        <v>453693</v>
      </c>
      <c r="F40" s="222"/>
      <c r="G40" s="222">
        <f>$E$40</f>
        <v>453693</v>
      </c>
      <c r="H40" s="222"/>
      <c r="I40" s="222">
        <f>$E$40</f>
        <v>453693</v>
      </c>
      <c r="J40" s="222"/>
      <c r="K40" s="222">
        <f>$E$40</f>
        <v>453693</v>
      </c>
      <c r="L40" s="222"/>
      <c r="M40" s="222">
        <f>$E$40</f>
        <v>453693</v>
      </c>
      <c r="N40" s="222"/>
      <c r="O40" s="222">
        <f>$E$40</f>
        <v>453693</v>
      </c>
      <c r="P40" s="222"/>
      <c r="Q40" s="222">
        <f>$E$40</f>
        <v>453693</v>
      </c>
      <c r="R40" s="222"/>
      <c r="S40" s="222">
        <f>$E$40</f>
        <v>453693</v>
      </c>
      <c r="T40" s="222"/>
      <c r="U40" s="222">
        <f>$E$40</f>
        <v>453693</v>
      </c>
      <c r="V40" s="222"/>
      <c r="W40" s="222">
        <f>$E$40</f>
        <v>453693</v>
      </c>
      <c r="X40" s="222"/>
      <c r="Y40" s="222">
        <f>$E$40</f>
        <v>453693</v>
      </c>
      <c r="Z40" s="222"/>
      <c r="AA40" s="222">
        <f>$E$40</f>
        <v>453693</v>
      </c>
      <c r="AB40" s="222"/>
      <c r="AC40" s="222">
        <f>$E$40</f>
        <v>453693</v>
      </c>
      <c r="AD40" s="222"/>
      <c r="AE40" s="222">
        <f>$E$40</f>
        <v>453693</v>
      </c>
      <c r="AF40" s="222"/>
      <c r="AG40" s="222">
        <f>$E$40</f>
        <v>453693</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453693</v>
      </c>
      <c r="G43" s="223">
        <f>SUM(G40:G42)</f>
        <v>453693</v>
      </c>
      <c r="I43" s="223">
        <f>SUM(I40:I42)</f>
        <v>453693</v>
      </c>
      <c r="K43" s="223">
        <f>SUM(K40:K42)</f>
        <v>453693</v>
      </c>
      <c r="M43" s="223">
        <f>SUM(M40:M42)</f>
        <v>453693</v>
      </c>
      <c r="O43" s="223">
        <f>SUM(O40:O42)</f>
        <v>453693</v>
      </c>
      <c r="Q43" s="223">
        <f>SUM(Q40:Q42)</f>
        <v>453693</v>
      </c>
      <c r="S43" s="223">
        <f>SUM(S40:S42)</f>
        <v>453693</v>
      </c>
      <c r="U43" s="223">
        <f>SUM(U40:U42)</f>
        <v>453693</v>
      </c>
      <c r="W43" s="223">
        <f>SUM(W40:W42)</f>
        <v>453693</v>
      </c>
      <c r="Y43" s="223">
        <f>SUM(Y40:Y42)</f>
        <v>453693</v>
      </c>
      <c r="AA43" s="223">
        <f>SUM(AA40:AA42)</f>
        <v>453693</v>
      </c>
      <c r="AC43" s="223">
        <f>SUM(AC40:AC42)</f>
        <v>453693</v>
      </c>
      <c r="AE43" s="223">
        <f>SUM(AE40:AE42)</f>
        <v>453693</v>
      </c>
      <c r="AG43" s="223">
        <f>SUM(AG40:AG42)</f>
        <v>453693</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68516.5</v>
      </c>
      <c r="G45" s="223">
        <f>G37-G43</f>
        <v>77422.177499999991</v>
      </c>
      <c r="I45" s="223">
        <f>I37-I43</f>
        <v>86384.76978750003</v>
      </c>
      <c r="K45" s="223">
        <f>K37-K43</f>
        <v>95399.898930937517</v>
      </c>
      <c r="M45" s="223">
        <f>M37-M43</f>
        <v>104462.87451539736</v>
      </c>
      <c r="O45" s="223">
        <f>O37-O43</f>
        <v>113568.6787241596</v>
      </c>
      <c r="Q45" s="223">
        <f>Q37-Q43</f>
        <v>122711.95079856203</v>
      </c>
      <c r="S45" s="223">
        <f>S37-S43</f>
        <v>131886.97085192672</v>
      </c>
      <c r="U45" s="223">
        <f>U37-U43</f>
        <v>141087.64301239443</v>
      </c>
      <c r="W45" s="223">
        <f>W37-W43</f>
        <v>150307.47786856128</v>
      </c>
      <c r="Y45" s="223">
        <f>Y37-Y43</f>
        <v>159539.57419084013</v>
      </c>
      <c r="AA45" s="223">
        <f>AA37-AA43</f>
        <v>168776.59990044637</v>
      </c>
      <c r="AC45" s="223">
        <f>AC37-AC43</f>
        <v>178010.77225685935</v>
      </c>
      <c r="AE45" s="223">
        <f>AE37-AE43</f>
        <v>187233.83723352582</v>
      </c>
      <c r="AG45" s="223">
        <f>AG37-AG43</f>
        <v>196437.04805042362</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6.3850913733493622E-2</v>
      </c>
      <c r="G47" s="227">
        <f>G45/(G4+G6+G8)</f>
        <v>7.0390404826634861E-2</v>
      </c>
      <c r="I47" s="227">
        <f>I45/(I4+I6+I8)</f>
        <v>7.6623395953235487E-2</v>
      </c>
      <c r="K47" s="227">
        <f>K45/(K4+K6+K8)</f>
        <v>8.255592827035714E-2</v>
      </c>
      <c r="M47" s="227">
        <f>M45/(M4+M6+M8)</f>
        <v>8.8193881596596788E-2</v>
      </c>
      <c r="O47" s="227">
        <f>O45/(O4+O6+O8)</f>
        <v>9.3542978210644417E-2</v>
      </c>
      <c r="Q47" s="227">
        <f>Q45/(Q4+Q6+Q8)</f>
        <v>9.860878655586279E-2</v>
      </c>
      <c r="S47" s="227">
        <f>S45/(S4+S6+S8)</f>
        <v>0.10339672485316541</v>
      </c>
      <c r="U47" s="227">
        <f>U45/(U4+U6+U8)</f>
        <v>0.1079120646244182</v>
      </c>
      <c r="W47" s="227">
        <f>W45/(W4+W6+W8)</f>
        <v>0.11215993412853199</v>
      </c>
      <c r="Y47" s="227">
        <f>Y45/(Y4+Y6+Y8)</f>
        <v>0.1161453217123649</v>
      </c>
      <c r="AA47" s="227">
        <f>AA45/(AA4+AA6+AA8)</f>
        <v>0.11987307907849648</v>
      </c>
      <c r="AC47" s="227">
        <f>AC45/(AC4+AC6+AC8)</f>
        <v>0.12334792447188717</v>
      </c>
      <c r="AE47" s="227">
        <f>AE45/(AE4+AE6+AE8)</f>
        <v>0.12657444578739194</v>
      </c>
      <c r="AG47" s="227">
        <f>AG45/(AG4+AG6+AG8)</f>
        <v>0.12955710360003636</v>
      </c>
    </row>
    <row r="48" spans="1:33" s="227" customFormat="1" ht="14.25">
      <c r="A48" s="227" t="s">
        <v>852</v>
      </c>
      <c r="C48" s="220"/>
      <c r="E48" s="227">
        <f>E45/E43</f>
        <v>0.15101952201158053</v>
      </c>
      <c r="G48" s="227">
        <f>G45/G43</f>
        <v>0.17064882530698069</v>
      </c>
      <c r="I48" s="227">
        <f>I45/I43</f>
        <v>0.19040357639968003</v>
      </c>
      <c r="K48" s="227">
        <f>K45/K43</f>
        <v>0.21027412574348187</v>
      </c>
      <c r="M48" s="227">
        <f>M45/M43</f>
        <v>0.2302501350371228</v>
      </c>
      <c r="O48" s="227">
        <f>O45/O43</f>
        <v>0.25032054434201012</v>
      </c>
      <c r="Q48" s="227">
        <f>Q45/Q43</f>
        <v>0.27047353782968225</v>
      </c>
      <c r="S48" s="227">
        <f>S45/S43</f>
        <v>0.29069650810553993</v>
      </c>
      <c r="U48" s="227">
        <f>U45/U43</f>
        <v>0.3109760190534005</v>
      </c>
      <c r="W48" s="227">
        <f>W45/W43</f>
        <v>0.33129776714333542</v>
      </c>
      <c r="Y48" s="227">
        <f>Y45/Y43</f>
        <v>0.35164654114310806</v>
      </c>
      <c r="AA48" s="227">
        <f>AA45/AA43</f>
        <v>0.37200618017127524</v>
      </c>
      <c r="AC48" s="227">
        <f>AC45/AC43</f>
        <v>0.39235953002770452</v>
      </c>
      <c r="AE48" s="227">
        <f>AE45/AE43</f>
        <v>0.41268839773486876</v>
      </c>
      <c r="AG48" s="227">
        <f>AG45/AG43</f>
        <v>0.43297350422074754</v>
      </c>
    </row>
    <row r="49" spans="1:34" s="228" customFormat="1" ht="14.25">
      <c r="A49" s="228" t="s">
        <v>850</v>
      </c>
      <c r="C49" s="229"/>
      <c r="E49" s="228">
        <f>E37/E43</f>
        <v>1.1510195220115804</v>
      </c>
      <c r="G49" s="228">
        <f>G37/G43</f>
        <v>1.1706488253069807</v>
      </c>
      <c r="I49" s="228">
        <f>I37/I43</f>
        <v>1.1904035763996801</v>
      </c>
      <c r="K49" s="228">
        <f>K37/K43</f>
        <v>1.2102741257434819</v>
      </c>
      <c r="M49" s="228">
        <f>M37/M43</f>
        <v>1.2302501350371229</v>
      </c>
      <c r="O49" s="228">
        <f>O37/O43</f>
        <v>1.2503205443420102</v>
      </c>
      <c r="Q49" s="228">
        <f>Q37/Q43</f>
        <v>1.2704735378296823</v>
      </c>
      <c r="S49" s="228">
        <f>S37/S43</f>
        <v>1.2906965081055399</v>
      </c>
      <c r="U49" s="228">
        <f>U37/U43</f>
        <v>1.3109760190534006</v>
      </c>
      <c r="W49" s="228">
        <f>W37/W43</f>
        <v>1.3312977671433355</v>
      </c>
      <c r="Y49" s="228">
        <f>Y37/Y43</f>
        <v>1.351646541143108</v>
      </c>
      <c r="AA49" s="228">
        <f>AA37/AA43</f>
        <v>1.3720061801712753</v>
      </c>
      <c r="AC49" s="228">
        <f>AC37/AC43</f>
        <v>1.3923595300277045</v>
      </c>
      <c r="AE49" s="228">
        <f>AE37/AE43</f>
        <v>1.4126883977348688</v>
      </c>
      <c r="AG49" s="228">
        <f>AG37/AG43</f>
        <v>1.4329735042207477</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97" t="s">
        <v>2775</v>
      </c>
      <c r="B52" s="2697"/>
      <c r="C52" s="2697"/>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c r="E53" s="960">
        <v>10000</v>
      </c>
      <c r="G53" s="956">
        <f>E53*1.03</f>
        <v>10300</v>
      </c>
      <c r="I53" s="956">
        <f t="shared" ref="I53:I54" si="1">G53*1.03</f>
        <v>10609</v>
      </c>
      <c r="K53" s="956">
        <f t="shared" ref="K53:K54" si="2">I53*1.03</f>
        <v>10927.27</v>
      </c>
      <c r="M53" s="956">
        <f t="shared" ref="M53:M54" si="3">K53*1.03</f>
        <v>11255.088100000001</v>
      </c>
      <c r="O53" s="956">
        <f t="shared" ref="O53:O54" si="4">M53*1.03</f>
        <v>11592.740743</v>
      </c>
      <c r="Q53" s="956">
        <f t="shared" ref="Q53:Q54" si="5">O53*1.03</f>
        <v>11940.52296529</v>
      </c>
      <c r="S53" s="956">
        <f t="shared" ref="S53:S54" si="6">Q53*1.03</f>
        <v>12298.7386542487</v>
      </c>
      <c r="U53" s="956">
        <f t="shared" ref="U53:U54" si="7">S53*1.03</f>
        <v>12667.700813876161</v>
      </c>
      <c r="W53" s="956">
        <f t="shared" ref="W53:W54" si="8">U53*1.03</f>
        <v>13047.731838292446</v>
      </c>
      <c r="Y53" s="956">
        <f t="shared" ref="Y53:Y54" si="9">W53*1.03</f>
        <v>13439.163793441219</v>
      </c>
      <c r="AA53" s="956">
        <f t="shared" ref="AA53:AA54" si="10">Y53*1.03</f>
        <v>13842.338707244457</v>
      </c>
      <c r="AC53" s="956">
        <f t="shared" ref="AC53:AC54" si="11">AA53*1.03</f>
        <v>14257.60886846179</v>
      </c>
      <c r="AE53" s="956">
        <f t="shared" ref="AE53:AE54" si="12">AC53*1.03</f>
        <v>14685.337134515645</v>
      </c>
      <c r="AG53" s="956">
        <f t="shared" ref="AG53:AG54" si="13">AE53*1.03</f>
        <v>15125.897248551115</v>
      </c>
    </row>
    <row r="54" spans="1:34" s="3" customFormat="1">
      <c r="A54" s="3" t="s">
        <v>855</v>
      </c>
      <c r="C54" s="954"/>
      <c r="E54" s="961">
        <v>3500</v>
      </c>
      <c r="F54" s="956"/>
      <c r="G54" s="956">
        <f>E54*1.03</f>
        <v>3605</v>
      </c>
      <c r="H54" s="956"/>
      <c r="I54" s="956">
        <f t="shared" si="1"/>
        <v>3713.15</v>
      </c>
      <c r="J54" s="956"/>
      <c r="K54" s="956">
        <f t="shared" si="2"/>
        <v>3824.5445</v>
      </c>
      <c r="L54" s="956"/>
      <c r="M54" s="956">
        <f t="shared" si="3"/>
        <v>3939.280835</v>
      </c>
      <c r="N54" s="956"/>
      <c r="O54" s="956">
        <f t="shared" si="4"/>
        <v>4057.45926005</v>
      </c>
      <c r="P54" s="956"/>
      <c r="Q54" s="956">
        <f t="shared" si="5"/>
        <v>4179.1830378515006</v>
      </c>
      <c r="R54" s="956"/>
      <c r="S54" s="956">
        <f t="shared" si="6"/>
        <v>4304.558528987046</v>
      </c>
      <c r="T54" s="956"/>
      <c r="U54" s="956">
        <f t="shared" si="7"/>
        <v>4433.6952848566571</v>
      </c>
      <c r="V54" s="956"/>
      <c r="W54" s="956">
        <f t="shared" si="8"/>
        <v>4566.7061434023572</v>
      </c>
      <c r="X54" s="956"/>
      <c r="Y54" s="956">
        <f t="shared" si="9"/>
        <v>4703.7073277044283</v>
      </c>
      <c r="Z54" s="956"/>
      <c r="AA54" s="956">
        <f t="shared" si="10"/>
        <v>4844.8185475355613</v>
      </c>
      <c r="AB54" s="956"/>
      <c r="AC54" s="956">
        <f t="shared" si="11"/>
        <v>4990.1631039616286</v>
      </c>
      <c r="AD54" s="956"/>
      <c r="AE54" s="956">
        <f t="shared" si="12"/>
        <v>5139.8679970804778</v>
      </c>
      <c r="AF54" s="956"/>
      <c r="AG54" s="956">
        <f t="shared" si="13"/>
        <v>5294.0640369928924</v>
      </c>
      <c r="AH54" s="956"/>
    </row>
    <row r="55" spans="1:34" s="3" customFormat="1">
      <c r="A55" s="3" t="s">
        <v>856</v>
      </c>
      <c r="C55" s="954"/>
      <c r="E55" s="961"/>
      <c r="F55" s="956"/>
      <c r="G55" s="956">
        <f t="shared" ref="G55:AG57" si="14">E55*$C$53</f>
        <v>0</v>
      </c>
      <c r="H55" s="956"/>
      <c r="I55" s="956">
        <f t="shared" si="14"/>
        <v>0</v>
      </c>
      <c r="J55" s="956"/>
      <c r="K55" s="956">
        <f t="shared" si="14"/>
        <v>0</v>
      </c>
      <c r="L55" s="956"/>
      <c r="M55" s="956">
        <f t="shared" si="14"/>
        <v>0</v>
      </c>
      <c r="N55" s="956"/>
      <c r="O55" s="956">
        <f t="shared" si="14"/>
        <v>0</v>
      </c>
      <c r="P55" s="956"/>
      <c r="Q55" s="956">
        <f t="shared" si="14"/>
        <v>0</v>
      </c>
      <c r="R55" s="956"/>
      <c r="S55" s="956">
        <f t="shared" si="14"/>
        <v>0</v>
      </c>
      <c r="T55" s="956"/>
      <c r="U55" s="956">
        <f t="shared" si="14"/>
        <v>0</v>
      </c>
      <c r="V55" s="956"/>
      <c r="W55" s="956">
        <f t="shared" si="14"/>
        <v>0</v>
      </c>
      <c r="X55" s="956"/>
      <c r="Y55" s="956">
        <f t="shared" si="14"/>
        <v>0</v>
      </c>
      <c r="Z55" s="956"/>
      <c r="AA55" s="956">
        <f t="shared" si="14"/>
        <v>0</v>
      </c>
      <c r="AB55" s="956"/>
      <c r="AC55" s="956">
        <f t="shared" si="14"/>
        <v>0</v>
      </c>
      <c r="AD55" s="956"/>
      <c r="AE55" s="956">
        <f t="shared" si="14"/>
        <v>0</v>
      </c>
      <c r="AF55" s="956"/>
      <c r="AG55" s="956">
        <f t="shared" si="14"/>
        <v>0</v>
      </c>
      <c r="AH55" s="956"/>
    </row>
    <row r="56" spans="1:34" s="3" customFormat="1">
      <c r="A56" s="962"/>
      <c r="B56" s="962"/>
      <c r="C56" s="954"/>
      <c r="E56" s="961"/>
      <c r="F56" s="956"/>
      <c r="G56" s="956">
        <f t="shared" si="14"/>
        <v>0</v>
      </c>
      <c r="H56" s="956"/>
      <c r="I56" s="956">
        <f t="shared" si="14"/>
        <v>0</v>
      </c>
      <c r="J56" s="956"/>
      <c r="K56" s="956">
        <f t="shared" si="14"/>
        <v>0</v>
      </c>
      <c r="L56" s="956"/>
      <c r="M56" s="956">
        <f t="shared" si="14"/>
        <v>0</v>
      </c>
      <c r="N56" s="956"/>
      <c r="O56" s="956">
        <f t="shared" si="14"/>
        <v>0</v>
      </c>
      <c r="P56" s="956"/>
      <c r="Q56" s="956">
        <f t="shared" si="14"/>
        <v>0</v>
      </c>
      <c r="R56" s="956"/>
      <c r="S56" s="956">
        <f t="shared" si="14"/>
        <v>0</v>
      </c>
      <c r="T56" s="956"/>
      <c r="U56" s="956">
        <f t="shared" si="14"/>
        <v>0</v>
      </c>
      <c r="V56" s="956"/>
      <c r="W56" s="956">
        <f t="shared" si="14"/>
        <v>0</v>
      </c>
      <c r="X56" s="956"/>
      <c r="Y56" s="956">
        <f t="shared" si="14"/>
        <v>0</v>
      </c>
      <c r="Z56" s="956"/>
      <c r="AA56" s="956">
        <f t="shared" si="14"/>
        <v>0</v>
      </c>
      <c r="AB56" s="956"/>
      <c r="AC56" s="956">
        <f t="shared" si="14"/>
        <v>0</v>
      </c>
      <c r="AD56" s="956"/>
      <c r="AE56" s="956">
        <f t="shared" si="14"/>
        <v>0</v>
      </c>
      <c r="AF56" s="956"/>
      <c r="AG56" s="956">
        <f t="shared" si="14"/>
        <v>0</v>
      </c>
      <c r="AH56" s="956"/>
    </row>
    <row r="57" spans="1:34" s="3" customFormat="1">
      <c r="A57" s="962"/>
      <c r="B57" s="962"/>
      <c r="C57" s="954"/>
      <c r="E57" s="963"/>
      <c r="F57" s="956"/>
      <c r="G57" s="964">
        <f t="shared" si="14"/>
        <v>0</v>
      </c>
      <c r="H57" s="956"/>
      <c r="I57" s="964">
        <f t="shared" si="14"/>
        <v>0</v>
      </c>
      <c r="J57" s="956"/>
      <c r="K57" s="964">
        <f t="shared" si="14"/>
        <v>0</v>
      </c>
      <c r="L57" s="956"/>
      <c r="M57" s="964">
        <f t="shared" si="14"/>
        <v>0</v>
      </c>
      <c r="N57" s="956"/>
      <c r="O57" s="964">
        <f t="shared" si="14"/>
        <v>0</v>
      </c>
      <c r="P57" s="956"/>
      <c r="Q57" s="964">
        <f t="shared" si="14"/>
        <v>0</v>
      </c>
      <c r="R57" s="956"/>
      <c r="S57" s="964">
        <f t="shared" si="14"/>
        <v>0</v>
      </c>
      <c r="T57" s="956"/>
      <c r="U57" s="964">
        <f t="shared" si="14"/>
        <v>0</v>
      </c>
      <c r="V57" s="956"/>
      <c r="W57" s="964">
        <f t="shared" si="14"/>
        <v>0</v>
      </c>
      <c r="X57" s="956"/>
      <c r="Y57" s="964">
        <f t="shared" si="14"/>
        <v>0</v>
      </c>
      <c r="Z57" s="956"/>
      <c r="AA57" s="964">
        <f t="shared" si="14"/>
        <v>0</v>
      </c>
      <c r="AB57" s="956"/>
      <c r="AC57" s="964">
        <f t="shared" si="14"/>
        <v>0</v>
      </c>
      <c r="AD57" s="956"/>
      <c r="AE57" s="964">
        <f t="shared" si="14"/>
        <v>0</v>
      </c>
      <c r="AF57" s="956"/>
      <c r="AG57" s="964">
        <f t="shared" si="14"/>
        <v>0</v>
      </c>
      <c r="AH57" s="956"/>
    </row>
    <row r="58" spans="1:34" s="3" customFormat="1">
      <c r="A58" s="958" t="s">
        <v>853</v>
      </c>
      <c r="C58" s="957"/>
      <c r="E58" s="956">
        <f>SUM(E53:E57)</f>
        <v>13500</v>
      </c>
      <c r="F58" s="956"/>
      <c r="G58" s="956">
        <f>SUM(G53:G57)</f>
        <v>13905</v>
      </c>
      <c r="H58" s="956"/>
      <c r="I58" s="956">
        <f>SUM(I53:I57)</f>
        <v>14322.15</v>
      </c>
      <c r="J58" s="956"/>
      <c r="K58" s="956">
        <f>SUM(K53:K57)</f>
        <v>14751.8145</v>
      </c>
      <c r="L58" s="956"/>
      <c r="M58" s="956">
        <f>SUM(M53:M57)</f>
        <v>15194.368935</v>
      </c>
      <c r="N58" s="956"/>
      <c r="O58" s="956">
        <f>SUM(O53:O57)</f>
        <v>15650.20000305</v>
      </c>
      <c r="P58" s="956"/>
      <c r="Q58" s="956">
        <f>SUM(Q53:Q57)</f>
        <v>16119.7060031415</v>
      </c>
      <c r="R58" s="956"/>
      <c r="S58" s="956">
        <f>SUM(S53:S57)</f>
        <v>16603.297183235747</v>
      </c>
      <c r="T58" s="956"/>
      <c r="U58" s="956">
        <f>SUM(U53:U57)</f>
        <v>17101.396098732817</v>
      </c>
      <c r="V58" s="956"/>
      <c r="W58" s="956">
        <f>SUM(W53:W57)</f>
        <v>17614.437981694802</v>
      </c>
      <c r="X58" s="956"/>
      <c r="Y58" s="956">
        <f>SUM(Y53:Y57)</f>
        <v>18142.871121145647</v>
      </c>
      <c r="Z58" s="956"/>
      <c r="AA58" s="956">
        <f>SUM(AA53:AA57)</f>
        <v>18687.157254780017</v>
      </c>
      <c r="AB58" s="956"/>
      <c r="AC58" s="956">
        <f>SUM(AC53:AC57)</f>
        <v>19247.771972423419</v>
      </c>
      <c r="AD58" s="956"/>
      <c r="AE58" s="956">
        <f>SUM(AE53:AE57)</f>
        <v>19825.205131596122</v>
      </c>
      <c r="AF58" s="956"/>
      <c r="AG58" s="956">
        <f>SUM(AG53:AG57)</f>
        <v>20419.961285544006</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55016.5</v>
      </c>
      <c r="G60" s="958">
        <f>G45-G58</f>
        <v>63517.177499999991</v>
      </c>
      <c r="I60" s="958">
        <f>I45-I58</f>
        <v>72062.619787500036</v>
      </c>
      <c r="K60" s="958">
        <f>K45-K58</f>
        <v>80648.08443093751</v>
      </c>
      <c r="M60" s="958">
        <f>M45-M58</f>
        <v>89268.505580397352</v>
      </c>
      <c r="O60" s="958">
        <f>O45-O58</f>
        <v>97918.478721109597</v>
      </c>
      <c r="Q60" s="958">
        <f>Q45-Q58</f>
        <v>106592.24479542053</v>
      </c>
      <c r="S60" s="958">
        <f>S45-S58</f>
        <v>115283.67366869097</v>
      </c>
      <c r="U60" s="958">
        <f>U45-U58</f>
        <v>123986.24691366161</v>
      </c>
      <c r="W60" s="958">
        <f>W45-W58</f>
        <v>132693.03988686649</v>
      </c>
      <c r="Y60" s="958">
        <f>Y45-Y58</f>
        <v>141396.70306969449</v>
      </c>
      <c r="AA60" s="958">
        <f>AA45-AA58</f>
        <v>150089.44264566636</v>
      </c>
      <c r="AC60" s="958">
        <f>AC45-AC58</f>
        <v>158763.00028443593</v>
      </c>
      <c r="AE60" s="958">
        <f>AE45-AE58</f>
        <v>167408.63210192969</v>
      </c>
      <c r="AG60" s="958">
        <f>AG45-AG58</f>
        <v>176017.08676487961</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1</v>
      </c>
      <c r="E62" s="960">
        <f>E60*$C$62</f>
        <v>55016.5</v>
      </c>
      <c r="G62" s="958">
        <f>G60*$C$62</f>
        <v>63517.177499999991</v>
      </c>
      <c r="I62" s="958">
        <f>I60*$C$62</f>
        <v>72062.619787500036</v>
      </c>
      <c r="K62" s="958">
        <f>K60*$C$62</f>
        <v>80648.08443093751</v>
      </c>
      <c r="M62" s="958">
        <f>M60*$C$62</f>
        <v>89268.505580397352</v>
      </c>
      <c r="O62" s="958">
        <f>O60*$C$62</f>
        <v>97918.478721109597</v>
      </c>
      <c r="Q62" s="958">
        <f>Q60*$C$62</f>
        <v>106592.24479542053</v>
      </c>
      <c r="S62" s="958">
        <f>S60*$C$62</f>
        <v>115283.67366869097</v>
      </c>
      <c r="U62" s="958">
        <f>U60*$C$62</f>
        <v>123986.24691366161</v>
      </c>
      <c r="W62" s="958">
        <f>W60*$C$62</f>
        <v>132693.03988686649</v>
      </c>
      <c r="Y62" s="958">
        <f>Y60*$C$62</f>
        <v>141396.70306969449</v>
      </c>
      <c r="AA62" s="958">
        <f>AA60*$C$62</f>
        <v>150089.44264566636</v>
      </c>
      <c r="AC62" s="958">
        <f>AC60*$C$62</f>
        <v>158763.00028443593</v>
      </c>
      <c r="AE62" s="958">
        <f>AE60*$C$62</f>
        <v>167408.63210192969</v>
      </c>
      <c r="AG62" s="958">
        <f>AG60*$C$62</f>
        <v>176017.08676487961</v>
      </c>
    </row>
    <row r="63" spans="1:34" s="958" customFormat="1">
      <c r="A63" s="2697" t="s">
        <v>2776</v>
      </c>
      <c r="B63" s="2697"/>
      <c r="C63" s="2697"/>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v>0</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0</v>
      </c>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c r="B67" s="961"/>
      <c r="C67" s="966"/>
      <c r="E67" s="960"/>
      <c r="AG67" s="956">
        <f>AG60*$C$65</f>
        <v>0</v>
      </c>
    </row>
    <row r="68" spans="1:34" s="956" customFormat="1">
      <c r="A68" s="961"/>
      <c r="B68" s="961"/>
      <c r="C68" s="966"/>
      <c r="E68" s="961"/>
      <c r="G68" s="956">
        <f t="shared" ref="G68:AG69" si="15">E68*$C$66</f>
        <v>0</v>
      </c>
      <c r="I68" s="956">
        <f t="shared" si="15"/>
        <v>0</v>
      </c>
      <c r="K68" s="956">
        <f t="shared" si="15"/>
        <v>0</v>
      </c>
      <c r="M68" s="956">
        <f t="shared" si="15"/>
        <v>0</v>
      </c>
      <c r="O68" s="956">
        <f t="shared" si="15"/>
        <v>0</v>
      </c>
      <c r="Q68" s="956">
        <f t="shared" si="15"/>
        <v>0</v>
      </c>
      <c r="S68" s="956">
        <f t="shared" si="15"/>
        <v>0</v>
      </c>
      <c r="U68" s="956">
        <f t="shared" si="15"/>
        <v>0</v>
      </c>
      <c r="W68" s="956">
        <f t="shared" si="15"/>
        <v>0</v>
      </c>
      <c r="Y68" s="956">
        <f t="shared" si="15"/>
        <v>0</v>
      </c>
      <c r="AA68" s="956">
        <f t="shared" si="15"/>
        <v>0</v>
      </c>
      <c r="AC68" s="956">
        <f t="shared" si="15"/>
        <v>0</v>
      </c>
      <c r="AE68" s="956">
        <f t="shared" si="15"/>
        <v>0</v>
      </c>
      <c r="AG68" s="956">
        <f t="shared" si="15"/>
        <v>0</v>
      </c>
    </row>
    <row r="69" spans="1:34" s="956" customFormat="1">
      <c r="A69" s="961"/>
      <c r="B69" s="961"/>
      <c r="C69" s="966"/>
      <c r="E69" s="963"/>
      <c r="G69" s="964">
        <f t="shared" si="15"/>
        <v>0</v>
      </c>
      <c r="I69" s="964">
        <f t="shared" si="15"/>
        <v>0</v>
      </c>
      <c r="K69" s="964">
        <f t="shared" si="15"/>
        <v>0</v>
      </c>
      <c r="M69" s="964">
        <f t="shared" si="15"/>
        <v>0</v>
      </c>
      <c r="O69" s="964">
        <f t="shared" si="15"/>
        <v>0</v>
      </c>
      <c r="Q69" s="964">
        <f t="shared" si="15"/>
        <v>0</v>
      </c>
      <c r="S69" s="964">
        <f t="shared" si="15"/>
        <v>0</v>
      </c>
      <c r="U69" s="964">
        <f t="shared" si="15"/>
        <v>0</v>
      </c>
      <c r="W69" s="964">
        <f t="shared" si="15"/>
        <v>0</v>
      </c>
      <c r="Y69" s="964">
        <f t="shared" si="15"/>
        <v>0</v>
      </c>
      <c r="AA69" s="964">
        <f t="shared" si="15"/>
        <v>0</v>
      </c>
      <c r="AC69" s="964">
        <f t="shared" si="15"/>
        <v>0</v>
      </c>
      <c r="AE69" s="964">
        <f t="shared" si="15"/>
        <v>0</v>
      </c>
      <c r="AG69" s="964">
        <f t="shared" si="15"/>
        <v>0</v>
      </c>
    </row>
    <row r="70" spans="1:34" s="956" customFormat="1">
      <c r="A70" s="958" t="s">
        <v>853</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1712</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1711</v>
      </c>
      <c r="C75" s="183"/>
    </row>
    <row r="76" spans="1:34" s="217" customFormat="1">
      <c r="C76" s="183"/>
    </row>
    <row r="77" spans="1:34" s="234" customFormat="1" ht="30" customHeight="1">
      <c r="A77" s="2695" t="s">
        <v>1710</v>
      </c>
      <c r="B77" s="2696"/>
      <c r="C77" s="2696"/>
      <c r="D77" s="2696"/>
      <c r="E77" s="2696"/>
      <c r="F77" s="2696"/>
      <c r="G77" s="2696"/>
      <c r="H77" s="2696"/>
      <c r="I77" s="2696"/>
      <c r="J77" s="2696"/>
      <c r="K77" s="2696"/>
      <c r="L77" s="2696"/>
      <c r="M77" s="2696"/>
      <c r="N77" s="2696"/>
      <c r="O77" s="2696"/>
      <c r="P77" s="2696"/>
      <c r="Q77" s="2696"/>
      <c r="R77" s="2696"/>
      <c r="S77" s="2696"/>
      <c r="T77" s="2696"/>
      <c r="U77" s="2696"/>
      <c r="V77" s="2696"/>
      <c r="W77" s="2696"/>
      <c r="X77" s="2696"/>
      <c r="Y77" s="2696"/>
      <c r="Z77" s="2696"/>
      <c r="AA77" s="2696"/>
      <c r="AB77" s="2696"/>
      <c r="AC77" s="2696"/>
      <c r="AD77" s="2696"/>
      <c r="AE77" s="2696"/>
      <c r="AF77" s="2696"/>
      <c r="AG77" s="2696"/>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593000</v>
      </c>
      <c r="C5" s="266">
        <f>'Sources and Uses Budget'!$C4</f>
        <v>593000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593000</v>
      </c>
      <c r="C9" s="270">
        <f>SUM(C5:C8)</f>
        <v>593000</v>
      </c>
      <c r="D9" s="270">
        <f t="shared" si="0"/>
        <v>0</v>
      </c>
      <c r="E9" s="268"/>
      <c r="F9" s="267"/>
    </row>
    <row r="10" spans="1:6" s="352" customFormat="1">
      <c r="A10" s="364" t="s">
        <v>594</v>
      </c>
      <c r="B10" s="266">
        <f>'Sources and Uses Budget'!$C9</f>
        <v>15069144</v>
      </c>
      <c r="C10" s="266">
        <f>'Sources and Uses Budget'!$C9</f>
        <v>15069144</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15069144</v>
      </c>
      <c r="C12" s="270">
        <f>SUM(C10:C11)</f>
        <v>15069144</v>
      </c>
      <c r="D12" s="270">
        <f t="shared" si="0"/>
        <v>0</v>
      </c>
      <c r="E12" s="268"/>
      <c r="F12" s="267"/>
    </row>
    <row r="13" spans="1:6" s="352" customFormat="1">
      <c r="A13" s="365" t="s">
        <v>84</v>
      </c>
      <c r="B13" s="270">
        <f>SUM(B9+B12)</f>
        <v>15662144</v>
      </c>
      <c r="C13" s="270">
        <f>SUM(C9+C12)</f>
        <v>15662144</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9361560</v>
      </c>
      <c r="C19" s="266">
        <f>'Sources and Uses Budget'!$C18</f>
        <v>9361560</v>
      </c>
      <c r="D19" s="270">
        <f t="shared" si="0"/>
        <v>0</v>
      </c>
      <c r="E19" s="268"/>
      <c r="F19" s="267"/>
    </row>
    <row r="20" spans="1:6" s="352" customFormat="1">
      <c r="A20" s="145" t="s">
        <v>600</v>
      </c>
      <c r="B20" s="266">
        <f>'Sources and Uses Budget'!$C19</f>
        <v>187232</v>
      </c>
      <c r="C20" s="266">
        <f>'Sources and Uses Budget'!$C19</f>
        <v>187232</v>
      </c>
      <c r="D20" s="270">
        <f t="shared" si="0"/>
        <v>0</v>
      </c>
      <c r="E20" s="268"/>
      <c r="F20" s="267"/>
    </row>
    <row r="21" spans="1:6" s="352" customFormat="1">
      <c r="A21" s="145" t="s">
        <v>137</v>
      </c>
      <c r="B21" s="266">
        <f>'Sources and Uses Budget'!$C20</f>
        <v>561693</v>
      </c>
      <c r="C21" s="266">
        <f>'Sources and Uses Budget'!$C20</f>
        <v>561693</v>
      </c>
      <c r="D21" s="270">
        <f t="shared" si="0"/>
        <v>0</v>
      </c>
      <c r="E21" s="268"/>
      <c r="F21" s="267"/>
    </row>
    <row r="22" spans="1:6" s="352" customFormat="1">
      <c r="A22" s="145" t="s">
        <v>138</v>
      </c>
      <c r="B22" s="266">
        <f>'Sources and Uses Budget'!$C21</f>
        <v>561693</v>
      </c>
      <c r="C22" s="266">
        <f>'Sources and Uses Budget'!$C21</f>
        <v>561693</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116083</v>
      </c>
      <c r="C24" s="266">
        <f>'Sources and Uses Budget'!$C23</f>
        <v>116083</v>
      </c>
      <c r="D24" s="270">
        <f t="shared" si="0"/>
        <v>0</v>
      </c>
      <c r="E24" s="268"/>
      <c r="F24" s="267"/>
    </row>
    <row r="25" spans="1:6" s="352" customFormat="1">
      <c r="A25" s="508" t="s">
        <v>1629</v>
      </c>
      <c r="B25" s="266">
        <f>'Sources and Uses Budget'!$C24</f>
        <v>0</v>
      </c>
      <c r="C25" s="266">
        <f>'Sources and Uses Budget'!$C24</f>
        <v>0</v>
      </c>
      <c r="D25" s="270">
        <f t="shared" si="0"/>
        <v>0</v>
      </c>
      <c r="E25" s="268"/>
      <c r="F25" s="267"/>
    </row>
    <row r="26" spans="1:6" s="352" customFormat="1">
      <c r="A26" s="155" t="str">
        <f>'Sources and Uses Budget'!A25</f>
        <v>Other: Insurance Impound/Initial Premium</v>
      </c>
      <c r="B26" s="266">
        <f>'Sources and Uses Budget'!$C25</f>
        <v>0</v>
      </c>
      <c r="C26" s="266">
        <f>'Sources and Uses Budget'!$C25</f>
        <v>0</v>
      </c>
      <c r="D26" s="270">
        <f t="shared" si="0"/>
        <v>0</v>
      </c>
      <c r="E26" s="268"/>
      <c r="F26" s="267"/>
    </row>
    <row r="27" spans="1:6" s="352" customFormat="1">
      <c r="A27" s="1013" t="s">
        <v>133</v>
      </c>
      <c r="B27" s="270">
        <f>SUM(B18:B26)</f>
        <v>10788261</v>
      </c>
      <c r="C27" s="270">
        <f>SUM(C18:C26)</f>
        <v>10788261</v>
      </c>
      <c r="D27" s="270">
        <f>SUM(D18:D26)</f>
        <v>0</v>
      </c>
      <c r="E27" s="268"/>
      <c r="F27" s="267"/>
    </row>
    <row r="28" spans="1:6" s="352" customFormat="1">
      <c r="A28" s="271" t="s">
        <v>141</v>
      </c>
      <c r="B28" s="266">
        <f>'Sources and Uses Budget'!$C$27</f>
        <v>667931</v>
      </c>
      <c r="C28" s="266">
        <f>'Sources and Uses Budget'!$C$27</f>
        <v>667931</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0</v>
      </c>
      <c r="C30" s="266">
        <f>'Sources and Uses Budget'!$C29</f>
        <v>0</v>
      </c>
      <c r="D30" s="270">
        <f t="shared" si="0"/>
        <v>0</v>
      </c>
      <c r="E30" s="268"/>
      <c r="F30" s="267"/>
    </row>
    <row r="31" spans="1:6" s="352" customFormat="1">
      <c r="A31" s="145" t="s">
        <v>599</v>
      </c>
      <c r="B31" s="266">
        <f>'Sources and Uses Budget'!$C30</f>
        <v>0</v>
      </c>
      <c r="C31" s="266">
        <f>'Sources and Uses Budget'!$C30</f>
        <v>0</v>
      </c>
      <c r="D31" s="270">
        <f t="shared" si="0"/>
        <v>0</v>
      </c>
      <c r="E31" s="268"/>
      <c r="F31" s="267"/>
    </row>
    <row r="32" spans="1:6" s="352" customFormat="1">
      <c r="A32" s="145" t="s">
        <v>600</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1629</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0</v>
      </c>
      <c r="C39" s="270">
        <f>SUM(C30:C38)</f>
        <v>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192500</v>
      </c>
      <c r="C41" s="266">
        <f>'Sources and Uses Budget'!$C40</f>
        <v>192500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192500</v>
      </c>
      <c r="C43" s="270">
        <f>SUM(C41:C42)</f>
        <v>192500</v>
      </c>
      <c r="D43" s="270">
        <f t="shared" si="0"/>
        <v>0</v>
      </c>
      <c r="E43" s="268"/>
      <c r="F43" s="267"/>
    </row>
    <row r="44" spans="1:6" s="352" customFormat="1">
      <c r="A44" s="271" t="s">
        <v>148</v>
      </c>
      <c r="B44" s="266">
        <f>'Sources and Uses Budget'!$C43</f>
        <v>14500</v>
      </c>
      <c r="C44" s="266">
        <f>'Sources and Uses Budget'!$C43</f>
        <v>14500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691127</v>
      </c>
      <c r="C46" s="266">
        <f>'Sources and Uses Budget'!$C45</f>
        <v>691127</v>
      </c>
      <c r="D46" s="270">
        <f t="shared" si="0"/>
        <v>0</v>
      </c>
      <c r="E46" s="268"/>
      <c r="F46" s="267"/>
    </row>
    <row r="47" spans="1:6" s="352" customFormat="1">
      <c r="A47" s="145" t="s">
        <v>151</v>
      </c>
      <c r="B47" s="266">
        <f>'Sources and Uses Budget'!$C46</f>
        <v>250000</v>
      </c>
      <c r="C47" s="266">
        <f>'Sources and Uses Budget'!$C46</f>
        <v>250000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40000</v>
      </c>
      <c r="C51" s="266">
        <f>'Sources and Uses Budget'!$C50</f>
        <v>40000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58500</v>
      </c>
      <c r="C53" s="266">
        <f>'Sources and Uses Budget'!$C52</f>
        <v>58500</v>
      </c>
      <c r="D53" s="270">
        <f t="shared" si="0"/>
        <v>0</v>
      </c>
      <c r="E53" s="268"/>
      <c r="F53" s="267"/>
    </row>
    <row r="54" spans="1:6" s="352" customFormat="1">
      <c r="A54" s="155" t="str">
        <f>'Sources and Uses Budget'!A53</f>
        <v>Costs of Issuance</v>
      </c>
      <c r="B54" s="266">
        <f>'Sources and Uses Budget'!$C53</f>
        <v>135800</v>
      </c>
      <c r="C54" s="266">
        <f>'Sources and Uses Budget'!$C53</f>
        <v>135800</v>
      </c>
      <c r="D54" s="270">
        <f t="shared" si="0"/>
        <v>0</v>
      </c>
      <c r="E54" s="268"/>
      <c r="F54" s="267"/>
    </row>
    <row r="55" spans="1:6" s="353" customFormat="1">
      <c r="A55" s="271" t="s">
        <v>157</v>
      </c>
      <c r="B55" s="273">
        <f>SUM(B46:B54)</f>
        <v>1175427</v>
      </c>
      <c r="C55" s="273">
        <f>SUM(C46:C54)</f>
        <v>1175427</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10000</v>
      </c>
      <c r="C57" s="266">
        <f>'Sources and Uses Budget'!$C56</f>
        <v>10000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Costs of Issuance</v>
      </c>
      <c r="B62" s="266">
        <f>'Sources and Uses Budget'!$C61</f>
        <v>229680</v>
      </c>
      <c r="C62" s="266">
        <f>'Sources and Uses Budget'!$C61</f>
        <v>229680</v>
      </c>
      <c r="D62" s="270">
        <f t="shared" si="0"/>
        <v>0</v>
      </c>
      <c r="E62" s="268"/>
      <c r="F62" s="267"/>
    </row>
    <row r="63" spans="1:6" s="352" customFormat="1" ht="13.7" customHeight="1">
      <c r="A63" s="271" t="s">
        <v>301</v>
      </c>
      <c r="B63" s="270">
        <f>SUM(B57:B62)</f>
        <v>239680</v>
      </c>
      <c r="C63" s="270">
        <f>SUM(C57:C62)</f>
        <v>239680</v>
      </c>
      <c r="D63" s="270">
        <f t="shared" si="0"/>
        <v>0</v>
      </c>
      <c r="E63" s="268"/>
      <c r="F63" s="267"/>
    </row>
    <row r="64" spans="1:6" s="352" customFormat="1">
      <c r="A64" s="274" t="s">
        <v>302</v>
      </c>
      <c r="B64" s="270">
        <f>SUM(B9+B12+B14+B15+B17+B26+B28+B39+B43+B44+B55+B63)</f>
        <v>17952182</v>
      </c>
      <c r="C64" s="270">
        <f>SUM(C9+C12+C14+C15+C17+C26+C28+C39+C43+C44+C55+C63)</f>
        <v>17952182</v>
      </c>
      <c r="D64" s="270">
        <f t="shared" si="0"/>
        <v>0</v>
      </c>
      <c r="E64" s="268"/>
      <c r="F64" s="267"/>
    </row>
    <row r="65" spans="1:6" s="352" customFormat="1" ht="24">
      <c r="A65" s="141" t="s">
        <v>1633</v>
      </c>
      <c r="B65" s="264"/>
      <c r="C65" s="264"/>
      <c r="D65" s="264"/>
      <c r="E65" s="282"/>
      <c r="F65" s="264"/>
    </row>
    <row r="66" spans="1:6" s="352" customFormat="1">
      <c r="A66" s="145" t="s">
        <v>171</v>
      </c>
      <c r="B66" s="266">
        <f>'Sources and Uses Budget'!$C65</f>
        <v>60000</v>
      </c>
      <c r="C66" s="266">
        <f>'Sources and Uses Budget'!$C65</f>
        <v>60000</v>
      </c>
      <c r="D66" s="270">
        <f t="shared" si="0"/>
        <v>0</v>
      </c>
      <c r="E66" s="268"/>
      <c r="F66" s="267"/>
    </row>
    <row r="67" spans="1:6" s="352" customFormat="1" ht="24">
      <c r="A67" s="283" t="s">
        <v>1630</v>
      </c>
      <c r="B67" s="266">
        <f>'Sources and Uses Budget'!$C66</f>
        <v>22000</v>
      </c>
      <c r="C67" s="266">
        <f>'Sources and Uses Budget'!$C66</f>
        <v>22000</v>
      </c>
      <c r="D67" s="270"/>
      <c r="E67" s="268"/>
      <c r="F67" s="267"/>
    </row>
    <row r="68" spans="1:6" s="352" customFormat="1" ht="24">
      <c r="A68" s="283" t="s">
        <v>1631</v>
      </c>
      <c r="B68" s="266">
        <f>'Sources and Uses Budget'!$C67</f>
        <v>0</v>
      </c>
      <c r="C68" s="266">
        <f>'Sources and Uses Budget'!$C67</f>
        <v>0</v>
      </c>
      <c r="D68" s="270"/>
      <c r="E68" s="268"/>
      <c r="F68" s="267"/>
    </row>
    <row r="69" spans="1:6" s="352" customFormat="1">
      <c r="A69" s="283" t="s">
        <v>1637</v>
      </c>
      <c r="B69" s="266">
        <f>'Sources and Uses Budget'!$C68</f>
        <v>0</v>
      </c>
      <c r="C69" s="266">
        <f>'Sources and Uses Budget'!$C68</f>
        <v>0</v>
      </c>
      <c r="D69" s="270"/>
      <c r="E69" s="268"/>
      <c r="F69" s="267"/>
    </row>
    <row r="70" spans="1:6" s="352" customFormat="1">
      <c r="A70" s="155" t="str">
        <f>'Sources and Uses Budget'!A69</f>
        <v>Other: Developer Legal</v>
      </c>
      <c r="B70" s="266">
        <f>'Sources and Uses Budget'!$C69</f>
        <v>135000</v>
      </c>
      <c r="C70" s="266">
        <f>'Sources and Uses Budget'!$C69</f>
        <v>135000</v>
      </c>
      <c r="D70" s="270">
        <f t="shared" si="0"/>
        <v>0</v>
      </c>
      <c r="E70" s="268"/>
      <c r="F70" s="267"/>
    </row>
    <row r="71" spans="1:6" s="352" customFormat="1">
      <c r="A71" s="149" t="s">
        <v>1634</v>
      </c>
      <c r="B71" s="270">
        <f>SUM(B66:B70)</f>
        <v>217000</v>
      </c>
      <c r="C71" s="270">
        <f>SUM(C66:C70)</f>
        <v>217000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302717</v>
      </c>
      <c r="C76" s="266">
        <f>'Sources and Uses Budget'!$C75</f>
        <v>302717</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302717</v>
      </c>
      <c r="C78" s="270">
        <f>SUM(C73:C77)</f>
        <v>302717</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936156</v>
      </c>
      <c r="C80" s="266">
        <f>'Sources and Uses Budget'!$C79</f>
        <v>936156</v>
      </c>
      <c r="D80" s="270">
        <f t="shared" si="1"/>
        <v>0</v>
      </c>
      <c r="E80" s="268"/>
      <c r="F80" s="267"/>
    </row>
    <row r="81" spans="1:6" s="352" customFormat="1">
      <c r="A81" s="510" t="s">
        <v>58</v>
      </c>
      <c r="B81" s="266">
        <f>'Sources and Uses Budget'!$C80</f>
        <v>157500</v>
      </c>
      <c r="C81" s="266">
        <f>'Sources and Uses Budget'!$C80</f>
        <v>157500</v>
      </c>
      <c r="D81" s="270">
        <f>C81-B81</f>
        <v>0</v>
      </c>
      <c r="E81" s="268"/>
      <c r="F81" s="267"/>
    </row>
    <row r="82" spans="1:6" s="352" customFormat="1">
      <c r="A82" s="271" t="s">
        <v>1209</v>
      </c>
      <c r="B82" s="270">
        <f>SUM(B80:B81)</f>
        <v>1093656</v>
      </c>
      <c r="C82" s="270">
        <f>SUM(C80:C81)</f>
        <v>1093656</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43093</v>
      </c>
      <c r="C84" s="266">
        <f>'Sources and Uses Budget'!$C83</f>
        <v>43093</v>
      </c>
      <c r="D84" s="270">
        <f t="shared" si="1"/>
        <v>0</v>
      </c>
      <c r="E84" s="268"/>
      <c r="F84" s="267"/>
    </row>
    <row r="85" spans="1:6" s="352" customFormat="1">
      <c r="A85" s="269" t="s">
        <v>767</v>
      </c>
      <c r="B85" s="266">
        <f>'Sources and Uses Budget'!$C84</f>
        <v>85200</v>
      </c>
      <c r="C85" s="266">
        <f>'Sources and Uses Budget'!$C84</f>
        <v>85200</v>
      </c>
      <c r="D85" s="270">
        <f t="shared" si="1"/>
        <v>0</v>
      </c>
      <c r="E85" s="268"/>
      <c r="F85" s="267"/>
    </row>
    <row r="86" spans="1:6" s="352" customFormat="1">
      <c r="A86" s="269" t="s">
        <v>768</v>
      </c>
      <c r="B86" s="266">
        <f>'Sources and Uses Budget'!$C85</f>
        <v>0</v>
      </c>
      <c r="C86" s="266">
        <f>'Sources and Uses Budget'!$C85</f>
        <v>0</v>
      </c>
      <c r="D86" s="270">
        <f t="shared" si="1"/>
        <v>0</v>
      </c>
      <c r="E86" s="268"/>
      <c r="F86" s="267"/>
    </row>
    <row r="87" spans="1:6" s="352" customFormat="1">
      <c r="A87" s="269" t="s">
        <v>769</v>
      </c>
      <c r="B87" s="266">
        <f>'Sources and Uses Budget'!$C86</f>
        <v>0</v>
      </c>
      <c r="C87" s="266">
        <f>'Sources and Uses Budget'!$C86</f>
        <v>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0</v>
      </c>
      <c r="C89" s="266">
        <f>'Sources and Uses Budget'!$C88</f>
        <v>0</v>
      </c>
      <c r="D89" s="270">
        <f t="shared" si="1"/>
        <v>0</v>
      </c>
      <c r="E89" s="268"/>
      <c r="F89" s="267"/>
    </row>
    <row r="90" spans="1:6" s="352" customFormat="1">
      <c r="A90" s="269" t="s">
        <v>772</v>
      </c>
      <c r="B90" s="266">
        <f>'Sources and Uses Budget'!$C89</f>
        <v>75000</v>
      </c>
      <c r="C90" s="266">
        <f>'Sources and Uses Budget'!$C89</f>
        <v>75000</v>
      </c>
      <c r="D90" s="270">
        <f t="shared" si="1"/>
        <v>0</v>
      </c>
      <c r="E90" s="268"/>
      <c r="F90" s="267"/>
    </row>
    <row r="91" spans="1:6" s="352" customFormat="1">
      <c r="A91" s="269" t="s">
        <v>773</v>
      </c>
      <c r="B91" s="266">
        <f>'Sources and Uses Budget'!$C90</f>
        <v>5000</v>
      </c>
      <c r="C91" s="266">
        <f>'Sources and Uses Budget'!$C90</f>
        <v>5000</v>
      </c>
      <c r="D91" s="270">
        <f t="shared" si="1"/>
        <v>0</v>
      </c>
      <c r="E91" s="268"/>
      <c r="F91" s="267"/>
    </row>
    <row r="92" spans="1:6" s="352" customFormat="1">
      <c r="A92" s="269" t="s">
        <v>372</v>
      </c>
      <c r="B92" s="266">
        <f>'Sources and Uses Budget'!$C91</f>
        <v>35000</v>
      </c>
      <c r="C92" s="266">
        <f>'Sources and Uses Budget'!$C91</f>
        <v>35000</v>
      </c>
      <c r="D92" s="270">
        <f t="shared" si="1"/>
        <v>0</v>
      </c>
      <c r="E92" s="268"/>
      <c r="F92" s="267"/>
    </row>
    <row r="93" spans="1:6" s="352" customFormat="1">
      <c r="A93" s="510" t="s">
        <v>1211</v>
      </c>
      <c r="B93" s="266">
        <f>'Sources and Uses Budget'!$C92</f>
        <v>10000</v>
      </c>
      <c r="C93" s="266">
        <f>'Sources and Uses Budget'!$C92</f>
        <v>10000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253293</v>
      </c>
      <c r="C97" s="270">
        <f>SUM(C84:C96)</f>
        <v>253293</v>
      </c>
      <c r="D97" s="270">
        <f t="shared" si="1"/>
        <v>0</v>
      </c>
      <c r="E97" s="268"/>
      <c r="F97" s="267"/>
    </row>
    <row r="98" spans="1:6" s="352" customFormat="1">
      <c r="A98" s="271" t="s">
        <v>775</v>
      </c>
      <c r="B98" s="270">
        <f>SUM(B64+B71+B78+B82+B97)</f>
        <v>19818848</v>
      </c>
      <c r="C98" s="270">
        <f>SUM(C64+C71+C78+C82+C97)</f>
        <v>19818848</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2739118</v>
      </c>
      <c r="C100" s="266">
        <f>'Sources and Uses Budget'!$C99</f>
        <v>2739118</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2739118</v>
      </c>
      <c r="C105" s="270">
        <f>SUM(C100:C104)</f>
        <v>2739118</v>
      </c>
      <c r="D105" s="270">
        <f t="shared" si="1"/>
        <v>0</v>
      </c>
      <c r="E105" s="268"/>
      <c r="F105" s="267"/>
    </row>
    <row r="106" spans="1:6" s="352" customFormat="1">
      <c r="A106" s="271" t="s">
        <v>780</v>
      </c>
      <c r="B106" s="273">
        <f>SUM(B98+B105)</f>
        <v>22557966</v>
      </c>
      <c r="C106" s="273">
        <f>SUM(C98+C105)</f>
        <v>22557966</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282" t="s">
        <v>1843</v>
      </c>
      <c r="B1" s="1283"/>
      <c r="C1" s="1283"/>
      <c r="D1" s="1283"/>
      <c r="E1" s="1283"/>
      <c r="F1" s="1283"/>
      <c r="G1" s="1283"/>
      <c r="H1" s="1283"/>
      <c r="I1" s="1283"/>
      <c r="J1" s="1283"/>
    </row>
    <row r="2" spans="1:10" ht="15">
      <c r="A2" s="1286" t="s">
        <v>1268</v>
      </c>
      <c r="B2" s="1287"/>
      <c r="C2" s="1287"/>
      <c r="D2" s="1287"/>
      <c r="E2" s="1287"/>
      <c r="F2" s="1287"/>
      <c r="G2" s="1287"/>
      <c r="H2" s="1287"/>
      <c r="I2" s="1287"/>
      <c r="J2" s="1287"/>
    </row>
    <row r="3" spans="1:10" ht="12.75"/>
    <row r="4" spans="1:10" ht="12.75" customHeight="1">
      <c r="A4" s="1284" t="s">
        <v>2007</v>
      </c>
      <c r="B4" s="1284"/>
      <c r="C4" s="1284"/>
      <c r="D4" s="1284"/>
      <c r="E4" s="1284"/>
      <c r="F4" s="1284"/>
      <c r="G4" s="1284"/>
      <c r="H4" s="1284"/>
      <c r="I4" s="1284"/>
      <c r="J4" s="1284"/>
    </row>
    <row r="5" spans="1:10" ht="12.75">
      <c r="A5" s="1284"/>
      <c r="B5" s="1284"/>
      <c r="C5" s="1284"/>
      <c r="D5" s="1284"/>
      <c r="E5" s="1284"/>
      <c r="F5" s="1284"/>
      <c r="G5" s="1284"/>
      <c r="H5" s="1284"/>
      <c r="I5" s="1284"/>
      <c r="J5" s="1284"/>
    </row>
    <row r="6" spans="1:10" ht="30" customHeight="1">
      <c r="A6" s="1284"/>
      <c r="B6" s="1284"/>
      <c r="C6" s="1284"/>
      <c r="D6" s="1284"/>
      <c r="E6" s="1284"/>
      <c r="F6" s="1284"/>
      <c r="G6" s="1284"/>
      <c r="H6" s="1284"/>
      <c r="I6" s="1284"/>
      <c r="J6" s="1284"/>
    </row>
    <row r="7" spans="1:10" ht="12.75">
      <c r="A7" s="416"/>
      <c r="B7" s="416"/>
      <c r="C7" s="416"/>
      <c r="D7" s="416"/>
      <c r="E7" s="416"/>
      <c r="F7" s="416"/>
      <c r="G7" s="416"/>
      <c r="H7" s="416"/>
      <c r="I7" s="416"/>
      <c r="J7" s="416"/>
    </row>
    <row r="8" spans="1:10" ht="12.75" customHeight="1">
      <c r="A8" s="402" t="s">
        <v>1846</v>
      </c>
      <c r="B8" s="416"/>
      <c r="C8" s="416"/>
      <c r="D8" s="416"/>
      <c r="E8" s="416"/>
      <c r="F8" s="416"/>
      <c r="G8" s="416"/>
      <c r="H8" s="416"/>
      <c r="I8" s="416"/>
      <c r="J8" s="416"/>
    </row>
    <row r="9" spans="1:10" ht="12.75"/>
    <row r="10" spans="1:10" ht="12.75" customHeight="1">
      <c r="A10" s="1288" t="s">
        <v>1848</v>
      </c>
      <c r="B10" s="1288"/>
      <c r="C10" s="1288"/>
      <c r="D10" s="1288"/>
      <c r="E10" s="1288"/>
      <c r="F10" s="1288"/>
      <c r="G10" s="1288"/>
      <c r="H10" s="1288"/>
      <c r="I10" s="1288"/>
      <c r="J10" s="1288"/>
    </row>
    <row r="11" spans="1:10" ht="12.75">
      <c r="A11" s="1288"/>
      <c r="B11" s="1288"/>
      <c r="C11" s="1288"/>
      <c r="D11" s="1288"/>
      <c r="E11" s="1288"/>
      <c r="F11" s="1288"/>
      <c r="G11" s="1288"/>
      <c r="H11" s="1288"/>
      <c r="I11" s="1288"/>
      <c r="J11" s="1288"/>
    </row>
    <row r="12" spans="1:10" ht="12.75">
      <c r="A12" s="1288"/>
      <c r="B12" s="1288"/>
      <c r="C12" s="1288"/>
      <c r="D12" s="1288"/>
      <c r="E12" s="1288"/>
      <c r="F12" s="1288"/>
      <c r="G12" s="1288"/>
      <c r="H12" s="1288"/>
      <c r="I12" s="1288"/>
      <c r="J12" s="1288"/>
    </row>
    <row r="13" spans="1:10" ht="12.75">
      <c r="A13" s="1288"/>
      <c r="B13" s="1288"/>
      <c r="C13" s="1288"/>
      <c r="D13" s="1288"/>
      <c r="E13" s="1288"/>
      <c r="F13" s="1288"/>
      <c r="G13" s="1288"/>
      <c r="H13" s="1288"/>
      <c r="I13" s="1288"/>
      <c r="J13" s="1288"/>
    </row>
    <row r="14" spans="1:10" ht="12.75">
      <c r="A14" s="1288"/>
      <c r="B14" s="1288"/>
      <c r="C14" s="1288"/>
      <c r="D14" s="1288"/>
      <c r="E14" s="1288"/>
      <c r="F14" s="1288"/>
      <c r="G14" s="1288"/>
      <c r="H14" s="1288"/>
      <c r="I14" s="1288"/>
      <c r="J14" s="1288"/>
    </row>
    <row r="15" spans="1:10" ht="12.75">
      <c r="A15" s="1288"/>
      <c r="B15" s="1288"/>
      <c r="C15" s="1288"/>
      <c r="D15" s="1288"/>
      <c r="E15" s="1288"/>
      <c r="F15" s="1288"/>
      <c r="G15" s="1288"/>
      <c r="H15" s="1288"/>
      <c r="I15" s="1288"/>
      <c r="J15" s="1288"/>
    </row>
    <row r="16" spans="1:10" ht="12.75">
      <c r="A16" s="524"/>
      <c r="B16" s="524"/>
      <c r="C16" s="524"/>
      <c r="D16" s="524"/>
      <c r="E16" s="524"/>
      <c r="F16" s="524"/>
      <c r="G16" s="524"/>
      <c r="H16" s="524"/>
      <c r="I16" s="524"/>
      <c r="J16" s="524"/>
    </row>
    <row r="17" spans="1:10" ht="12.75">
      <c r="A17" s="476" t="s">
        <v>1847</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7" t="s">
        <v>1189</v>
      </c>
      <c r="B19" s="1287"/>
      <c r="C19" s="1287"/>
      <c r="D19" s="1287"/>
      <c r="E19" s="1287"/>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84" t="s">
        <v>1190</v>
      </c>
      <c r="B76" s="1284"/>
      <c r="C76" s="1284"/>
      <c r="D76" s="1284"/>
      <c r="E76" s="1284"/>
      <c r="F76" s="1284"/>
      <c r="G76" s="1284"/>
      <c r="H76" s="1284"/>
      <c r="I76" s="1284"/>
      <c r="J76" s="1284"/>
    </row>
    <row r="77" spans="1:10" ht="12.75">
      <c r="A77" s="1284"/>
      <c r="B77" s="1284"/>
      <c r="C77" s="1284"/>
      <c r="D77" s="1284"/>
      <c r="E77" s="1284"/>
      <c r="F77" s="1284"/>
      <c r="G77" s="1284"/>
      <c r="H77" s="1284"/>
      <c r="I77" s="1284"/>
      <c r="J77" s="1284"/>
    </row>
    <row r="78" spans="1:10" ht="12.75">
      <c r="A78" s="1284"/>
      <c r="B78" s="1284"/>
      <c r="C78" s="1284"/>
      <c r="D78" s="1284"/>
      <c r="E78" s="1284"/>
      <c r="F78" s="1284"/>
      <c r="G78" s="1284"/>
      <c r="H78" s="1284"/>
      <c r="I78" s="1284"/>
      <c r="J78" s="1284"/>
    </row>
    <row r="79" spans="1:10" ht="12.75"/>
    <row r="80" spans="1:10" ht="12.75">
      <c r="A80" s="402" t="s">
        <v>1189</v>
      </c>
    </row>
    <row r="81" spans="1:9" ht="12.75"/>
    <row r="82" spans="1:9" ht="12.75"/>
    <row r="83" spans="1:9" ht="12.75"/>
    <row r="84" spans="1:9" ht="12.75"/>
    <row r="85" spans="1:9" ht="12.75"/>
    <row r="86" spans="1:9" ht="12.75"/>
    <row r="87" spans="1:9" ht="12.75"/>
    <row r="88" spans="1:9" ht="12.75"/>
    <row r="89" spans="1:9" ht="12.75">
      <c r="A89" s="1285" t="s">
        <v>1844</v>
      </c>
      <c r="B89" s="1285"/>
      <c r="C89" s="1285"/>
      <c r="D89" s="1285"/>
      <c r="E89" s="1285"/>
      <c r="F89" s="1285"/>
      <c r="G89" s="1285"/>
      <c r="H89" s="1285"/>
      <c r="I89" s="1285"/>
    </row>
    <row r="90" spans="1:9" ht="12.75">
      <c r="A90" s="1275" t="s">
        <v>2005</v>
      </c>
      <c r="B90" s="1275"/>
      <c r="C90" s="1275"/>
      <c r="D90" s="1275"/>
      <c r="E90" s="1275"/>
    </row>
    <row r="91" spans="1:9" ht="12.75">
      <c r="A91" s="1275" t="s">
        <v>2006</v>
      </c>
      <c r="B91" s="1275"/>
      <c r="C91" s="1275"/>
      <c r="D91" s="1275"/>
      <c r="E91" s="1275"/>
    </row>
    <row r="92" spans="1:9" ht="12.75">
      <c r="A92" s="1275" t="s">
        <v>1845</v>
      </c>
      <c r="B92" s="1275"/>
      <c r="C92" s="1275"/>
      <c r="D92" s="1275"/>
      <c r="E92" s="1275"/>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455" workbookViewId="0">
      <selection activeCell="D435" sqref="D435:F465"/>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290" t="s">
        <v>2607</v>
      </c>
      <c r="B2" s="1290"/>
      <c r="C2" s="1290"/>
      <c r="D2" s="1290"/>
      <c r="E2" s="1290"/>
      <c r="F2" s="1290"/>
      <c r="G2" s="1290"/>
      <c r="H2" s="1290"/>
      <c r="I2" s="1290"/>
    </row>
    <row r="3" spans="1:13">
      <c r="A3" s="1291" t="s">
        <v>2174</v>
      </c>
      <c r="B3" s="1291"/>
      <c r="C3" s="1291"/>
      <c r="D3" s="1291"/>
      <c r="E3" s="1291"/>
      <c r="F3" s="1291"/>
      <c r="G3" s="1291"/>
      <c r="H3" s="1291"/>
      <c r="I3" s="1291"/>
    </row>
    <row r="4" spans="1:13">
      <c r="A4" s="1291"/>
      <c r="B4" s="1291"/>
      <c r="C4" s="1287"/>
      <c r="D4" s="1287"/>
      <c r="E4" s="1287"/>
      <c r="F4" s="1287"/>
      <c r="G4" s="1287"/>
    </row>
    <row r="5" spans="1:13">
      <c r="A5" s="1291"/>
      <c r="B5" s="1291"/>
      <c r="C5" s="1287"/>
      <c r="D5" s="1287"/>
      <c r="E5" s="1287"/>
      <c r="F5" s="1287"/>
      <c r="G5" s="1287"/>
    </row>
    <row r="6" spans="1:13" ht="12.75" customHeight="1">
      <c r="A6" s="1313" t="s">
        <v>2173</v>
      </c>
      <c r="B6" s="1313"/>
      <c r="C6" s="1313"/>
      <c r="D6" s="1313"/>
      <c r="E6" s="1313"/>
      <c r="F6" s="1313"/>
      <c r="G6" s="1313"/>
      <c r="I6" s="490"/>
    </row>
    <row r="7" spans="1:13">
      <c r="A7" s="1313"/>
      <c r="B7" s="1313"/>
      <c r="C7" s="1313"/>
      <c r="D7" s="1313"/>
      <c r="E7" s="1313"/>
      <c r="F7" s="1313"/>
      <c r="G7" s="1313"/>
      <c r="I7" s="490"/>
    </row>
    <row r="8" spans="1:13">
      <c r="A8" s="481"/>
      <c r="B8" s="481"/>
      <c r="C8" s="482"/>
      <c r="D8" s="482"/>
      <c r="E8" s="482"/>
      <c r="F8" s="482"/>
    </row>
    <row r="9" spans="1:13">
      <c r="A9" s="1295" t="s">
        <v>1101</v>
      </c>
      <c r="B9" s="1295"/>
      <c r="C9" s="1295"/>
      <c r="D9" s="1295"/>
      <c r="E9" s="1295"/>
      <c r="F9" s="1295"/>
      <c r="G9" s="1295"/>
      <c r="H9" s="1023"/>
      <c r="I9" s="1024"/>
    </row>
    <row r="10" spans="1:13">
      <c r="A10" s="482"/>
      <c r="B10" s="482"/>
      <c r="E10" s="404"/>
    </row>
    <row r="11" spans="1:13" ht="13.7" customHeight="1">
      <c r="C11" s="482"/>
      <c r="D11" s="1312" t="s">
        <v>1100</v>
      </c>
      <c r="E11" s="1312"/>
      <c r="F11" s="1312"/>
    </row>
    <row r="12" spans="1:13">
      <c r="C12" s="482"/>
      <c r="D12" s="1312"/>
      <c r="E12" s="1312"/>
      <c r="F12" s="1312"/>
    </row>
    <row r="13" spans="1:13">
      <c r="A13" s="483"/>
      <c r="B13" s="483"/>
      <c r="C13" s="483"/>
      <c r="D13" s="1293" t="s">
        <v>1090</v>
      </c>
      <c r="E13" s="1293"/>
      <c r="F13" s="1293"/>
      <c r="M13" s="96"/>
    </row>
    <row r="14" spans="1:13">
      <c r="A14" s="483"/>
      <c r="B14" s="483"/>
      <c r="C14" s="483"/>
      <c r="D14" s="476"/>
      <c r="L14" s="312"/>
    </row>
    <row r="15" spans="1:13" ht="14.25">
      <c r="A15" s="484"/>
      <c r="B15" s="485" t="s">
        <v>2778</v>
      </c>
      <c r="C15" s="483"/>
      <c r="D15" s="1292" t="s">
        <v>1895</v>
      </c>
      <c r="E15" s="1292"/>
      <c r="F15" s="1292"/>
      <c r="I15" s="490"/>
    </row>
    <row r="16" spans="1:13">
      <c r="A16" s="483"/>
      <c r="B16" s="483"/>
      <c r="C16" s="483"/>
      <c r="D16" s="1292"/>
      <c r="E16" s="1292"/>
      <c r="F16" s="1292"/>
      <c r="I16" s="490"/>
    </row>
    <row r="17" spans="1:9">
      <c r="A17" s="483"/>
      <c r="B17" s="483"/>
      <c r="C17" s="483"/>
      <c r="D17" s="1292"/>
      <c r="E17" s="1292"/>
      <c r="F17" s="1292"/>
      <c r="I17" s="490"/>
    </row>
    <row r="18" spans="1:9">
      <c r="A18" s="483"/>
      <c r="B18" s="483"/>
      <c r="C18" s="483"/>
      <c r="D18" s="445"/>
      <c r="E18" s="312" t="s">
        <v>1893</v>
      </c>
      <c r="F18" s="445"/>
      <c r="I18" s="490"/>
    </row>
    <row r="19" spans="1:9">
      <c r="A19" s="483"/>
      <c r="B19" s="483"/>
      <c r="C19" s="483"/>
      <c r="I19" s="490"/>
    </row>
    <row r="20" spans="1:9" ht="14.25">
      <c r="A20" s="484"/>
      <c r="B20" s="485" t="s">
        <v>2778</v>
      </c>
      <c r="D20" s="1292" t="s">
        <v>1896</v>
      </c>
      <c r="E20" s="1292"/>
      <c r="F20" s="1292"/>
      <c r="I20" s="490"/>
    </row>
    <row r="21" spans="1:9" ht="14.25">
      <c r="A21" s="484"/>
      <c r="D21" s="1292"/>
      <c r="E21" s="1292"/>
      <c r="F21" s="1292"/>
      <c r="I21" s="490"/>
    </row>
    <row r="22" spans="1:9" ht="14.25">
      <c r="A22" s="484"/>
      <c r="D22" s="392"/>
      <c r="E22" s="96" t="s">
        <v>1892</v>
      </c>
      <c r="F22" s="392"/>
      <c r="I22" s="490"/>
    </row>
    <row r="23" spans="1:9" ht="14.25">
      <c r="A23" s="484"/>
      <c r="B23" s="484"/>
      <c r="D23" s="446"/>
      <c r="I23" s="490"/>
    </row>
    <row r="24" spans="1:9" ht="14.25">
      <c r="A24" s="484"/>
      <c r="B24" s="485" t="s">
        <v>2779</v>
      </c>
      <c r="D24" s="1292" t="s">
        <v>1091</v>
      </c>
      <c r="E24" s="1292"/>
      <c r="F24" s="1292"/>
      <c r="I24" s="490"/>
    </row>
    <row r="25" spans="1:9" ht="14.25">
      <c r="A25" s="484"/>
      <c r="B25" s="484"/>
      <c r="D25" s="1292"/>
      <c r="E25" s="1292"/>
      <c r="F25" s="1292"/>
      <c r="I25" s="490"/>
    </row>
    <row r="26" spans="1:9">
      <c r="I26" s="490"/>
    </row>
    <row r="27" spans="1:9" ht="14.25">
      <c r="A27" s="484"/>
      <c r="B27" s="485" t="s">
        <v>2778</v>
      </c>
      <c r="D27" s="1292" t="s">
        <v>2008</v>
      </c>
      <c r="E27" s="1292"/>
      <c r="F27" s="1292"/>
      <c r="I27" s="490"/>
    </row>
    <row r="28" spans="1:9">
      <c r="D28" s="1292"/>
      <c r="E28" s="1292"/>
      <c r="F28" s="1292"/>
      <c r="I28" s="490"/>
    </row>
    <row r="29" spans="1:9">
      <c r="D29" s="1292"/>
      <c r="E29" s="1292"/>
      <c r="F29" s="1292"/>
      <c r="I29" s="490"/>
    </row>
    <row r="30" spans="1:9">
      <c r="D30" s="1292"/>
      <c r="E30" s="1292"/>
      <c r="F30" s="1292"/>
      <c r="I30" s="490"/>
    </row>
    <row r="31" spans="1:9">
      <c r="D31" s="1292"/>
      <c r="E31" s="1292"/>
      <c r="F31" s="1292"/>
      <c r="I31" s="490"/>
    </row>
    <row r="32" spans="1:9">
      <c r="D32" s="447"/>
      <c r="I32" s="490"/>
    </row>
    <row r="33" spans="1:9">
      <c r="B33" s="485" t="s">
        <v>2778</v>
      </c>
      <c r="D33" s="1292" t="s">
        <v>2009</v>
      </c>
      <c r="E33" s="1292"/>
      <c r="F33" s="1292"/>
      <c r="I33" s="490"/>
    </row>
    <row r="34" spans="1:9">
      <c r="D34" s="1292"/>
      <c r="E34" s="1292"/>
      <c r="F34" s="1292"/>
      <c r="I34" s="490"/>
    </row>
    <row r="35" spans="1:9" ht="14.25">
      <c r="A35" s="484"/>
      <c r="B35" s="484"/>
      <c r="D35" s="447"/>
      <c r="I35" s="490"/>
    </row>
    <row r="36" spans="1:9" ht="14.45" customHeight="1">
      <c r="A36" s="484"/>
      <c r="B36" s="485" t="s">
        <v>2779</v>
      </c>
      <c r="D36" s="1292" t="s">
        <v>1214</v>
      </c>
      <c r="E36" s="1292"/>
      <c r="F36" s="1292"/>
      <c r="I36" s="490"/>
    </row>
    <row r="37" spans="1:9" ht="14.25">
      <c r="A37" s="484"/>
      <c r="B37" s="484"/>
      <c r="D37" s="1292"/>
      <c r="E37" s="1292"/>
      <c r="F37" s="1292"/>
      <c r="I37" s="490"/>
    </row>
    <row r="38" spans="1:9" ht="14.25">
      <c r="A38" s="484"/>
      <c r="B38" s="484"/>
      <c r="D38" s="1292"/>
      <c r="E38" s="1292"/>
      <c r="F38" s="1292"/>
      <c r="I38" s="490"/>
    </row>
    <row r="39" spans="1:9" ht="14.25">
      <c r="A39" s="484"/>
      <c r="B39" s="484"/>
      <c r="D39" s="1292"/>
      <c r="E39" s="1292"/>
      <c r="F39" s="1292"/>
      <c r="I39" s="490"/>
    </row>
    <row r="40" spans="1:9" ht="14.25">
      <c r="A40" s="484"/>
      <c r="B40" s="484"/>
      <c r="I40" s="490"/>
    </row>
    <row r="41" spans="1:9" ht="14.25">
      <c r="A41" s="484"/>
      <c r="B41" s="485" t="s">
        <v>2779</v>
      </c>
      <c r="D41" s="1292" t="s">
        <v>1092</v>
      </c>
      <c r="E41" s="1292"/>
      <c r="F41" s="1292"/>
      <c r="I41" s="490"/>
    </row>
    <row r="42" spans="1:9" ht="14.25">
      <c r="A42" s="484"/>
      <c r="B42" s="484"/>
      <c r="D42" s="1292"/>
      <c r="E42" s="1292"/>
      <c r="F42" s="1292"/>
      <c r="I42" s="490"/>
    </row>
    <row r="43" spans="1:9" ht="14.25">
      <c r="A43" s="484"/>
      <c r="B43" s="484"/>
      <c r="D43" s="1292"/>
      <c r="E43" s="1292"/>
      <c r="F43" s="1292"/>
      <c r="I43" s="490"/>
    </row>
    <row r="44" spans="1:9" ht="14.25">
      <c r="A44" s="484"/>
      <c r="B44" s="484"/>
      <c r="D44" s="1292"/>
      <c r="E44" s="1292"/>
      <c r="F44" s="1292"/>
      <c r="I44" s="490"/>
    </row>
    <row r="45" spans="1:9" ht="14.25">
      <c r="A45" s="484"/>
      <c r="B45" s="484"/>
      <c r="D45" s="1292"/>
      <c r="E45" s="1292"/>
      <c r="F45" s="1292"/>
      <c r="I45" s="490"/>
    </row>
    <row r="46" spans="1:9" ht="14.25">
      <c r="A46" s="484"/>
      <c r="B46" s="484"/>
      <c r="D46" s="445"/>
      <c r="E46" s="445"/>
      <c r="F46" s="445"/>
      <c r="I46" s="490"/>
    </row>
    <row r="47" spans="1:9" ht="14.25">
      <c r="A47" s="484"/>
      <c r="B47" s="485" t="s">
        <v>2779</v>
      </c>
      <c r="D47" s="1292" t="s">
        <v>1093</v>
      </c>
      <c r="E47" s="1292"/>
      <c r="F47" s="1292"/>
      <c r="I47" s="490"/>
    </row>
    <row r="48" spans="1:9" ht="14.25">
      <c r="A48" s="484"/>
      <c r="B48" s="484"/>
      <c r="D48" s="1292"/>
      <c r="E48" s="1292"/>
      <c r="F48" s="1292"/>
      <c r="I48" s="490"/>
    </row>
    <row r="49" spans="1:9" ht="14.25">
      <c r="A49" s="484"/>
      <c r="B49" s="484"/>
      <c r="D49" s="1292"/>
      <c r="E49" s="1292"/>
      <c r="F49" s="1292"/>
      <c r="I49" s="490"/>
    </row>
    <row r="50" spans="1:9" ht="23.25" customHeight="1">
      <c r="A50" s="484"/>
      <c r="B50" s="484"/>
      <c r="D50" s="1292"/>
      <c r="E50" s="1292"/>
      <c r="F50" s="1292"/>
      <c r="I50" s="490"/>
    </row>
    <row r="51" spans="1:9" ht="14.25">
      <c r="A51" s="484"/>
      <c r="B51" s="484"/>
      <c r="D51" s="446"/>
      <c r="I51" s="490"/>
    </row>
    <row r="52" spans="1:9" ht="14.45" customHeight="1">
      <c r="A52" s="484"/>
      <c r="B52" s="485" t="s">
        <v>2779</v>
      </c>
      <c r="D52" s="1292" t="s">
        <v>1094</v>
      </c>
      <c r="E52" s="1292"/>
      <c r="F52" s="1292"/>
      <c r="I52" s="490"/>
    </row>
    <row r="53" spans="1:9" ht="14.25">
      <c r="A53" s="484"/>
      <c r="B53" s="484"/>
      <c r="D53" s="1292"/>
      <c r="E53" s="1292"/>
      <c r="F53" s="1292"/>
      <c r="I53" s="490"/>
    </row>
    <row r="54" spans="1:9" ht="14.25">
      <c r="A54" s="484"/>
      <c r="B54" s="484"/>
      <c r="D54" s="1292"/>
      <c r="E54" s="1292"/>
      <c r="F54" s="1292"/>
      <c r="I54" s="490"/>
    </row>
    <row r="55" spans="1:9" ht="14.25">
      <c r="A55" s="484"/>
      <c r="B55" s="484"/>
      <c r="I55" s="490"/>
    </row>
    <row r="56" spans="1:9" ht="14.25">
      <c r="A56" s="484"/>
      <c r="B56" s="485" t="s">
        <v>2778</v>
      </c>
      <c r="D56" s="1314" t="s">
        <v>1095</v>
      </c>
      <c r="E56" s="1314"/>
      <c r="F56" s="1314"/>
      <c r="I56" s="490"/>
    </row>
    <row r="57" spans="1:9" ht="14.25">
      <c r="A57" s="484"/>
      <c r="B57" s="484"/>
      <c r="D57" s="1314"/>
      <c r="E57" s="1314"/>
      <c r="F57" s="1314"/>
      <c r="I57" s="490"/>
    </row>
    <row r="58" spans="1:9" ht="14.25">
      <c r="A58" s="484"/>
      <c r="B58" s="484"/>
      <c r="D58" s="392" t="s">
        <v>1894</v>
      </c>
      <c r="E58" s="445"/>
      <c r="F58" s="445"/>
      <c r="I58" s="490"/>
    </row>
    <row r="59" spans="1:9" ht="14.25">
      <c r="A59" s="484"/>
      <c r="B59" s="484"/>
      <c r="D59" s="445"/>
      <c r="E59" s="312" t="s">
        <v>1893</v>
      </c>
      <c r="F59" s="445"/>
      <c r="I59" s="490"/>
    </row>
    <row r="60" spans="1:9">
      <c r="D60" s="447"/>
      <c r="I60" s="490"/>
    </row>
    <row r="61" spans="1:9" ht="14.25">
      <c r="A61" s="484"/>
      <c r="B61" s="485" t="s">
        <v>2779</v>
      </c>
      <c r="D61" s="1292" t="s">
        <v>1096</v>
      </c>
      <c r="E61" s="1292"/>
      <c r="F61" s="1292"/>
      <c r="I61" s="490"/>
    </row>
    <row r="62" spans="1:9">
      <c r="D62" s="1292"/>
      <c r="E62" s="1292"/>
      <c r="F62" s="1292"/>
      <c r="I62" s="490"/>
    </row>
    <row r="63" spans="1:9">
      <c r="D63" s="1292"/>
      <c r="E63" s="1292"/>
      <c r="F63" s="1292"/>
      <c r="I63" s="490"/>
    </row>
    <row r="64" spans="1:9">
      <c r="I64" s="490"/>
    </row>
    <row r="65" spans="1:9" ht="14.25">
      <c r="A65" s="484"/>
      <c r="B65" s="485" t="s">
        <v>2779</v>
      </c>
      <c r="D65" s="1292" t="s">
        <v>1097</v>
      </c>
      <c r="E65" s="1292"/>
      <c r="F65" s="1292"/>
      <c r="I65" s="490"/>
    </row>
    <row r="66" spans="1:9">
      <c r="D66" s="1292"/>
      <c r="E66" s="1292"/>
      <c r="F66" s="1292"/>
      <c r="I66" s="490"/>
    </row>
    <row r="67" spans="1:9">
      <c r="I67" s="490"/>
    </row>
    <row r="68" spans="1:9" ht="14.25">
      <c r="A68" s="484"/>
      <c r="B68" s="485" t="s">
        <v>2778</v>
      </c>
      <c r="D68" s="1292" t="s">
        <v>1098</v>
      </c>
      <c r="E68" s="1292"/>
      <c r="F68" s="1292"/>
      <c r="I68" s="490"/>
    </row>
    <row r="69" spans="1:9">
      <c r="D69" s="1292"/>
      <c r="E69" s="1292"/>
      <c r="F69" s="1292"/>
      <c r="I69" s="490"/>
    </row>
    <row r="70" spans="1:9">
      <c r="D70" s="1292"/>
      <c r="E70" s="1292"/>
      <c r="F70" s="1292"/>
      <c r="I70" s="490"/>
    </row>
    <row r="71" spans="1:9">
      <c r="I71" s="490"/>
    </row>
    <row r="72" spans="1:9" ht="14.25">
      <c r="A72" s="484"/>
      <c r="B72" s="485" t="s">
        <v>2779</v>
      </c>
      <c r="D72" s="1292" t="s">
        <v>1099</v>
      </c>
      <c r="E72" s="1292"/>
      <c r="F72" s="1292"/>
      <c r="I72" s="490"/>
    </row>
    <row r="73" spans="1:9">
      <c r="D73" s="1292"/>
      <c r="E73" s="1292"/>
      <c r="F73" s="1292"/>
      <c r="I73" s="490"/>
    </row>
    <row r="74" spans="1:9" ht="14.25">
      <c r="A74" s="484"/>
      <c r="B74" s="484"/>
      <c r="D74" s="446"/>
      <c r="I74" s="490"/>
    </row>
    <row r="75" spans="1:9">
      <c r="A75" s="1295" t="s">
        <v>1044</v>
      </c>
      <c r="B75" s="1295"/>
      <c r="C75" s="1295"/>
      <c r="D75" s="1295"/>
      <c r="E75" s="1295"/>
      <c r="F75" s="1295"/>
      <c r="G75" s="1295"/>
      <c r="H75" s="1023"/>
      <c r="I75" s="1147"/>
    </row>
    <row r="76" spans="1:9">
      <c r="I76" s="490"/>
    </row>
    <row r="77" spans="1:9">
      <c r="C77" s="486"/>
      <c r="D77" s="1294" t="s">
        <v>1102</v>
      </c>
      <c r="E77" s="1294"/>
      <c r="F77" s="1294"/>
      <c r="I77" s="490"/>
    </row>
    <row r="78" spans="1:9">
      <c r="A78" s="446"/>
      <c r="B78" s="446"/>
      <c r="D78" s="1292" t="s">
        <v>1117</v>
      </c>
      <c r="E78" s="1292"/>
      <c r="F78" s="1292"/>
      <c r="I78" s="490"/>
    </row>
    <row r="79" spans="1:9">
      <c r="A79" s="446"/>
      <c r="B79" s="446"/>
      <c r="I79" s="490"/>
    </row>
    <row r="80" spans="1:9" ht="13.7" customHeight="1">
      <c r="A80" s="484"/>
      <c r="B80" s="485" t="s">
        <v>2778</v>
      </c>
      <c r="D80" s="1292" t="s">
        <v>1245</v>
      </c>
      <c r="E80" s="1292"/>
      <c r="F80" s="1292"/>
      <c r="I80" s="490"/>
    </row>
    <row r="81" spans="1:9" ht="14.25">
      <c r="A81" s="484"/>
      <c r="B81" s="484"/>
      <c r="D81" s="1292"/>
      <c r="E81" s="1292"/>
      <c r="F81" s="1292"/>
      <c r="I81" s="490"/>
    </row>
    <row r="82" spans="1:9" ht="14.25">
      <c r="A82" s="484"/>
      <c r="B82" s="484"/>
      <c r="D82" s="1292"/>
      <c r="E82" s="1292"/>
      <c r="F82" s="1292"/>
      <c r="I82" s="490"/>
    </row>
    <row r="83" spans="1:9" ht="14.25">
      <c r="A83" s="484"/>
      <c r="B83" s="484"/>
      <c r="D83" s="1292"/>
      <c r="E83" s="1292"/>
      <c r="F83" s="1292"/>
      <c r="I83" s="490"/>
    </row>
    <row r="84" spans="1:9" ht="14.25">
      <c r="A84" s="484"/>
      <c r="B84" s="484"/>
      <c r="D84" s="1292"/>
      <c r="E84" s="1292"/>
      <c r="F84" s="1292"/>
      <c r="I84" s="490"/>
    </row>
    <row r="85" spans="1:9" ht="14.25">
      <c r="A85" s="484"/>
      <c r="B85" s="484"/>
      <c r="D85" s="1292"/>
      <c r="E85" s="1292"/>
      <c r="F85" s="1292"/>
      <c r="I85" s="490"/>
    </row>
    <row r="86" spans="1:9" ht="14.25">
      <c r="A86" s="484"/>
      <c r="B86" s="484"/>
      <c r="D86" s="1292"/>
      <c r="E86" s="1292"/>
      <c r="F86" s="1292"/>
      <c r="I86" s="490"/>
    </row>
    <row r="87" spans="1:9" ht="14.25">
      <c r="A87" s="484"/>
      <c r="B87" s="484"/>
      <c r="D87" s="1292"/>
      <c r="E87" s="1292"/>
      <c r="F87" s="1292"/>
      <c r="I87" s="490"/>
    </row>
    <row r="88" spans="1:9" ht="14.25">
      <c r="A88" s="484"/>
      <c r="B88" s="484"/>
      <c r="D88" s="385"/>
      <c r="E88" s="385"/>
      <c r="F88" s="385"/>
      <c r="I88" s="490"/>
    </row>
    <row r="89" spans="1:9" ht="15" customHeight="1">
      <c r="A89" s="484"/>
      <c r="B89" s="485" t="s">
        <v>2778</v>
      </c>
      <c r="D89" s="1292" t="s">
        <v>1731</v>
      </c>
      <c r="E89" s="1292"/>
      <c r="F89" s="1292"/>
      <c r="I89" s="490"/>
    </row>
    <row r="90" spans="1:9" ht="14.25">
      <c r="A90" s="484"/>
      <c r="B90" s="484"/>
      <c r="D90" s="1292"/>
      <c r="E90" s="1292"/>
      <c r="F90" s="1292"/>
      <c r="I90" s="490"/>
    </row>
    <row r="91" spans="1:9" ht="14.25">
      <c r="A91" s="484"/>
      <c r="B91" s="484"/>
      <c r="D91" s="445"/>
      <c r="E91" s="445"/>
      <c r="F91" s="445"/>
      <c r="I91" s="490"/>
    </row>
    <row r="92" spans="1:9" ht="14.25">
      <c r="A92" s="484"/>
      <c r="B92" s="485" t="s">
        <v>2778</v>
      </c>
      <c r="D92" s="1292" t="s">
        <v>1734</v>
      </c>
      <c r="E92" s="1292"/>
      <c r="F92" s="1292"/>
      <c r="I92" s="490"/>
    </row>
    <row r="93" spans="1:9" ht="14.25">
      <c r="A93" s="484"/>
      <c r="B93" s="484"/>
      <c r="D93" s="1292"/>
      <c r="E93" s="1292"/>
      <c r="F93" s="1292"/>
      <c r="I93" s="490"/>
    </row>
    <row r="94" spans="1:9" ht="14.25">
      <c r="A94" s="484"/>
      <c r="B94" s="484"/>
      <c r="D94" s="1292"/>
      <c r="E94" s="1292"/>
      <c r="F94" s="1292"/>
      <c r="I94" s="490"/>
    </row>
    <row r="95" spans="1:9" ht="14.25">
      <c r="A95" s="484"/>
      <c r="B95" s="484"/>
      <c r="D95" s="445"/>
      <c r="E95" s="445"/>
      <c r="F95" s="445"/>
      <c r="I95" s="490"/>
    </row>
    <row r="96" spans="1:9" ht="14.25">
      <c r="A96" s="484"/>
      <c r="B96" s="485" t="s">
        <v>2778</v>
      </c>
      <c r="D96" s="1292" t="s">
        <v>1733</v>
      </c>
      <c r="E96" s="1292"/>
      <c r="F96" s="1292"/>
      <c r="I96" s="490"/>
    </row>
    <row r="97" spans="1:9" s="982" customFormat="1" ht="14.25">
      <c r="A97" s="980"/>
      <c r="B97" s="980"/>
      <c r="C97" s="981"/>
      <c r="D97" s="1292"/>
      <c r="E97" s="1292"/>
      <c r="F97" s="1292"/>
      <c r="I97" s="1148"/>
    </row>
    <row r="98" spans="1:9" ht="14.25">
      <c r="A98" s="484"/>
      <c r="B98" s="484"/>
      <c r="D98" s="392"/>
      <c r="E98" s="312" t="s">
        <v>1897</v>
      </c>
      <c r="F98" s="445"/>
      <c r="I98" s="490"/>
    </row>
    <row r="99" spans="1:9" ht="14.25">
      <c r="A99" s="484"/>
      <c r="B99" s="484"/>
      <c r="D99" s="385"/>
      <c r="E99" s="385"/>
      <c r="F99" s="385"/>
      <c r="I99" s="490"/>
    </row>
    <row r="100" spans="1:9" ht="14.25">
      <c r="A100" s="484"/>
      <c r="B100" s="485" t="s">
        <v>2779</v>
      </c>
      <c r="D100" s="1292" t="s">
        <v>1732</v>
      </c>
      <c r="E100" s="1292"/>
      <c r="F100" s="1292"/>
      <c r="I100" s="490"/>
    </row>
    <row r="101" spans="1:9" ht="14.25">
      <c r="A101" s="484"/>
      <c r="B101" s="484"/>
      <c r="D101" s="1292"/>
      <c r="E101" s="1292"/>
      <c r="F101" s="1292"/>
      <c r="I101" s="490"/>
    </row>
    <row r="102" spans="1:9" ht="14.25">
      <c r="A102" s="484"/>
      <c r="B102" s="484"/>
      <c r="D102" s="445"/>
      <c r="E102" s="445"/>
      <c r="F102" s="445"/>
      <c r="I102" s="490"/>
    </row>
    <row r="103" spans="1:9" ht="14.45" customHeight="1">
      <c r="A103" s="484"/>
      <c r="B103" s="485" t="s">
        <v>2779</v>
      </c>
      <c r="D103" s="1292" t="s">
        <v>1194</v>
      </c>
      <c r="E103" s="1292"/>
      <c r="F103" s="1292"/>
      <c r="I103" s="490"/>
    </row>
    <row r="104" spans="1:9" ht="14.25">
      <c r="A104" s="484"/>
      <c r="B104" s="484"/>
      <c r="D104" s="1292"/>
      <c r="E104" s="1292"/>
      <c r="F104" s="1292"/>
      <c r="I104" s="490"/>
    </row>
    <row r="105" spans="1:9" ht="14.25">
      <c r="A105" s="484"/>
      <c r="B105" s="484"/>
      <c r="D105" s="1292"/>
      <c r="E105" s="1292"/>
      <c r="F105" s="1292"/>
      <c r="I105" s="490"/>
    </row>
    <row r="106" spans="1:9" ht="14.25">
      <c r="A106" s="484"/>
      <c r="B106" s="484"/>
      <c r="D106" s="1292"/>
      <c r="E106" s="1292"/>
      <c r="F106" s="1292"/>
      <c r="I106" s="490"/>
    </row>
    <row r="107" spans="1:9" ht="14.25">
      <c r="A107" s="484"/>
      <c r="B107" s="484"/>
      <c r="D107" s="1292"/>
      <c r="E107" s="1292"/>
      <c r="F107" s="1292"/>
      <c r="I107" s="490"/>
    </row>
    <row r="108" spans="1:9" ht="14.25">
      <c r="A108" s="484"/>
      <c r="B108" s="484"/>
      <c r="D108" s="1292"/>
      <c r="E108" s="1292"/>
      <c r="F108" s="1292"/>
      <c r="I108" s="490"/>
    </row>
    <row r="109" spans="1:9" ht="14.25">
      <c r="A109" s="484"/>
      <c r="B109" s="484"/>
      <c r="D109" s="1292"/>
      <c r="E109" s="1292"/>
      <c r="F109" s="1292"/>
      <c r="I109" s="490"/>
    </row>
    <row r="110" spans="1:9" ht="14.25">
      <c r="A110" s="484"/>
      <c r="B110" s="484"/>
      <c r="D110" s="1292"/>
      <c r="E110" s="1292"/>
      <c r="F110" s="1292"/>
      <c r="I110" s="490"/>
    </row>
    <row r="111" spans="1:9" ht="14.25">
      <c r="A111" s="484"/>
      <c r="B111" s="484"/>
      <c r="D111" s="1292"/>
      <c r="E111" s="1292"/>
      <c r="F111" s="1292"/>
      <c r="I111" s="490"/>
    </row>
    <row r="112" spans="1:9" ht="14.25">
      <c r="A112" s="484"/>
      <c r="B112" s="484"/>
      <c r="D112" s="1292"/>
      <c r="E112" s="1292"/>
      <c r="F112" s="1292"/>
      <c r="I112" s="490"/>
    </row>
    <row r="113" spans="1:9" ht="14.25">
      <c r="A113" s="484"/>
      <c r="B113" s="484"/>
      <c r="D113" s="1292"/>
      <c r="E113" s="1292"/>
      <c r="F113" s="1292"/>
      <c r="I113" s="490"/>
    </row>
    <row r="114" spans="1:9" ht="14.25">
      <c r="A114" s="484"/>
      <c r="B114" s="484"/>
      <c r="D114" s="1292"/>
      <c r="E114" s="1292"/>
      <c r="F114" s="1292"/>
      <c r="I114" s="490"/>
    </row>
    <row r="115" spans="1:9" ht="14.25">
      <c r="A115" s="484"/>
      <c r="B115" s="484"/>
      <c r="D115" s="1292"/>
      <c r="E115" s="1292"/>
      <c r="F115" s="1292"/>
      <c r="I115" s="490"/>
    </row>
    <row r="116" spans="1:9" ht="14.25">
      <c r="A116" s="484"/>
      <c r="B116" s="484"/>
      <c r="D116" s="1292"/>
      <c r="E116" s="1292"/>
      <c r="F116" s="1292"/>
      <c r="I116" s="490"/>
    </row>
    <row r="117" spans="1:9" ht="14.25">
      <c r="A117" s="484"/>
      <c r="B117" s="484"/>
      <c r="D117" s="1292"/>
      <c r="E117" s="1292"/>
      <c r="F117" s="1292"/>
      <c r="I117" s="490"/>
    </row>
    <row r="118" spans="1:9" ht="14.25">
      <c r="A118" s="484"/>
      <c r="B118" s="484"/>
      <c r="D118" s="524"/>
      <c r="E118" s="524"/>
      <c r="F118" s="524"/>
      <c r="I118" s="490"/>
    </row>
    <row r="119" spans="1:9" ht="14.25" customHeight="1">
      <c r="A119" s="484"/>
      <c r="B119" s="485" t="s">
        <v>2779</v>
      </c>
      <c r="D119" s="1310" t="s">
        <v>1103</v>
      </c>
      <c r="E119" s="1310"/>
      <c r="F119" s="1310"/>
      <c r="I119" s="490"/>
    </row>
    <row r="120" spans="1:9" ht="14.25">
      <c r="A120" s="484"/>
      <c r="B120" s="484"/>
      <c r="D120" s="1310"/>
      <c r="E120" s="1310"/>
      <c r="F120" s="1310"/>
      <c r="I120" s="490"/>
    </row>
    <row r="121" spans="1:9" ht="14.25">
      <c r="A121" s="484"/>
      <c r="B121" s="484"/>
      <c r="D121" s="1310"/>
      <c r="E121" s="1310"/>
      <c r="F121" s="1310"/>
      <c r="I121" s="490"/>
    </row>
    <row r="122" spans="1:9" ht="14.25">
      <c r="A122" s="484"/>
      <c r="B122" s="484"/>
      <c r="D122" s="1310"/>
      <c r="E122" s="1310"/>
      <c r="F122" s="1310"/>
      <c r="I122" s="490"/>
    </row>
    <row r="123" spans="1:9" ht="14.25">
      <c r="A123" s="484"/>
      <c r="B123" s="484"/>
      <c r="D123" s="1310"/>
      <c r="E123" s="1310"/>
      <c r="F123" s="1310"/>
      <c r="I123" s="490"/>
    </row>
    <row r="124" spans="1:9" ht="14.25">
      <c r="A124" s="484"/>
      <c r="B124" s="484"/>
      <c r="D124" s="1310"/>
      <c r="E124" s="1310"/>
      <c r="F124" s="1310"/>
      <c r="I124" s="490"/>
    </row>
    <row r="125" spans="1:9" ht="14.25">
      <c r="A125" s="484"/>
      <c r="B125" s="484"/>
      <c r="D125" s="1310"/>
      <c r="E125" s="1310"/>
      <c r="F125" s="1310"/>
      <c r="I125" s="490"/>
    </row>
    <row r="126" spans="1:9" ht="14.25">
      <c r="A126" s="484"/>
      <c r="B126" s="484"/>
      <c r="D126" s="1310"/>
      <c r="E126" s="1310"/>
      <c r="F126" s="1310"/>
      <c r="I126" s="490"/>
    </row>
    <row r="127" spans="1:9">
      <c r="C127" s="402"/>
      <c r="D127" s="525"/>
      <c r="E127" s="525"/>
      <c r="F127" s="525"/>
      <c r="I127" s="490"/>
    </row>
    <row r="128" spans="1:9" ht="14.25">
      <c r="A128" s="484"/>
      <c r="B128" s="485" t="s">
        <v>2778</v>
      </c>
      <c r="C128" s="402"/>
      <c r="D128" s="1310" t="s">
        <v>2010</v>
      </c>
      <c r="E128" s="1310"/>
      <c r="F128" s="1310"/>
      <c r="I128" s="490"/>
    </row>
    <row r="129" spans="1:9" ht="14.25">
      <c r="A129" s="484"/>
      <c r="B129" s="484"/>
      <c r="C129" s="402"/>
      <c r="D129" s="1310"/>
      <c r="E129" s="1310"/>
      <c r="F129" s="1310"/>
      <c r="I129" s="490"/>
    </row>
    <row r="130" spans="1:9">
      <c r="I130" s="490"/>
    </row>
    <row r="131" spans="1:9" ht="14.25">
      <c r="A131" s="484"/>
      <c r="B131" s="485" t="s">
        <v>2779</v>
      </c>
      <c r="D131" s="1292" t="s">
        <v>1104</v>
      </c>
      <c r="E131" s="1292"/>
      <c r="F131" s="1292"/>
      <c r="I131" s="490"/>
    </row>
    <row r="132" spans="1:9">
      <c r="D132" s="1292"/>
      <c r="E132" s="1292"/>
      <c r="F132" s="1292"/>
      <c r="I132" s="490"/>
    </row>
    <row r="133" spans="1:9">
      <c r="D133" s="1292"/>
      <c r="E133" s="1292"/>
      <c r="F133" s="1292"/>
      <c r="I133" s="490"/>
    </row>
    <row r="134" spans="1:9">
      <c r="D134" s="1292"/>
      <c r="E134" s="1292"/>
      <c r="F134" s="1292"/>
      <c r="I134" s="490"/>
    </row>
    <row r="135" spans="1:9">
      <c r="D135" s="1292"/>
      <c r="E135" s="1292"/>
      <c r="F135" s="1292"/>
      <c r="I135" s="490"/>
    </row>
    <row r="136" spans="1:9">
      <c r="I136" s="490"/>
    </row>
    <row r="137" spans="1:9" ht="14.25">
      <c r="A137" s="484"/>
      <c r="B137" s="485" t="s">
        <v>2778</v>
      </c>
      <c r="D137" s="1292" t="s">
        <v>1105</v>
      </c>
      <c r="E137" s="1292"/>
      <c r="F137" s="1292"/>
      <c r="I137" s="490"/>
    </row>
    <row r="138" spans="1:9" s="417" customFormat="1" ht="13.7" customHeight="1">
      <c r="A138" s="488"/>
      <c r="B138" s="488"/>
      <c r="C138" s="488"/>
      <c r="D138" s="1292"/>
      <c r="E138" s="1292"/>
      <c r="F138" s="1292"/>
      <c r="I138" s="1149"/>
    </row>
    <row r="139" spans="1:9" ht="13.7" customHeight="1">
      <c r="D139" s="1292"/>
      <c r="E139" s="1292"/>
      <c r="F139" s="1292"/>
      <c r="I139" s="490"/>
    </row>
    <row r="140" spans="1:9" ht="13.7" customHeight="1">
      <c r="D140" s="1292"/>
      <c r="E140" s="1292"/>
      <c r="F140" s="1292"/>
      <c r="I140" s="490"/>
    </row>
    <row r="141" spans="1:9" ht="13.7" customHeight="1">
      <c r="D141" s="1292"/>
      <c r="E141" s="1292"/>
      <c r="F141" s="1292"/>
      <c r="I141" s="490"/>
    </row>
    <row r="142" spans="1:9" ht="13.7" customHeight="1">
      <c r="A142" s="489"/>
      <c r="B142" s="489"/>
      <c r="D142" s="1292"/>
      <c r="E142" s="1292"/>
      <c r="F142" s="1292"/>
      <c r="I142" s="490"/>
    </row>
    <row r="143" spans="1:9" ht="13.7" customHeight="1">
      <c r="D143" s="1292"/>
      <c r="E143" s="1292"/>
      <c r="F143" s="1292"/>
      <c r="I143" s="490"/>
    </row>
    <row r="144" spans="1:9" ht="13.7" customHeight="1">
      <c r="D144" s="1292"/>
      <c r="E144" s="1292"/>
      <c r="F144" s="1292"/>
      <c r="I144" s="490"/>
    </row>
    <row r="145" spans="2:9" ht="13.7" customHeight="1">
      <c r="D145" s="1292"/>
      <c r="E145" s="1292"/>
      <c r="F145" s="1292"/>
      <c r="I145" s="490"/>
    </row>
    <row r="146" spans="2:9" ht="13.7" customHeight="1">
      <c r="D146" s="1292"/>
      <c r="E146" s="1292"/>
      <c r="F146" s="1292"/>
      <c r="I146" s="490"/>
    </row>
    <row r="147" spans="2:9" ht="13.7" customHeight="1">
      <c r="D147" s="1292"/>
      <c r="E147" s="1292"/>
      <c r="F147" s="1292"/>
      <c r="I147" s="490"/>
    </row>
    <row r="148" spans="2:9" ht="13.7" customHeight="1">
      <c r="D148" s="1292"/>
      <c r="E148" s="1292"/>
      <c r="F148" s="1292"/>
      <c r="I148" s="490"/>
    </row>
    <row r="149" spans="2:9" ht="13.7" customHeight="1">
      <c r="D149" s="1292"/>
      <c r="E149" s="1292"/>
      <c r="F149" s="1292"/>
      <c r="I149" s="490"/>
    </row>
    <row r="150" spans="2:9" ht="13.7" customHeight="1">
      <c r="D150" s="476"/>
      <c r="E150" s="446"/>
      <c r="F150" s="446"/>
      <c r="I150" s="490"/>
    </row>
    <row r="151" spans="2:9" ht="13.7" customHeight="1">
      <c r="B151" s="485" t="s">
        <v>2779</v>
      </c>
      <c r="D151" s="1292" t="s">
        <v>1177</v>
      </c>
      <c r="E151" s="1292"/>
      <c r="F151" s="1292"/>
      <c r="I151" s="490"/>
    </row>
    <row r="152" spans="2:9" ht="13.7" customHeight="1">
      <c r="D152" s="1292"/>
      <c r="E152" s="1292"/>
      <c r="F152" s="1292"/>
      <c r="I152" s="490"/>
    </row>
    <row r="153" spans="2:9" ht="13.7" customHeight="1">
      <c r="D153" s="1292"/>
      <c r="E153" s="1292"/>
      <c r="F153" s="1292"/>
      <c r="I153" s="490"/>
    </row>
    <row r="154" spans="2:9" ht="13.7" customHeight="1">
      <c r="D154" s="1292"/>
      <c r="E154" s="1292"/>
      <c r="F154" s="1292"/>
      <c r="I154" s="490"/>
    </row>
    <row r="155" spans="2:9" ht="13.7" customHeight="1">
      <c r="D155" s="1292"/>
      <c r="E155" s="1292"/>
      <c r="F155" s="1292"/>
      <c r="I155" s="490"/>
    </row>
    <row r="156" spans="2:9" ht="13.7" customHeight="1">
      <c r="D156" s="1292"/>
      <c r="E156" s="1292"/>
      <c r="F156" s="1292"/>
      <c r="I156" s="490"/>
    </row>
    <row r="157" spans="2:9" ht="13.7" customHeight="1">
      <c r="D157" s="1292"/>
      <c r="E157" s="1292"/>
      <c r="F157" s="1292"/>
      <c r="I157" s="490"/>
    </row>
    <row r="158" spans="2:9" ht="13.7" customHeight="1">
      <c r="D158" s="1292"/>
      <c r="E158" s="1292"/>
      <c r="F158" s="1292"/>
      <c r="I158" s="490"/>
    </row>
    <row r="159" spans="2:9" ht="13.7" customHeight="1">
      <c r="D159" s="1292"/>
      <c r="E159" s="1292"/>
      <c r="F159" s="1292"/>
      <c r="I159" s="490"/>
    </row>
    <row r="160" spans="2:9" ht="13.7" customHeight="1">
      <c r="D160" s="1292"/>
      <c r="E160" s="1292"/>
      <c r="F160" s="1292"/>
      <c r="I160" s="490"/>
    </row>
    <row r="161" spans="1:9" ht="13.7" customHeight="1">
      <c r="D161" s="1292"/>
      <c r="E161" s="1292"/>
      <c r="F161" s="1292"/>
      <c r="I161" s="490"/>
    </row>
    <row r="162" spans="1:9" ht="13.7" customHeight="1">
      <c r="D162" s="1292"/>
      <c r="E162" s="1292"/>
      <c r="F162" s="1292"/>
      <c r="I162" s="490"/>
    </row>
    <row r="163" spans="1:9" ht="13.7" customHeight="1">
      <c r="D163" s="1292"/>
      <c r="E163" s="1292"/>
      <c r="F163" s="1292"/>
      <c r="I163" s="490"/>
    </row>
    <row r="164" spans="1:9" ht="13.7" customHeight="1">
      <c r="D164" s="1292"/>
      <c r="E164" s="1292"/>
      <c r="F164" s="1292"/>
      <c r="I164" s="490"/>
    </row>
    <row r="165" spans="1:9" ht="13.7" customHeight="1">
      <c r="D165" s="1292"/>
      <c r="E165" s="1292"/>
      <c r="F165" s="1292"/>
      <c r="I165" s="490"/>
    </row>
    <row r="166" spans="1:9" ht="13.7" customHeight="1">
      <c r="D166" s="1292"/>
      <c r="E166" s="1292"/>
      <c r="F166" s="1292"/>
      <c r="I166" s="490"/>
    </row>
    <row r="167" spans="1:9" ht="13.7" customHeight="1">
      <c r="D167" s="1292"/>
      <c r="E167" s="1292"/>
      <c r="F167" s="1292"/>
      <c r="I167" s="490"/>
    </row>
    <row r="168" spans="1:9" ht="13.7" customHeight="1">
      <c r="D168" s="1292"/>
      <c r="E168" s="1292"/>
      <c r="F168" s="1292"/>
      <c r="I168" s="490"/>
    </row>
    <row r="169" spans="1:9" ht="13.7" customHeight="1">
      <c r="D169" s="1311" t="s">
        <v>2032</v>
      </c>
      <c r="E169" s="1311"/>
      <c r="F169" s="1311"/>
      <c r="G169" s="507"/>
      <c r="I169" s="490"/>
    </row>
    <row r="170" spans="1:9" ht="13.7" customHeight="1">
      <c r="D170" s="1306"/>
      <c r="E170" s="1306"/>
      <c r="F170" s="1306"/>
      <c r="G170" s="1306"/>
      <c r="I170" s="490"/>
    </row>
    <row r="171" spans="1:9" ht="14.45" customHeight="1">
      <c r="A171" s="489"/>
      <c r="B171" s="485" t="s">
        <v>2779</v>
      </c>
      <c r="C171" s="476"/>
      <c r="D171" s="1271" t="s">
        <v>2168</v>
      </c>
      <c r="E171" s="1271"/>
      <c r="F171" s="1271"/>
      <c r="G171" s="476"/>
      <c r="I171" s="490"/>
    </row>
    <row r="172" spans="1:9" ht="14.45" customHeight="1">
      <c r="A172" s="489"/>
      <c r="B172" s="489"/>
      <c r="C172" s="476"/>
      <c r="D172" s="1271"/>
      <c r="E172" s="1271"/>
      <c r="F172" s="1271"/>
      <c r="G172" s="476"/>
      <c r="I172" s="490"/>
    </row>
    <row r="173" spans="1:9" ht="14.45" customHeight="1">
      <c r="A173" s="489"/>
      <c r="B173" s="489"/>
      <c r="C173" s="476"/>
      <c r="D173" s="1271"/>
      <c r="E173" s="1271"/>
      <c r="F173" s="1271"/>
      <c r="G173" s="476"/>
      <c r="I173" s="490"/>
    </row>
    <row r="174" spans="1:9" ht="14.45" customHeight="1">
      <c r="A174" s="489"/>
      <c r="B174" s="489"/>
      <c r="C174" s="476"/>
      <c r="D174" s="1271"/>
      <c r="E174" s="1271"/>
      <c r="F174" s="1271"/>
      <c r="G174" s="476"/>
      <c r="I174" s="490"/>
    </row>
    <row r="175" spans="1:9" ht="13.7" customHeight="1">
      <c r="A175" s="489"/>
      <c r="B175" s="489"/>
      <c r="C175" s="476"/>
      <c r="D175" s="1271"/>
      <c r="E175" s="1271"/>
      <c r="F175" s="1271"/>
      <c r="G175" s="476"/>
      <c r="I175" s="490"/>
    </row>
    <row r="176" spans="1:9" ht="13.7" customHeight="1">
      <c r="A176" s="489"/>
      <c r="B176" s="489"/>
      <c r="C176" s="476"/>
      <c r="D176" s="476"/>
      <c r="E176" s="476"/>
      <c r="F176" s="476"/>
      <c r="G176" s="476"/>
      <c r="I176" s="490"/>
    </row>
    <row r="177" spans="1:9" ht="13.7" customHeight="1">
      <c r="A177" s="489"/>
      <c r="B177" s="485" t="s">
        <v>2779</v>
      </c>
      <c r="C177" s="476"/>
      <c r="D177" s="1271" t="s">
        <v>1106</v>
      </c>
      <c r="E177" s="1271"/>
      <c r="F177" s="1271"/>
      <c r="G177" s="476"/>
      <c r="I177" s="490"/>
    </row>
    <row r="178" spans="1:9" ht="13.7" customHeight="1">
      <c r="A178" s="489"/>
      <c r="B178" s="489"/>
      <c r="C178" s="476"/>
      <c r="D178" s="1271"/>
      <c r="E178" s="1271"/>
      <c r="F178" s="1271"/>
      <c r="G178" s="476"/>
      <c r="I178" s="490"/>
    </row>
    <row r="179" spans="1:9" ht="13.7" customHeight="1">
      <c r="A179" s="489"/>
      <c r="B179" s="489"/>
      <c r="C179" s="476"/>
      <c r="D179" s="1271"/>
      <c r="E179" s="1271"/>
      <c r="F179" s="1271"/>
      <c r="G179" s="476"/>
      <c r="I179" s="490"/>
    </row>
    <row r="180" spans="1:9" ht="13.7" customHeight="1">
      <c r="A180" s="489"/>
      <c r="B180" s="489"/>
      <c r="C180" s="476"/>
      <c r="D180" s="1271"/>
      <c r="E180" s="1271"/>
      <c r="F180" s="1271"/>
      <c r="G180" s="476"/>
      <c r="I180" s="490"/>
    </row>
    <row r="181" spans="1:9" ht="13.7" customHeight="1">
      <c r="D181" s="446"/>
      <c r="E181" s="446"/>
      <c r="F181" s="446"/>
      <c r="I181" s="490"/>
    </row>
    <row r="182" spans="1:9" ht="13.7" hidden="1" customHeight="1">
      <c r="B182" s="485" t="s">
        <v>307</v>
      </c>
      <c r="D182" s="1296" t="s">
        <v>2011</v>
      </c>
      <c r="E182" s="1296"/>
      <c r="F182" s="1296"/>
      <c r="I182" s="490"/>
    </row>
    <row r="183" spans="1:9" ht="13.7" hidden="1" customHeight="1">
      <c r="D183" s="1296"/>
      <c r="E183" s="1296"/>
      <c r="F183" s="1296"/>
      <c r="I183" s="490"/>
    </row>
    <row r="184" spans="1:9" ht="13.7" hidden="1" customHeight="1">
      <c r="D184" s="1296"/>
      <c r="E184" s="1296"/>
      <c r="F184" s="1296"/>
      <c r="I184" s="490"/>
    </row>
    <row r="185" spans="1:9" ht="13.7" customHeight="1">
      <c r="A185" s="490"/>
      <c r="B185" s="490"/>
      <c r="E185" s="446"/>
      <c r="F185" s="446"/>
      <c r="I185" s="490"/>
    </row>
    <row r="186" spans="1:9">
      <c r="A186" s="1295" t="s">
        <v>2012</v>
      </c>
      <c r="B186" s="1295"/>
      <c r="C186" s="1295"/>
      <c r="D186" s="1295"/>
      <c r="E186" s="1295"/>
      <c r="F186" s="1295"/>
      <c r="G186" s="1295"/>
      <c r="H186" s="1023"/>
      <c r="I186" s="1147"/>
    </row>
    <row r="187" spans="1:9" ht="12" customHeight="1">
      <c r="D187" s="446"/>
      <c r="E187" s="446"/>
      <c r="F187" s="446"/>
      <c r="I187" s="490"/>
    </row>
    <row r="188" spans="1:9">
      <c r="B188" s="1299" t="s">
        <v>446</v>
      </c>
      <c r="C188" s="1299"/>
      <c r="D188" s="1299"/>
      <c r="E188" s="1299"/>
      <c r="F188" s="1299"/>
      <c r="I188" s="490"/>
    </row>
    <row r="189" spans="1:9">
      <c r="B189" s="392" t="s">
        <v>1849</v>
      </c>
      <c r="C189" s="392"/>
      <c r="D189" s="392"/>
      <c r="E189" s="392"/>
      <c r="F189" s="392"/>
      <c r="I189" s="490"/>
    </row>
    <row r="190" spans="1:9" ht="12" customHeight="1">
      <c r="A190" s="482"/>
      <c r="B190" s="482"/>
      <c r="C190" s="482"/>
      <c r="I190" s="490"/>
    </row>
    <row r="191" spans="1:9">
      <c r="A191" s="1295" t="s">
        <v>1045</v>
      </c>
      <c r="B191" s="1295"/>
      <c r="C191" s="1295"/>
      <c r="D191" s="1295"/>
      <c r="E191" s="1295"/>
      <c r="F191" s="1295"/>
      <c r="G191" s="1295"/>
      <c r="H191" s="1023"/>
      <c r="I191" s="1147"/>
    </row>
    <row r="192" spans="1:9" ht="12" customHeight="1">
      <c r="A192" s="404"/>
      <c r="B192" s="404"/>
      <c r="E192" s="404"/>
      <c r="I192" s="490"/>
    </row>
    <row r="193" spans="1:9" ht="13.7" customHeight="1">
      <c r="A193" s="404"/>
      <c r="B193" s="404"/>
      <c r="D193" s="1294" t="s">
        <v>1735</v>
      </c>
      <c r="E193" s="1294"/>
      <c r="F193" s="1294"/>
      <c r="I193" s="490"/>
    </row>
    <row r="194" spans="1:9">
      <c r="A194" s="404"/>
      <c r="B194" s="404"/>
      <c r="D194" s="1294"/>
      <c r="E194" s="1294"/>
      <c r="F194" s="1294"/>
      <c r="I194" s="490"/>
    </row>
    <row r="195" spans="1:9">
      <c r="A195" s="404"/>
      <c r="B195" s="404"/>
      <c r="D195" s="1299" t="s">
        <v>1195</v>
      </c>
      <c r="E195" s="1299"/>
      <c r="F195" s="1299"/>
      <c r="I195" s="490"/>
    </row>
    <row r="196" spans="1:9">
      <c r="A196" s="404"/>
      <c r="B196" s="404"/>
      <c r="D196" s="392"/>
      <c r="E196" s="392"/>
      <c r="F196" s="392"/>
      <c r="I196" s="490"/>
    </row>
    <row r="197" spans="1:9">
      <c r="A197" s="404"/>
      <c r="B197" s="485" t="s">
        <v>2779</v>
      </c>
      <c r="D197" s="1307" t="s">
        <v>1736</v>
      </c>
      <c r="E197" s="1307"/>
      <c r="F197" s="1307"/>
      <c r="I197" s="490"/>
    </row>
    <row r="198" spans="1:9">
      <c r="A198" s="404"/>
      <c r="B198" s="404"/>
      <c r="D198" s="1308" t="s">
        <v>1875</v>
      </c>
      <c r="E198" s="1308"/>
      <c r="F198" s="1308"/>
      <c r="I198" s="490"/>
    </row>
    <row r="199" spans="1:9">
      <c r="A199" s="404"/>
      <c r="B199" s="404"/>
      <c r="D199" s="96" t="s">
        <v>1737</v>
      </c>
      <c r="E199" s="1309" t="s">
        <v>1898</v>
      </c>
      <c r="F199" s="1309"/>
      <c r="I199" s="490"/>
    </row>
    <row r="200" spans="1:9">
      <c r="A200" s="404"/>
      <c r="B200" s="404"/>
      <c r="D200" s="3"/>
      <c r="E200" s="3"/>
      <c r="F200" s="3"/>
      <c r="I200" s="490"/>
    </row>
    <row r="201" spans="1:9">
      <c r="A201" s="404"/>
      <c r="B201" s="485" t="s">
        <v>2779</v>
      </c>
      <c r="D201" s="1308" t="s">
        <v>1738</v>
      </c>
      <c r="E201" s="1308"/>
      <c r="F201" s="1308"/>
      <c r="I201" s="490"/>
    </row>
    <row r="202" spans="1:9">
      <c r="A202" s="404"/>
      <c r="B202" s="404"/>
      <c r="D202" s="1307" t="s">
        <v>1875</v>
      </c>
      <c r="E202" s="1307"/>
      <c r="F202" s="1307"/>
      <c r="I202" s="490"/>
    </row>
    <row r="203" spans="1:9">
      <c r="A203" s="404"/>
      <c r="B203" s="404"/>
      <c r="D203" s="57" t="s">
        <v>1739</v>
      </c>
      <c r="E203" s="1309" t="s">
        <v>1899</v>
      </c>
      <c r="F203" s="1309"/>
      <c r="I203" s="490"/>
    </row>
    <row r="204" spans="1:9">
      <c r="A204" s="404"/>
      <c r="B204" s="404"/>
      <c r="D204" s="3"/>
      <c r="E204" s="3"/>
      <c r="F204" s="3"/>
      <c r="I204" s="490"/>
    </row>
    <row r="205" spans="1:9">
      <c r="A205" s="404"/>
      <c r="B205" s="485" t="s">
        <v>2779</v>
      </c>
      <c r="D205" s="1308" t="s">
        <v>1740</v>
      </c>
      <c r="E205" s="1308"/>
      <c r="F205" s="1308"/>
      <c r="I205" s="490"/>
    </row>
    <row r="206" spans="1:9">
      <c r="A206" s="404"/>
      <c r="B206" s="404"/>
      <c r="D206" s="1307" t="s">
        <v>1875</v>
      </c>
      <c r="E206" s="1307"/>
      <c r="F206" s="1307"/>
      <c r="I206" s="490"/>
    </row>
    <row r="207" spans="1:9">
      <c r="A207" s="404"/>
      <c r="B207" s="404"/>
      <c r="D207" s="57" t="s">
        <v>1737</v>
      </c>
      <c r="E207" s="1309" t="s">
        <v>1900</v>
      </c>
      <c r="F207" s="1309"/>
      <c r="I207" s="490"/>
    </row>
    <row r="208" spans="1:9">
      <c r="A208" s="404"/>
      <c r="B208" s="404"/>
      <c r="D208" s="392"/>
      <c r="E208" s="392"/>
      <c r="F208" s="392"/>
      <c r="I208" s="490"/>
    </row>
    <row r="209" spans="1:9" ht="14.25" customHeight="1">
      <c r="A209" s="484"/>
      <c r="B209" s="485" t="s">
        <v>2779</v>
      </c>
      <c r="D209" s="386" t="s">
        <v>1868</v>
      </c>
      <c r="E209" s="385"/>
      <c r="F209" s="385"/>
      <c r="I209" s="490"/>
    </row>
    <row r="210" spans="1:9" ht="14.25">
      <c r="A210" s="484"/>
      <c r="B210" s="484"/>
      <c r="D210" s="1307" t="s">
        <v>1875</v>
      </c>
      <c r="E210" s="1307"/>
      <c r="F210" s="1307"/>
      <c r="I210" s="490"/>
    </row>
    <row r="211" spans="1:9">
      <c r="D211" s="385"/>
      <c r="E211" s="1309" t="s">
        <v>1901</v>
      </c>
      <c r="F211" s="1309"/>
      <c r="I211" s="490"/>
    </row>
    <row r="212" spans="1:9">
      <c r="D212" s="447"/>
      <c r="I212" s="490"/>
    </row>
    <row r="213" spans="1:9">
      <c r="B213" s="485" t="s">
        <v>2779</v>
      </c>
      <c r="D213" s="1308" t="s">
        <v>1741</v>
      </c>
      <c r="E213" s="1308"/>
      <c r="F213" s="1308"/>
      <c r="I213" s="490"/>
    </row>
    <row r="214" spans="1:9">
      <c r="D214" s="1307" t="s">
        <v>1875</v>
      </c>
      <c r="E214" s="1307"/>
      <c r="F214" s="1307"/>
      <c r="I214" s="490"/>
    </row>
    <row r="215" spans="1:9">
      <c r="D215" s="57" t="s">
        <v>1737</v>
      </c>
      <c r="E215" s="1309" t="s">
        <v>1902</v>
      </c>
      <c r="F215" s="1309"/>
      <c r="I215" s="490"/>
    </row>
    <row r="216" spans="1:9">
      <c r="D216" s="451"/>
      <c r="E216" s="451"/>
      <c r="F216" s="451"/>
      <c r="I216" s="490"/>
    </row>
    <row r="217" spans="1:9" ht="14.25">
      <c r="A217" s="484"/>
      <c r="B217" s="485" t="s">
        <v>2779</v>
      </c>
      <c r="D217" s="1292" t="s">
        <v>1216</v>
      </c>
      <c r="E217" s="1292"/>
      <c r="F217" s="1292"/>
      <c r="I217" s="490"/>
    </row>
    <row r="218" spans="1:9" ht="14.45" customHeight="1">
      <c r="A218" s="484"/>
      <c r="B218" s="402"/>
      <c r="D218" s="1292"/>
      <c r="E218" s="1292"/>
      <c r="F218" s="1292"/>
      <c r="I218" s="490"/>
    </row>
    <row r="219" spans="1:9" ht="14.25">
      <c r="A219" s="484"/>
      <c r="D219" s="1292"/>
      <c r="E219" s="1292"/>
      <c r="F219" s="1292"/>
      <c r="I219" s="490"/>
    </row>
    <row r="220" spans="1:9" ht="14.25">
      <c r="A220" s="484"/>
      <c r="D220" s="1292"/>
      <c r="E220" s="1292"/>
      <c r="F220" s="1292"/>
      <c r="I220" s="490"/>
    </row>
    <row r="221" spans="1:9">
      <c r="D221" s="451"/>
      <c r="E221" s="451"/>
      <c r="F221" s="451"/>
      <c r="I221" s="490"/>
    </row>
    <row r="222" spans="1:9">
      <c r="A222" s="1295" t="s">
        <v>1046</v>
      </c>
      <c r="B222" s="1295"/>
      <c r="C222" s="1295"/>
      <c r="D222" s="1295"/>
      <c r="E222" s="1295"/>
      <c r="F222" s="1295"/>
      <c r="G222" s="1295"/>
      <c r="H222" s="1023"/>
      <c r="I222" s="1147"/>
    </row>
    <row r="223" spans="1:9" ht="12" customHeight="1">
      <c r="D223" s="446"/>
      <c r="E223" s="446"/>
      <c r="F223" s="446"/>
      <c r="I223" s="490"/>
    </row>
    <row r="224" spans="1:9">
      <c r="C224" s="486"/>
      <c r="D224" s="1301" t="s">
        <v>208</v>
      </c>
      <c r="E224" s="1301"/>
      <c r="F224" s="1301"/>
      <c r="I224" s="490"/>
    </row>
    <row r="225" spans="1:9">
      <c r="A225" s="482"/>
      <c r="B225" s="482"/>
      <c r="C225" s="482"/>
      <c r="D225" s="1293" t="s">
        <v>1120</v>
      </c>
      <c r="E225" s="1293"/>
      <c r="F225" s="1293"/>
      <c r="I225" s="490"/>
    </row>
    <row r="226" spans="1:9" ht="12" customHeight="1">
      <c r="A226" s="490"/>
      <c r="B226" s="490"/>
      <c r="C226" s="490"/>
      <c r="I226" s="490"/>
    </row>
    <row r="227" spans="1:9" ht="13.7" customHeight="1">
      <c r="A227" s="490"/>
      <c r="C227" s="490"/>
      <c r="D227" s="1301" t="s">
        <v>546</v>
      </c>
      <c r="E227" s="1301"/>
      <c r="F227" s="1301"/>
      <c r="I227" s="490"/>
    </row>
    <row r="228" spans="1:9" ht="14.25">
      <c r="A228" s="484"/>
      <c r="B228" s="485" t="s">
        <v>2778</v>
      </c>
      <c r="D228" s="1292" t="s">
        <v>1742</v>
      </c>
      <c r="E228" s="1292"/>
      <c r="F228" s="1292"/>
      <c r="I228" s="490"/>
    </row>
    <row r="229" spans="1:9" ht="14.25" customHeight="1">
      <c r="A229" s="484"/>
      <c r="B229" s="484"/>
      <c r="D229" s="1292"/>
      <c r="E229" s="1292"/>
      <c r="F229" s="1292"/>
      <c r="I229" s="490"/>
    </row>
    <row r="230" spans="1:9" ht="14.25" customHeight="1">
      <c r="A230" s="484"/>
      <c r="B230" s="484"/>
      <c r="D230" s="1292"/>
      <c r="E230" s="1292"/>
      <c r="F230" s="1292"/>
      <c r="I230" s="490"/>
    </row>
    <row r="231" spans="1:9" ht="14.25">
      <c r="A231" s="484"/>
      <c r="B231" s="484"/>
      <c r="D231" s="1292"/>
      <c r="E231" s="1292"/>
      <c r="F231" s="1292"/>
      <c r="I231" s="490"/>
    </row>
    <row r="232" spans="1:9" ht="14.25">
      <c r="A232" s="484"/>
      <c r="B232" s="484"/>
      <c r="D232" s="445"/>
      <c r="E232" s="445"/>
      <c r="F232" s="445"/>
      <c r="I232" s="490"/>
    </row>
    <row r="233" spans="1:9" ht="14.25">
      <c r="A233" s="484"/>
      <c r="B233" s="485" t="s">
        <v>2778</v>
      </c>
      <c r="D233" s="1292" t="s">
        <v>1743</v>
      </c>
      <c r="E233" s="1292"/>
      <c r="F233" s="1292"/>
      <c r="I233" s="490"/>
    </row>
    <row r="234" spans="1:9" ht="14.25">
      <c r="A234" s="484"/>
      <c r="B234" s="484"/>
      <c r="D234" s="1292"/>
      <c r="E234" s="1292"/>
      <c r="F234" s="1292"/>
      <c r="I234" s="490"/>
    </row>
    <row r="235" spans="1:9" ht="14.25">
      <c r="A235" s="484"/>
      <c r="B235" s="484"/>
      <c r="D235" s="1292"/>
      <c r="E235" s="1292"/>
      <c r="F235" s="1292"/>
      <c r="I235" s="490"/>
    </row>
    <row r="236" spans="1:9" ht="14.25">
      <c r="A236" s="484"/>
      <c r="B236" s="484"/>
      <c r="D236" s="1292"/>
      <c r="E236" s="1292"/>
      <c r="F236" s="1292"/>
      <c r="I236" s="490"/>
    </row>
    <row r="237" spans="1:9" ht="14.25" customHeight="1">
      <c r="A237" s="484"/>
      <c r="B237" s="484"/>
      <c r="D237" s="1292"/>
      <c r="E237" s="1292"/>
      <c r="F237" s="1292"/>
      <c r="I237" s="490"/>
    </row>
    <row r="238" spans="1:9" ht="14.25" customHeight="1">
      <c r="A238" s="484"/>
      <c r="B238" s="484"/>
      <c r="D238" s="445"/>
      <c r="E238" s="445"/>
      <c r="F238" s="445"/>
      <c r="I238" s="490"/>
    </row>
    <row r="239" spans="1:9" ht="14.25">
      <c r="A239" s="484"/>
      <c r="B239" s="484"/>
      <c r="D239" s="1292" t="s">
        <v>1118</v>
      </c>
      <c r="E239" s="1292"/>
      <c r="F239" s="1292"/>
      <c r="I239" s="490"/>
    </row>
    <row r="240" spans="1:9" ht="14.25">
      <c r="A240" s="484"/>
      <c r="B240" s="484"/>
      <c r="D240" s="1292"/>
      <c r="E240" s="1292"/>
      <c r="F240" s="1292"/>
      <c r="I240" s="490"/>
    </row>
    <row r="241" spans="1:9" ht="14.25">
      <c r="A241" s="484"/>
      <c r="B241" s="484"/>
      <c r="D241" s="1292"/>
      <c r="E241" s="1292"/>
      <c r="F241" s="1292"/>
      <c r="I241" s="490"/>
    </row>
    <row r="242" spans="1:9" ht="14.25">
      <c r="A242" s="484"/>
      <c r="B242" s="484"/>
      <c r="D242" s="1292"/>
      <c r="E242" s="1292"/>
      <c r="F242" s="1292"/>
      <c r="I242" s="490"/>
    </row>
    <row r="243" spans="1:9" ht="14.25">
      <c r="A243" s="484"/>
      <c r="B243" s="484"/>
      <c r="D243" s="1292"/>
      <c r="E243" s="1292"/>
      <c r="F243" s="1292"/>
      <c r="I243" s="490"/>
    </row>
    <row r="244" spans="1:9" ht="14.25">
      <c r="A244" s="484"/>
      <c r="B244" s="484"/>
      <c r="D244" s="446"/>
      <c r="E244" s="446"/>
      <c r="F244" s="446"/>
      <c r="I244" s="490"/>
    </row>
    <row r="245" spans="1:9" ht="14.25">
      <c r="A245" s="484"/>
      <c r="B245" s="485" t="s">
        <v>2778</v>
      </c>
      <c r="D245" s="1292" t="s">
        <v>2013</v>
      </c>
      <c r="E245" s="1292"/>
      <c r="F245" s="1292"/>
      <c r="I245" s="490"/>
    </row>
    <row r="246" spans="1:9" ht="14.25">
      <c r="A246" s="484"/>
      <c r="B246" s="484"/>
      <c r="D246" s="1292"/>
      <c r="E246" s="1292"/>
      <c r="F246" s="1292"/>
      <c r="I246" s="490"/>
    </row>
    <row r="247" spans="1:9" ht="14.25">
      <c r="A247" s="484"/>
      <c r="B247" s="484"/>
      <c r="D247" s="1292"/>
      <c r="E247" s="1292"/>
      <c r="F247" s="1292"/>
      <c r="I247" s="490"/>
    </row>
    <row r="248" spans="1:9" ht="14.25">
      <c r="A248" s="484"/>
      <c r="B248" s="484"/>
      <c r="E248" s="1031" t="s">
        <v>1869</v>
      </c>
      <c r="I248" s="490"/>
    </row>
    <row r="249" spans="1:9" ht="14.25">
      <c r="A249" s="484"/>
      <c r="B249" s="484"/>
      <c r="D249" s="446"/>
      <c r="E249" s="446"/>
      <c r="F249" s="446"/>
      <c r="I249" s="490"/>
    </row>
    <row r="250" spans="1:9" ht="14.45" customHeight="1">
      <c r="A250" s="484"/>
      <c r="B250" s="485" t="s">
        <v>2779</v>
      </c>
      <c r="D250" s="1292" t="s">
        <v>2014</v>
      </c>
      <c r="E250" s="1292"/>
      <c r="F250" s="1292"/>
      <c r="I250" s="490"/>
    </row>
    <row r="251" spans="1:9" ht="14.25">
      <c r="A251" s="484"/>
      <c r="B251" s="484"/>
      <c r="D251" s="1292"/>
      <c r="E251" s="1292"/>
      <c r="F251" s="1292"/>
      <c r="I251" s="490"/>
    </row>
    <row r="252" spans="1:9" ht="14.25">
      <c r="A252" s="484"/>
      <c r="B252" s="484"/>
      <c r="D252" s="1292"/>
      <c r="E252" s="1292"/>
      <c r="F252" s="1292"/>
      <c r="I252" s="490"/>
    </row>
    <row r="253" spans="1:9" ht="14.25">
      <c r="A253" s="484"/>
      <c r="B253" s="484"/>
      <c r="D253" s="1292"/>
      <c r="E253" s="1292"/>
      <c r="F253" s="1292"/>
      <c r="I253" s="490"/>
    </row>
    <row r="254" spans="1:9" ht="14.25">
      <c r="A254" s="484"/>
      <c r="B254" s="484"/>
      <c r="D254" s="1292"/>
      <c r="E254" s="1292"/>
      <c r="F254" s="1292"/>
      <c r="I254" s="490"/>
    </row>
    <row r="255" spans="1:9" ht="14.25">
      <c r="A255" s="484"/>
      <c r="B255" s="484"/>
      <c r="D255" s="445"/>
      <c r="E255" s="445"/>
      <c r="F255" s="445"/>
      <c r="I255" s="490"/>
    </row>
    <row r="256" spans="1:9" ht="14.25">
      <c r="A256" s="484"/>
      <c r="B256" s="485" t="s">
        <v>2778</v>
      </c>
      <c r="D256" s="392" t="s">
        <v>2015</v>
      </c>
      <c r="E256" s="445"/>
      <c r="F256" s="445"/>
      <c r="I256" s="490"/>
    </row>
    <row r="257" spans="1:9" ht="14.25">
      <c r="A257" s="484"/>
      <c r="B257" s="484"/>
      <c r="E257" s="1031" t="s">
        <v>1870</v>
      </c>
      <c r="I257" s="490"/>
    </row>
    <row r="258" spans="1:9">
      <c r="D258" s="446"/>
      <c r="E258" s="446"/>
      <c r="F258" s="446"/>
      <c r="I258" s="490"/>
    </row>
    <row r="259" spans="1:9" ht="14.25">
      <c r="A259" s="484"/>
      <c r="B259" s="485" t="s">
        <v>2778</v>
      </c>
      <c r="D259" s="1292" t="s">
        <v>1119</v>
      </c>
      <c r="E259" s="1292"/>
      <c r="F259" s="1292"/>
      <c r="I259" s="490"/>
    </row>
    <row r="260" spans="1:9" ht="14.25">
      <c r="A260" s="484"/>
      <c r="B260" s="484"/>
      <c r="D260" s="1292"/>
      <c r="E260" s="1292"/>
      <c r="F260" s="1292"/>
      <c r="I260" s="490"/>
    </row>
    <row r="261" spans="1:9">
      <c r="D261" s="491"/>
      <c r="I261" s="490"/>
    </row>
    <row r="262" spans="1:9">
      <c r="A262" s="1295" t="s">
        <v>1047</v>
      </c>
      <c r="B262" s="1295"/>
      <c r="C262" s="1295"/>
      <c r="D262" s="1295"/>
      <c r="E262" s="1295"/>
      <c r="F262" s="1295"/>
      <c r="G262" s="1295"/>
      <c r="H262" s="1023"/>
      <c r="I262" s="1147"/>
    </row>
    <row r="263" spans="1:9">
      <c r="D263" s="491"/>
      <c r="I263" s="490"/>
    </row>
    <row r="264" spans="1:9">
      <c r="C264" s="486"/>
      <c r="D264" s="1301" t="s">
        <v>1121</v>
      </c>
      <c r="E264" s="1301"/>
      <c r="F264" s="1301"/>
      <c r="I264" s="490"/>
    </row>
    <row r="265" spans="1:9">
      <c r="A265" s="482"/>
      <c r="B265" s="482"/>
      <c r="C265" s="482"/>
      <c r="D265" s="446"/>
      <c r="E265" s="446"/>
      <c r="F265" s="446"/>
      <c r="I265" s="490"/>
    </row>
    <row r="266" spans="1:9">
      <c r="A266" s="483"/>
      <c r="B266" s="483"/>
      <c r="C266" s="483"/>
      <c r="D266" s="1301" t="s">
        <v>269</v>
      </c>
      <c r="E266" s="1301"/>
      <c r="F266" s="1301"/>
      <c r="I266" s="490"/>
    </row>
    <row r="267" spans="1:9" ht="14.45" customHeight="1">
      <c r="A267" s="484"/>
      <c r="B267" s="485" t="s">
        <v>2778</v>
      </c>
      <c r="D267" s="1292" t="s">
        <v>1196</v>
      </c>
      <c r="E267" s="1292"/>
      <c r="F267" s="1292"/>
      <c r="I267" s="490"/>
    </row>
    <row r="268" spans="1:9">
      <c r="D268" s="1292"/>
      <c r="E268" s="1292"/>
      <c r="F268" s="1292"/>
      <c r="I268" s="490"/>
    </row>
    <row r="269" spans="1:9">
      <c r="E269" s="1031" t="s">
        <v>1871</v>
      </c>
      <c r="I269" s="490"/>
    </row>
    <row r="270" spans="1:9">
      <c r="D270" s="446"/>
      <c r="E270" s="446"/>
      <c r="F270" s="446"/>
      <c r="I270" s="490"/>
    </row>
    <row r="271" spans="1:9" ht="14.45" customHeight="1">
      <c r="A271" s="484"/>
      <c r="B271" s="485" t="s">
        <v>2779</v>
      </c>
      <c r="D271" s="1292" t="s">
        <v>2016</v>
      </c>
      <c r="E271" s="1292"/>
      <c r="F271" s="1292"/>
      <c r="I271" s="490"/>
    </row>
    <row r="272" spans="1:9">
      <c r="D272" s="1292"/>
      <c r="E272" s="1292"/>
      <c r="F272" s="1292"/>
      <c r="I272" s="490"/>
    </row>
    <row r="273" spans="1:9">
      <c r="D273" s="1292"/>
      <c r="E273" s="1292"/>
      <c r="F273" s="1292"/>
      <c r="I273" s="490"/>
    </row>
    <row r="274" spans="1:9">
      <c r="D274" s="1292"/>
      <c r="E274" s="1292"/>
      <c r="F274" s="1292"/>
      <c r="I274" s="490"/>
    </row>
    <row r="275" spans="1:9">
      <c r="D275" s="1292"/>
      <c r="E275" s="1292"/>
      <c r="F275" s="1292"/>
      <c r="I275" s="490"/>
    </row>
    <row r="276" spans="1:9">
      <c r="D276" s="1292"/>
      <c r="E276" s="1292"/>
      <c r="F276" s="1292"/>
      <c r="I276" s="490"/>
    </row>
    <row r="277" spans="1:9">
      <c r="D277" s="446"/>
      <c r="E277" s="446"/>
      <c r="F277" s="446"/>
      <c r="I277" s="490"/>
    </row>
    <row r="278" spans="1:9" ht="14.25">
      <c r="A278" s="484"/>
      <c r="B278" s="485" t="s">
        <v>2779</v>
      </c>
      <c r="D278" s="1292" t="s">
        <v>1122</v>
      </c>
      <c r="E278" s="1292"/>
      <c r="F278" s="1292"/>
      <c r="I278" s="490"/>
    </row>
    <row r="279" spans="1:9">
      <c r="D279" s="1292"/>
      <c r="E279" s="1292"/>
      <c r="F279" s="1292"/>
      <c r="I279" s="490"/>
    </row>
    <row r="280" spans="1:9">
      <c r="D280" s="1292"/>
      <c r="E280" s="1292"/>
      <c r="F280" s="1292"/>
      <c r="I280" s="490"/>
    </row>
    <row r="281" spans="1:9">
      <c r="D281" s="492"/>
      <c r="E281" s="446"/>
      <c r="F281" s="446"/>
      <c r="I281" s="490"/>
    </row>
    <row r="282" spans="1:9">
      <c r="A282" s="1295" t="s">
        <v>1048</v>
      </c>
      <c r="B282" s="1295"/>
      <c r="C282" s="1295"/>
      <c r="D282" s="1295"/>
      <c r="E282" s="1295"/>
      <c r="F282" s="1295"/>
      <c r="G282" s="1295"/>
      <c r="H282" s="1023"/>
      <c r="I282" s="1147"/>
    </row>
    <row r="283" spans="1:9">
      <c r="D283" s="492"/>
      <c r="E283" s="446"/>
      <c r="F283" s="446"/>
      <c r="I283" s="490"/>
    </row>
    <row r="284" spans="1:9">
      <c r="C284" s="482"/>
      <c r="D284" s="1294" t="s">
        <v>1123</v>
      </c>
      <c r="E284" s="1294"/>
      <c r="F284" s="1294"/>
      <c r="I284" s="490"/>
    </row>
    <row r="285" spans="1:9">
      <c r="C285" s="482"/>
      <c r="D285" s="1294"/>
      <c r="E285" s="1294"/>
      <c r="F285" s="1294"/>
      <c r="I285" s="490"/>
    </row>
    <row r="286" spans="1:9">
      <c r="A286" s="483"/>
      <c r="B286" s="483"/>
      <c r="C286" s="483"/>
      <c r="D286" s="404"/>
      <c r="I286" s="490"/>
    </row>
    <row r="287" spans="1:9">
      <c r="C287" s="483"/>
      <c r="D287" s="1301" t="s">
        <v>209</v>
      </c>
      <c r="E287" s="1301"/>
      <c r="F287" s="1301"/>
      <c r="I287" s="490"/>
    </row>
    <row r="288" spans="1:9" ht="15.75" customHeight="1">
      <c r="A288" s="484"/>
      <c r="B288" s="484"/>
      <c r="D288" s="1304" t="s">
        <v>1124</v>
      </c>
      <c r="E288" s="1304"/>
      <c r="F288" s="1304"/>
      <c r="I288" s="490"/>
    </row>
    <row r="289" spans="1:9">
      <c r="E289" s="446"/>
      <c r="F289" s="446"/>
      <c r="I289" s="490"/>
    </row>
    <row r="290" spans="1:9" ht="14.25">
      <c r="A290" s="484"/>
      <c r="B290" s="485" t="s">
        <v>2778</v>
      </c>
      <c r="D290" s="1292" t="s">
        <v>1125</v>
      </c>
      <c r="E290" s="1292"/>
      <c r="F290" s="1292"/>
      <c r="I290" s="490"/>
    </row>
    <row r="291" spans="1:9" ht="14.25">
      <c r="A291" s="484"/>
      <c r="B291" s="484"/>
      <c r="D291" s="1292"/>
      <c r="E291" s="1292"/>
      <c r="F291" s="1292"/>
      <c r="I291" s="490"/>
    </row>
    <row r="292" spans="1:9">
      <c r="D292" s="446"/>
      <c r="E292" s="446"/>
      <c r="F292" s="446"/>
      <c r="I292" s="490"/>
    </row>
    <row r="293" spans="1:9" ht="14.25">
      <c r="A293" s="484"/>
      <c r="B293" s="485" t="s">
        <v>2778</v>
      </c>
      <c r="D293" s="1292" t="s">
        <v>1126</v>
      </c>
      <c r="E293" s="1292"/>
      <c r="F293" s="1292"/>
      <c r="I293" s="490"/>
    </row>
    <row r="294" spans="1:9" ht="14.25">
      <c r="A294" s="484"/>
      <c r="B294" s="484"/>
      <c r="D294" s="1292"/>
      <c r="E294" s="1292"/>
      <c r="F294" s="1292"/>
      <c r="I294" s="490"/>
    </row>
    <row r="295" spans="1:9" ht="14.25">
      <c r="A295" s="484"/>
      <c r="B295" s="484"/>
      <c r="D295" s="1292"/>
      <c r="E295" s="1292"/>
      <c r="F295" s="1292"/>
      <c r="I295" s="490"/>
    </row>
    <row r="296" spans="1:9">
      <c r="D296" s="446"/>
      <c r="E296" s="446"/>
      <c r="F296" s="446"/>
      <c r="I296" s="490"/>
    </row>
    <row r="297" spans="1:9" ht="14.25">
      <c r="A297" s="484"/>
      <c r="B297" s="485" t="s">
        <v>2779</v>
      </c>
      <c r="D297" s="1292" t="s">
        <v>1127</v>
      </c>
      <c r="E297" s="1292"/>
      <c r="F297" s="1292"/>
      <c r="I297" s="490"/>
    </row>
    <row r="298" spans="1:9" ht="14.25">
      <c r="A298" s="484"/>
      <c r="B298" s="484"/>
      <c r="D298" s="1292"/>
      <c r="E298" s="1292"/>
      <c r="F298" s="1292"/>
      <c r="I298" s="490"/>
    </row>
    <row r="299" spans="1:9">
      <c r="A299" s="490"/>
      <c r="B299" s="490"/>
      <c r="E299" s="446"/>
      <c r="F299" s="446"/>
      <c r="I299" s="490"/>
    </row>
    <row r="300" spans="1:9">
      <c r="A300" s="1295" t="s">
        <v>1049</v>
      </c>
      <c r="B300" s="1295"/>
      <c r="C300" s="1295"/>
      <c r="D300" s="1295"/>
      <c r="E300" s="1295"/>
      <c r="F300" s="1295"/>
      <c r="G300" s="1295"/>
      <c r="H300" s="1023"/>
      <c r="I300" s="1147"/>
    </row>
    <row r="301" spans="1:9">
      <c r="A301" s="490"/>
      <c r="B301" s="490"/>
      <c r="D301" s="446"/>
      <c r="E301" s="446"/>
      <c r="F301" s="446"/>
      <c r="I301" s="490"/>
    </row>
    <row r="302" spans="1:9">
      <c r="C302" s="490"/>
      <c r="D302" s="1301" t="s">
        <v>682</v>
      </c>
      <c r="E302" s="1301"/>
      <c r="F302" s="1301"/>
      <c r="I302" s="490"/>
    </row>
    <row r="303" spans="1:9">
      <c r="C303" s="490"/>
      <c r="D303" s="1293" t="s">
        <v>1128</v>
      </c>
      <c r="E303" s="1293"/>
      <c r="F303" s="1293"/>
      <c r="I303" s="490"/>
    </row>
    <row r="304" spans="1:9">
      <c r="C304" s="490"/>
      <c r="D304" s="493"/>
      <c r="I304" s="490"/>
    </row>
    <row r="305" spans="1:9">
      <c r="B305" s="485" t="s">
        <v>2779</v>
      </c>
      <c r="D305" s="1293" t="s">
        <v>1129</v>
      </c>
      <c r="E305" s="1293"/>
      <c r="F305" s="1293"/>
      <c r="I305" s="490"/>
    </row>
    <row r="306" spans="1:9" ht="14.25">
      <c r="A306" s="484"/>
      <c r="B306" s="484"/>
      <c r="D306" s="494"/>
      <c r="E306" s="495"/>
      <c r="F306" s="495"/>
      <c r="I306" s="490"/>
    </row>
    <row r="307" spans="1:9" ht="13.7" customHeight="1">
      <c r="B307" s="485" t="s">
        <v>2778</v>
      </c>
      <c r="D307" s="1316" t="s">
        <v>1219</v>
      </c>
      <c r="E307" s="1316"/>
      <c r="F307" s="1316"/>
      <c r="I307" s="490"/>
    </row>
    <row r="308" spans="1:9" ht="14.25">
      <c r="A308" s="484"/>
      <c r="B308" s="484"/>
      <c r="D308" s="1316"/>
      <c r="E308" s="1316"/>
      <c r="F308" s="1316"/>
      <c r="I308" s="490"/>
    </row>
    <row r="309" spans="1:9" ht="14.25">
      <c r="A309" s="484"/>
      <c r="B309" s="484"/>
      <c r="D309" s="1316"/>
      <c r="E309" s="1316"/>
      <c r="F309" s="1316"/>
      <c r="I309" s="490"/>
    </row>
    <row r="310" spans="1:9" ht="14.25">
      <c r="A310" s="484"/>
      <c r="B310" s="484"/>
      <c r="D310" s="1316"/>
      <c r="E310" s="1316"/>
      <c r="F310" s="1316"/>
      <c r="I310" s="490"/>
    </row>
    <row r="311" spans="1:9" ht="14.25">
      <c r="A311" s="484"/>
      <c r="B311" s="484"/>
      <c r="D311" s="1316"/>
      <c r="E311" s="1316"/>
      <c r="F311" s="1316"/>
      <c r="I311" s="490"/>
    </row>
    <row r="312" spans="1:9" ht="14.25">
      <c r="A312" s="484"/>
      <c r="B312" s="484"/>
      <c r="D312" s="494"/>
      <c r="E312" s="495"/>
      <c r="F312" s="495"/>
      <c r="I312" s="490"/>
    </row>
    <row r="313" spans="1:9" ht="13.7" customHeight="1">
      <c r="B313" s="485" t="s">
        <v>2778</v>
      </c>
      <c r="D313" s="1316" t="s">
        <v>1130</v>
      </c>
      <c r="E313" s="1316"/>
      <c r="F313" s="1316"/>
      <c r="I313" s="490"/>
    </row>
    <row r="314" spans="1:9">
      <c r="D314" s="1316"/>
      <c r="E314" s="1316"/>
      <c r="F314" s="1316"/>
      <c r="I314" s="490"/>
    </row>
    <row r="315" spans="1:9" ht="14.25">
      <c r="A315" s="484"/>
      <c r="B315" s="484"/>
      <c r="D315" s="494"/>
      <c r="E315" s="495"/>
      <c r="F315" s="495"/>
      <c r="I315" s="490"/>
    </row>
    <row r="316" spans="1:9">
      <c r="B316" s="485" t="s">
        <v>2779</v>
      </c>
      <c r="D316" s="1293" t="s">
        <v>1131</v>
      </c>
      <c r="E316" s="1293"/>
      <c r="F316" s="1293"/>
      <c r="I316" s="490"/>
    </row>
    <row r="317" spans="1:9">
      <c r="E317" s="446"/>
      <c r="F317" s="446"/>
      <c r="I317" s="490"/>
    </row>
    <row r="318" spans="1:9" ht="14.25">
      <c r="A318" s="484"/>
      <c r="B318" s="485" t="s">
        <v>2778</v>
      </c>
      <c r="D318" s="1292" t="s">
        <v>2199</v>
      </c>
      <c r="E318" s="1292"/>
      <c r="F318" s="1292"/>
      <c r="I318" s="490"/>
    </row>
    <row r="319" spans="1:9" ht="14.25">
      <c r="A319" s="484"/>
      <c r="B319" s="484"/>
      <c r="D319" s="1292"/>
      <c r="E319" s="1292"/>
      <c r="F319" s="1292"/>
      <c r="I319" s="490"/>
    </row>
    <row r="320" spans="1:9" ht="14.25">
      <c r="A320" s="484"/>
      <c r="B320" s="484"/>
      <c r="D320" s="1292"/>
      <c r="E320" s="1292"/>
      <c r="F320" s="1292"/>
      <c r="I320" s="490"/>
    </row>
    <row r="321" spans="1:9" ht="14.25">
      <c r="A321" s="484"/>
      <c r="B321" s="484"/>
      <c r="D321" s="1292"/>
      <c r="E321" s="1292"/>
      <c r="F321" s="1292"/>
      <c r="I321" s="490"/>
    </row>
    <row r="322" spans="1:9" ht="14.25">
      <c r="A322" s="484"/>
      <c r="B322" s="484"/>
      <c r="D322" s="1292"/>
      <c r="E322" s="1292"/>
      <c r="F322" s="1292"/>
      <c r="I322" s="490"/>
    </row>
    <row r="323" spans="1:9" ht="14.25">
      <c r="A323" s="484"/>
      <c r="B323" s="484"/>
      <c r="D323" s="1292"/>
      <c r="E323" s="1292"/>
      <c r="F323" s="1292"/>
      <c r="I323" s="490"/>
    </row>
    <row r="324" spans="1:9" ht="14.25">
      <c r="A324" s="484"/>
      <c r="B324" s="484"/>
      <c r="D324" s="1292"/>
      <c r="E324" s="1292"/>
      <c r="F324" s="1292"/>
      <c r="I324" s="490"/>
    </row>
    <row r="325" spans="1:9" ht="14.25">
      <c r="A325" s="484"/>
      <c r="B325" s="484"/>
      <c r="D325" s="1292"/>
      <c r="E325" s="1292"/>
      <c r="F325" s="1292"/>
      <c r="I325" s="490"/>
    </row>
    <row r="326" spans="1:9" ht="14.25">
      <c r="A326" s="484"/>
      <c r="B326" s="484"/>
      <c r="D326" s="1292"/>
      <c r="E326" s="1292"/>
      <c r="F326" s="1292"/>
      <c r="I326" s="490"/>
    </row>
    <row r="327" spans="1:9" ht="14.25">
      <c r="A327" s="484"/>
      <c r="B327" s="484"/>
      <c r="D327" s="1292"/>
      <c r="E327" s="1292"/>
      <c r="F327" s="1292"/>
      <c r="I327" s="490"/>
    </row>
    <row r="328" spans="1:9" ht="14.25">
      <c r="A328" s="484"/>
      <c r="B328" s="484"/>
      <c r="D328" s="1292"/>
      <c r="E328" s="1292"/>
      <c r="F328" s="1292"/>
      <c r="I328" s="490"/>
    </row>
    <row r="329" spans="1:9" ht="14.25">
      <c r="A329" s="484"/>
      <c r="B329" s="484"/>
      <c r="D329" s="1292"/>
      <c r="E329" s="1292"/>
      <c r="F329" s="1292"/>
      <c r="I329" s="490"/>
    </row>
    <row r="330" spans="1:9" ht="14.25">
      <c r="A330" s="484"/>
      <c r="B330" s="484"/>
      <c r="D330" s="1292"/>
      <c r="E330" s="1292"/>
      <c r="F330" s="1292"/>
      <c r="I330" s="490"/>
    </row>
    <row r="331" spans="1:9" ht="14.25">
      <c r="A331" s="484"/>
      <c r="B331" s="484"/>
      <c r="D331" s="1292"/>
      <c r="E331" s="1292"/>
      <c r="F331" s="1292"/>
      <c r="I331" s="490"/>
    </row>
    <row r="332" spans="1:9" ht="14.25">
      <c r="A332" s="484"/>
      <c r="B332" s="484"/>
      <c r="D332" s="1292"/>
      <c r="E332" s="1292"/>
      <c r="F332" s="1292"/>
      <c r="I332" s="490"/>
    </row>
    <row r="333" spans="1:9">
      <c r="D333" s="446"/>
      <c r="E333" s="446"/>
      <c r="F333" s="446"/>
      <c r="I333" s="490"/>
    </row>
    <row r="334" spans="1:9" ht="14.25">
      <c r="A334" s="484"/>
      <c r="B334" s="485" t="s">
        <v>2779</v>
      </c>
      <c r="D334" s="1292" t="s">
        <v>1132</v>
      </c>
      <c r="E334" s="1292"/>
      <c r="F334" s="1292"/>
      <c r="I334" s="490"/>
    </row>
    <row r="335" spans="1:9">
      <c r="D335" s="1292"/>
      <c r="E335" s="1292"/>
      <c r="F335" s="1292"/>
      <c r="I335" s="490"/>
    </row>
    <row r="336" spans="1:9">
      <c r="D336" s="1292"/>
      <c r="E336" s="1292"/>
      <c r="F336" s="1292"/>
      <c r="I336" s="490"/>
    </row>
    <row r="337" spans="1:9">
      <c r="D337" s="1292"/>
      <c r="E337" s="1292"/>
      <c r="F337" s="1292"/>
      <c r="I337" s="490"/>
    </row>
    <row r="338" spans="1:9">
      <c r="D338" s="1292"/>
      <c r="E338" s="1292"/>
      <c r="F338" s="1292"/>
      <c r="I338" s="490"/>
    </row>
    <row r="339" spans="1:9">
      <c r="D339" s="1292"/>
      <c r="E339" s="1292"/>
      <c r="F339" s="1292"/>
      <c r="I339" s="490"/>
    </row>
    <row r="340" spans="1:9">
      <c r="D340" s="1292"/>
      <c r="E340" s="1292"/>
      <c r="F340" s="1292"/>
      <c r="I340" s="490"/>
    </row>
    <row r="341" spans="1:9">
      <c r="D341" s="1292"/>
      <c r="E341" s="1292"/>
      <c r="F341" s="1292"/>
      <c r="I341" s="490"/>
    </row>
    <row r="342" spans="1:9">
      <c r="D342" s="1292"/>
      <c r="E342" s="1292"/>
      <c r="F342" s="1292"/>
      <c r="I342" s="490"/>
    </row>
    <row r="343" spans="1:9">
      <c r="D343" s="446"/>
      <c r="E343" s="446"/>
      <c r="F343" s="446"/>
      <c r="I343" s="490"/>
    </row>
    <row r="344" spans="1:9" ht="14.25" customHeight="1">
      <c r="A344" s="484"/>
      <c r="B344" s="485" t="s">
        <v>2778</v>
      </c>
      <c r="D344" s="1292" t="s">
        <v>1876</v>
      </c>
      <c r="E344" s="1292"/>
      <c r="F344" s="1292"/>
      <c r="I344" s="490"/>
    </row>
    <row r="345" spans="1:9">
      <c r="D345" s="1292"/>
      <c r="E345" s="1292"/>
      <c r="F345" s="1292"/>
      <c r="I345" s="490"/>
    </row>
    <row r="346" spans="1:9">
      <c r="D346" s="1292"/>
      <c r="E346" s="1292"/>
      <c r="F346" s="1292"/>
      <c r="I346" s="490"/>
    </row>
    <row r="347" spans="1:9">
      <c r="D347" s="1292"/>
      <c r="E347" s="1292"/>
      <c r="F347" s="1292"/>
      <c r="I347" s="490"/>
    </row>
    <row r="348" spans="1:9">
      <c r="D348" s="386" t="s">
        <v>1875</v>
      </c>
      <c r="E348" s="385"/>
      <c r="F348" s="385"/>
      <c r="I348" s="490"/>
    </row>
    <row r="349" spans="1:9">
      <c r="D349" s="385"/>
      <c r="E349" s="96" t="s">
        <v>1872</v>
      </c>
      <c r="G349" s="96"/>
      <c r="I349" s="490"/>
    </row>
    <row r="350" spans="1:9">
      <c r="D350" s="445"/>
      <c r="E350" s="445"/>
      <c r="F350" s="445"/>
      <c r="I350" s="490"/>
    </row>
    <row r="351" spans="1:9" ht="13.5" thickBot="1">
      <c r="A351" s="1017"/>
      <c r="B351" s="1017"/>
      <c r="C351" s="1017"/>
      <c r="D351" s="1325" t="s">
        <v>979</v>
      </c>
      <c r="E351" s="1325"/>
      <c r="F351" s="1325"/>
      <c r="G351" s="1022"/>
      <c r="H351" s="1022"/>
      <c r="I351" s="1150"/>
    </row>
    <row r="352" spans="1:9" ht="13.5" thickTop="1">
      <c r="D352" s="1324" t="s">
        <v>2200</v>
      </c>
      <c r="E352" s="1324"/>
      <c r="F352" s="1324"/>
      <c r="I352" s="490"/>
    </row>
    <row r="353" spans="1:9">
      <c r="D353" s="446"/>
      <c r="E353" s="446"/>
      <c r="F353" s="446"/>
      <c r="I353" s="490"/>
    </row>
    <row r="354" spans="1:9">
      <c r="A354" s="476"/>
      <c r="B354" s="476"/>
      <c r="C354" s="476"/>
      <c r="D354" s="447"/>
      <c r="E354" s="447"/>
      <c r="F354" s="446"/>
      <c r="I354" s="490"/>
    </row>
    <row r="355" spans="1:9" ht="14.25">
      <c r="A355" s="484"/>
      <c r="B355" s="485" t="s">
        <v>2778</v>
      </c>
      <c r="C355" s="487"/>
      <c r="D355" s="1293" t="s">
        <v>1874</v>
      </c>
      <c r="E355" s="1293"/>
      <c r="F355" s="1293"/>
      <c r="I355" s="490"/>
    </row>
    <row r="356" spans="1:9" ht="12.75" customHeight="1">
      <c r="D356" s="1032"/>
      <c r="E356" s="96" t="s">
        <v>1873</v>
      </c>
      <c r="F356" s="1032"/>
      <c r="I356" s="490"/>
    </row>
    <row r="357" spans="1:9">
      <c r="D357" s="1292" t="s">
        <v>1239</v>
      </c>
      <c r="E357" s="1292"/>
      <c r="F357" s="1292"/>
      <c r="I357" s="490"/>
    </row>
    <row r="358" spans="1:9">
      <c r="D358" s="1292"/>
      <c r="E358" s="1292"/>
      <c r="F358" s="1292"/>
      <c r="I358" s="490"/>
    </row>
    <row r="359" spans="1:9">
      <c r="D359" s="1292"/>
      <c r="E359" s="1292"/>
      <c r="F359" s="1292"/>
      <c r="I359" s="490"/>
    </row>
    <row r="360" spans="1:9" ht="14.25">
      <c r="A360" s="484"/>
      <c r="B360" s="485" t="s">
        <v>2778</v>
      </c>
      <c r="C360" s="476"/>
      <c r="D360" s="1306" t="s">
        <v>2017</v>
      </c>
      <c r="E360" s="1306"/>
      <c r="F360" s="1306"/>
      <c r="I360" s="480"/>
    </row>
    <row r="361" spans="1:9">
      <c r="A361" s="476"/>
      <c r="B361" s="476"/>
      <c r="C361" s="476"/>
      <c r="D361" s="447"/>
      <c r="E361" s="447"/>
      <c r="F361" s="446"/>
      <c r="I361" s="490"/>
    </row>
    <row r="362" spans="1:9">
      <c r="A362" s="476"/>
      <c r="B362" s="485" t="s">
        <v>2778</v>
      </c>
      <c r="C362" s="476"/>
      <c r="D362" s="1271" t="s">
        <v>2018</v>
      </c>
      <c r="E362" s="1271"/>
      <c r="F362" s="1271"/>
      <c r="I362" s="490"/>
    </row>
    <row r="363" spans="1:9">
      <c r="A363" s="476"/>
      <c r="B363" s="476"/>
      <c r="C363" s="476"/>
      <c r="D363" s="1271"/>
      <c r="E363" s="1271"/>
      <c r="F363" s="1271"/>
      <c r="I363" s="490"/>
    </row>
    <row r="364" spans="1:9">
      <c r="A364" s="476"/>
      <c r="B364" s="476"/>
      <c r="C364" s="476"/>
      <c r="D364" s="1271"/>
      <c r="E364" s="1271"/>
      <c r="F364" s="1271"/>
      <c r="I364" s="490"/>
    </row>
    <row r="365" spans="1:9">
      <c r="A365" s="476"/>
      <c r="B365" s="476"/>
      <c r="C365" s="476"/>
      <c r="D365" s="1271"/>
      <c r="E365" s="1271"/>
      <c r="F365" s="1271"/>
      <c r="I365" s="490"/>
    </row>
    <row r="366" spans="1:9">
      <c r="A366" s="476"/>
      <c r="B366" s="476"/>
      <c r="C366" s="476"/>
      <c r="D366" s="1271"/>
      <c r="E366" s="1271"/>
      <c r="F366" s="1271"/>
      <c r="I366" s="490"/>
    </row>
    <row r="367" spans="1:9">
      <c r="A367" s="476"/>
      <c r="B367" s="476"/>
      <c r="C367" s="476"/>
      <c r="D367" s="1271"/>
      <c r="E367" s="1271"/>
      <c r="F367" s="1271"/>
      <c r="I367" s="490"/>
    </row>
    <row r="368" spans="1:9">
      <c r="A368" s="476"/>
      <c r="B368" s="476"/>
      <c r="C368" s="476"/>
      <c r="D368" s="1271"/>
      <c r="E368" s="1271"/>
      <c r="F368" s="1271"/>
      <c r="I368" s="490"/>
    </row>
    <row r="369" spans="1:9">
      <c r="A369" s="476"/>
      <c r="B369" s="476"/>
      <c r="C369" s="476"/>
      <c r="D369" s="1271"/>
      <c r="E369" s="1271"/>
      <c r="F369" s="1271"/>
      <c r="I369" s="490"/>
    </row>
    <row r="370" spans="1:9">
      <c r="A370" s="476"/>
      <c r="B370" s="476"/>
      <c r="C370" s="476"/>
      <c r="D370" s="1271"/>
      <c r="E370" s="1271"/>
      <c r="F370" s="1271"/>
      <c r="I370" s="490"/>
    </row>
    <row r="371" spans="1:9">
      <c r="A371" s="476"/>
      <c r="B371" s="476"/>
      <c r="C371" s="476"/>
      <c r="D371" s="1271"/>
      <c r="E371" s="1271"/>
      <c r="F371" s="1271"/>
      <c r="I371" s="490"/>
    </row>
    <row r="372" spans="1:9">
      <c r="A372" s="476"/>
      <c r="B372" s="476"/>
      <c r="C372" s="476"/>
      <c r="D372" s="1271"/>
      <c r="E372" s="1271"/>
      <c r="F372" s="1271"/>
      <c r="I372" s="490"/>
    </row>
    <row r="373" spans="1:9">
      <c r="A373" s="476"/>
      <c r="B373" s="476"/>
      <c r="C373" s="476"/>
      <c r="D373" s="1271"/>
      <c r="E373" s="1271"/>
      <c r="F373" s="1271"/>
      <c r="I373" s="490"/>
    </row>
    <row r="374" spans="1:9">
      <c r="A374" s="476"/>
      <c r="B374" s="476"/>
      <c r="C374" s="476"/>
      <c r="D374" s="451"/>
      <c r="E374" s="451"/>
      <c r="F374" s="451"/>
      <c r="I374" s="490"/>
    </row>
    <row r="375" spans="1:9" ht="12.4" customHeight="1">
      <c r="A375" s="476"/>
      <c r="B375" s="485" t="s">
        <v>2778</v>
      </c>
      <c r="C375" s="476"/>
      <c r="D375" s="1288" t="s">
        <v>1221</v>
      </c>
      <c r="E375" s="1288"/>
      <c r="F375" s="1288"/>
      <c r="I375" s="490"/>
    </row>
    <row r="376" spans="1:9">
      <c r="A376" s="476"/>
      <c r="B376" s="476"/>
      <c r="C376" s="476"/>
      <c r="D376" s="1288"/>
      <c r="E376" s="1288"/>
      <c r="F376" s="1288"/>
      <c r="I376" s="490"/>
    </row>
    <row r="377" spans="1:9">
      <c r="A377" s="476"/>
      <c r="B377" s="476"/>
      <c r="C377" s="476"/>
      <c r="D377" s="1288"/>
      <c r="E377" s="1288"/>
      <c r="F377" s="1288"/>
      <c r="I377" s="490"/>
    </row>
    <row r="378" spans="1:9">
      <c r="A378" s="476"/>
      <c r="B378" s="476"/>
      <c r="C378" s="476"/>
      <c r="D378" s="1288"/>
      <c r="E378" s="1288"/>
      <c r="F378" s="1288"/>
      <c r="I378" s="490"/>
    </row>
    <row r="379" spans="1:9">
      <c r="A379" s="476"/>
      <c r="B379" s="476"/>
      <c r="C379" s="476"/>
      <c r="D379" s="524"/>
      <c r="E379" s="524"/>
      <c r="F379" s="524"/>
      <c r="I379" s="490"/>
    </row>
    <row r="380" spans="1:9">
      <c r="A380" s="476"/>
      <c r="B380" s="485" t="s">
        <v>2779</v>
      </c>
      <c r="C380" s="476"/>
      <c r="D380" s="402" t="s">
        <v>1811</v>
      </c>
      <c r="E380" s="524"/>
      <c r="F380" s="524"/>
      <c r="I380" s="490"/>
    </row>
    <row r="381" spans="1:9">
      <c r="A381" s="476"/>
      <c r="B381" s="476"/>
      <c r="C381" s="476"/>
      <c r="D381" s="402" t="s">
        <v>1812</v>
      </c>
      <c r="E381" s="524"/>
      <c r="F381" s="524"/>
      <c r="I381" s="490"/>
    </row>
    <row r="382" spans="1:9">
      <c r="A382" s="476"/>
      <c r="B382" s="476"/>
      <c r="C382" s="476"/>
      <c r="D382" s="402" t="s">
        <v>1813</v>
      </c>
      <c r="E382" s="524"/>
      <c r="F382" s="524"/>
      <c r="I382" s="490"/>
    </row>
    <row r="383" spans="1:9">
      <c r="A383" s="476"/>
      <c r="B383" s="476"/>
      <c r="C383" s="476"/>
      <c r="D383" s="402" t="s">
        <v>1814</v>
      </c>
      <c r="E383" s="524"/>
      <c r="F383" s="524"/>
      <c r="I383" s="490"/>
    </row>
    <row r="384" spans="1:9">
      <c r="A384" s="476"/>
      <c r="B384" s="476"/>
      <c r="C384" s="476"/>
      <c r="D384" s="402" t="s">
        <v>1815</v>
      </c>
      <c r="E384" s="524"/>
      <c r="F384" s="524"/>
      <c r="I384" s="490"/>
    </row>
    <row r="385" spans="1:9">
      <c r="A385" s="476"/>
      <c r="B385" s="476"/>
      <c r="C385" s="476"/>
      <c r="D385" s="402" t="s">
        <v>1816</v>
      </c>
      <c r="E385" s="524"/>
      <c r="F385" s="524"/>
      <c r="I385" s="490"/>
    </row>
    <row r="386" spans="1:9">
      <c r="A386" s="476"/>
      <c r="B386" s="476"/>
      <c r="C386" s="476"/>
      <c r="E386" s="447"/>
      <c r="F386" s="446"/>
      <c r="I386" s="490"/>
    </row>
    <row r="387" spans="1:9" ht="14.25">
      <c r="A387" s="484"/>
      <c r="B387" s="485" t="s">
        <v>2779</v>
      </c>
      <c r="C387" s="476"/>
      <c r="D387" s="1271" t="s">
        <v>1133</v>
      </c>
      <c r="E387" s="1271"/>
      <c r="F387" s="1271"/>
      <c r="I387" s="490"/>
    </row>
    <row r="388" spans="1:9">
      <c r="A388" s="476"/>
      <c r="B388" s="476"/>
      <c r="C388" s="476"/>
      <c r="D388" s="1271"/>
      <c r="E388" s="1271"/>
      <c r="F388" s="1271"/>
      <c r="I388" s="490"/>
    </row>
    <row r="389" spans="1:9">
      <c r="A389" s="476"/>
      <c r="B389" s="476"/>
      <c r="C389" s="476"/>
      <c r="D389" s="1271"/>
      <c r="E389" s="1271"/>
      <c r="F389" s="1271"/>
      <c r="I389" s="490"/>
    </row>
    <row r="390" spans="1:9">
      <c r="A390" s="476"/>
      <c r="B390" s="476"/>
      <c r="C390" s="476"/>
      <c r="D390" s="1271"/>
      <c r="E390" s="1271"/>
      <c r="F390" s="1271"/>
      <c r="I390" s="490"/>
    </row>
    <row r="391" spans="1:9">
      <c r="A391" s="476"/>
      <c r="B391" s="476"/>
      <c r="C391" s="476"/>
      <c r="D391" s="447"/>
      <c r="E391" s="447"/>
      <c r="F391" s="446"/>
      <c r="I391" s="490"/>
    </row>
    <row r="392" spans="1:9">
      <c r="A392" s="476"/>
      <c r="B392" s="476"/>
      <c r="C392" s="476"/>
      <c r="D392" s="1271" t="s">
        <v>1134</v>
      </c>
      <c r="E392" s="1271"/>
      <c r="F392" s="1271"/>
      <c r="I392" s="490"/>
    </row>
    <row r="393" spans="1:9">
      <c r="A393" s="476"/>
      <c r="B393" s="476"/>
      <c r="C393" s="476"/>
      <c r="D393" s="1271"/>
      <c r="E393" s="1271"/>
      <c r="F393" s="1271"/>
      <c r="I393" s="490"/>
    </row>
    <row r="394" spans="1:9">
      <c r="A394" s="476"/>
      <c r="B394" s="476"/>
      <c r="C394" s="476"/>
      <c r="D394" s="1271"/>
      <c r="E394" s="1271"/>
      <c r="F394" s="1271"/>
      <c r="I394" s="490"/>
    </row>
    <row r="395" spans="1:9">
      <c r="A395" s="476"/>
      <c r="B395" s="476"/>
      <c r="C395" s="476"/>
      <c r="D395" s="1271"/>
      <c r="E395" s="1271"/>
      <c r="F395" s="1271"/>
      <c r="I395" s="490"/>
    </row>
    <row r="396" spans="1:9" ht="18" customHeight="1">
      <c r="A396" s="476"/>
      <c r="B396" s="476"/>
      <c r="C396" s="476"/>
      <c r="D396" s="1271"/>
      <c r="E396" s="1271"/>
      <c r="F396" s="1271"/>
      <c r="I396" s="490"/>
    </row>
    <row r="397" spans="1:9">
      <c r="A397" s="476"/>
      <c r="B397" s="476"/>
      <c r="C397" s="476"/>
      <c r="D397" s="1271"/>
      <c r="E397" s="1271"/>
      <c r="F397" s="1271"/>
      <c r="I397" s="490"/>
    </row>
    <row r="398" spans="1:9">
      <c r="A398" s="476"/>
      <c r="B398" s="476"/>
      <c r="C398" s="476"/>
      <c r="D398" s="1271"/>
      <c r="E398" s="1271"/>
      <c r="F398" s="1271"/>
      <c r="I398" s="490"/>
    </row>
    <row r="399" spans="1:9">
      <c r="A399" s="476"/>
      <c r="B399" s="476"/>
      <c r="C399" s="476"/>
      <c r="D399" s="1271"/>
      <c r="E399" s="1271"/>
      <c r="F399" s="1271"/>
      <c r="I399" s="490"/>
    </row>
    <row r="400" spans="1:9" ht="8.25" customHeight="1">
      <c r="A400" s="476"/>
      <c r="B400" s="476"/>
      <c r="C400" s="476"/>
      <c r="D400" s="1271"/>
      <c r="E400" s="1271"/>
      <c r="F400" s="1271"/>
      <c r="I400" s="490"/>
    </row>
    <row r="401" spans="1:9" ht="13.7" customHeight="1">
      <c r="A401" s="476"/>
      <c r="B401" s="476"/>
      <c r="C401" s="476"/>
      <c r="D401" s="1271" t="s">
        <v>1135</v>
      </c>
      <c r="E401" s="1271"/>
      <c r="F401" s="1271"/>
      <c r="I401" s="490"/>
    </row>
    <row r="402" spans="1:9">
      <c r="A402" s="476"/>
      <c r="B402" s="476"/>
      <c r="C402" s="476"/>
      <c r="D402" s="1271"/>
      <c r="E402" s="1271"/>
      <c r="F402" s="1271"/>
      <c r="I402" s="490"/>
    </row>
    <row r="403" spans="1:9">
      <c r="A403" s="476"/>
      <c r="B403" s="476"/>
      <c r="C403" s="476"/>
      <c r="D403" s="1271"/>
      <c r="E403" s="1271"/>
      <c r="F403" s="1271"/>
      <c r="I403" s="490"/>
    </row>
    <row r="404" spans="1:9">
      <c r="A404" s="476"/>
      <c r="B404" s="476"/>
      <c r="C404" s="476"/>
      <c r="D404" s="1271"/>
      <c r="E404" s="1271"/>
      <c r="F404" s="1271"/>
      <c r="I404" s="490"/>
    </row>
    <row r="405" spans="1:9">
      <c r="A405" s="476"/>
      <c r="B405" s="476"/>
      <c r="C405" s="476"/>
      <c r="D405" s="1271"/>
      <c r="E405" s="1271"/>
      <c r="F405" s="1271"/>
      <c r="I405" s="490"/>
    </row>
    <row r="406" spans="1:9">
      <c r="A406" s="476"/>
      <c r="B406" s="476"/>
      <c r="C406" s="476"/>
      <c r="D406" s="1271"/>
      <c r="E406" s="1271"/>
      <c r="F406" s="1271"/>
      <c r="I406" s="490"/>
    </row>
    <row r="407" spans="1:9">
      <c r="A407" s="476"/>
      <c r="B407" s="476"/>
      <c r="C407" s="476"/>
      <c r="D407" s="1271"/>
      <c r="E407" s="1271"/>
      <c r="F407" s="1271"/>
      <c r="I407" s="490"/>
    </row>
    <row r="408" spans="1:9">
      <c r="A408" s="476"/>
      <c r="B408" s="476"/>
      <c r="C408" s="476"/>
      <c r="D408" s="1271"/>
      <c r="E408" s="1271"/>
      <c r="F408" s="1271"/>
      <c r="I408" s="490"/>
    </row>
    <row r="409" spans="1:9">
      <c r="A409" s="476"/>
      <c r="B409" s="476"/>
      <c r="C409" s="476"/>
      <c r="D409" s="1271"/>
      <c r="E409" s="1271"/>
      <c r="F409" s="1271"/>
      <c r="I409" s="490"/>
    </row>
    <row r="410" spans="1:9">
      <c r="A410" s="476"/>
      <c r="B410" s="476"/>
      <c r="C410" s="476"/>
      <c r="D410" s="1271"/>
      <c r="E410" s="1271"/>
      <c r="F410" s="1271"/>
      <c r="I410" s="490"/>
    </row>
    <row r="411" spans="1:9">
      <c r="A411" s="476"/>
      <c r="B411" s="476"/>
      <c r="C411" s="476"/>
      <c r="D411" s="1271"/>
      <c r="E411" s="1271"/>
      <c r="F411" s="1271"/>
      <c r="I411" s="490"/>
    </row>
    <row r="412" spans="1:9">
      <c r="A412" s="476"/>
      <c r="B412" s="476"/>
      <c r="C412" s="476"/>
      <c r="D412" s="1271"/>
      <c r="E412" s="1271"/>
      <c r="F412" s="1271"/>
      <c r="I412" s="490"/>
    </row>
    <row r="413" spans="1:9">
      <c r="A413" s="476"/>
      <c r="B413" s="476"/>
      <c r="C413" s="496"/>
      <c r="D413" s="1271"/>
      <c r="E413" s="1271"/>
      <c r="F413" s="1271"/>
      <c r="I413" s="490"/>
    </row>
    <row r="414" spans="1:9">
      <c r="A414" s="476"/>
      <c r="B414" s="476"/>
      <c r="C414" s="496"/>
      <c r="D414" s="1271"/>
      <c r="E414" s="1271"/>
      <c r="F414" s="1271"/>
      <c r="I414" s="490"/>
    </row>
    <row r="415" spans="1:9">
      <c r="A415" s="476"/>
      <c r="B415" s="476"/>
      <c r="C415" s="476"/>
      <c r="D415" s="1271"/>
      <c r="E415" s="1271"/>
      <c r="F415" s="1271"/>
      <c r="I415" s="490"/>
    </row>
    <row r="416" spans="1:9">
      <c r="A416" s="476"/>
      <c r="B416" s="476"/>
      <c r="C416" s="496"/>
      <c r="D416" s="1271"/>
      <c r="E416" s="1271"/>
      <c r="F416" s="1271"/>
      <c r="I416" s="490"/>
    </row>
    <row r="417" spans="1:9">
      <c r="A417" s="476"/>
      <c r="B417" s="476"/>
      <c r="C417" s="496"/>
      <c r="D417" s="1271"/>
      <c r="E417" s="1271"/>
      <c r="F417" s="1271"/>
      <c r="I417" s="490"/>
    </row>
    <row r="418" spans="1:9">
      <c r="A418" s="476"/>
      <c r="B418" s="476"/>
      <c r="C418" s="496"/>
      <c r="D418" s="1271"/>
      <c r="E418" s="1271"/>
      <c r="F418" s="1271"/>
      <c r="I418" s="490"/>
    </row>
    <row r="419" spans="1:9">
      <c r="A419" s="476"/>
      <c r="B419" s="476"/>
      <c r="C419" s="476"/>
      <c r="D419" s="447"/>
      <c r="E419" s="447"/>
      <c r="F419" s="446"/>
      <c r="I419" s="490"/>
    </row>
    <row r="420" spans="1:9">
      <c r="A420" s="476"/>
      <c r="B420" s="485" t="s">
        <v>2778</v>
      </c>
      <c r="C420" s="476"/>
      <c r="D420" s="1271" t="s">
        <v>1136</v>
      </c>
      <c r="E420" s="1271"/>
      <c r="F420" s="1271"/>
      <c r="I420" s="490"/>
    </row>
    <row r="421" spans="1:9">
      <c r="A421" s="476"/>
      <c r="B421" s="476"/>
      <c r="C421" s="476"/>
      <c r="D421" s="1271"/>
      <c r="E421" s="1271"/>
      <c r="F421" s="1271"/>
      <c r="I421" s="490"/>
    </row>
    <row r="422" spans="1:9">
      <c r="A422" s="476"/>
      <c r="B422" s="476"/>
      <c r="C422" s="476"/>
      <c r="D422" s="451"/>
      <c r="E422" s="451"/>
      <c r="F422" s="451"/>
      <c r="I422" s="490"/>
    </row>
    <row r="423" spans="1:9" ht="14.45" customHeight="1">
      <c r="A423" s="484"/>
      <c r="B423" s="485" t="s">
        <v>2778</v>
      </c>
      <c r="D423" s="1271" t="s">
        <v>1856</v>
      </c>
      <c r="E423" s="1271"/>
      <c r="F423" s="1271"/>
      <c r="I423" s="490"/>
    </row>
    <row r="424" spans="1:9" ht="14.45" customHeight="1">
      <c r="A424" s="484"/>
      <c r="D424" s="1271"/>
      <c r="E424" s="1271"/>
      <c r="F424" s="1271"/>
      <c r="I424" s="490"/>
    </row>
    <row r="425" spans="1:9" ht="14.45" customHeight="1">
      <c r="A425" s="484"/>
      <c r="D425" s="1271"/>
      <c r="E425" s="1271"/>
      <c r="F425" s="1271"/>
      <c r="I425" s="490"/>
    </row>
    <row r="426" spans="1:9" ht="14.45" customHeight="1">
      <c r="A426" s="484"/>
      <c r="D426" s="1271"/>
      <c r="E426" s="1271"/>
      <c r="F426" s="1271"/>
      <c r="I426" s="490"/>
    </row>
    <row r="427" spans="1:9" ht="14.45" customHeight="1">
      <c r="A427" s="484"/>
      <c r="D427" s="1271"/>
      <c r="E427" s="1271"/>
      <c r="F427" s="1271"/>
      <c r="I427" s="490"/>
    </row>
    <row r="428" spans="1:9" ht="14.45" customHeight="1">
      <c r="A428" s="484"/>
      <c r="D428" s="385"/>
      <c r="E428" s="385"/>
      <c r="F428" s="385"/>
      <c r="I428" s="490"/>
    </row>
    <row r="429" spans="1:9" ht="13.7" customHeight="1">
      <c r="A429" s="484"/>
      <c r="B429" s="485" t="s">
        <v>2778</v>
      </c>
      <c r="C429" s="476"/>
      <c r="D429" s="1271" t="s">
        <v>1240</v>
      </c>
      <c r="E429" s="1271"/>
      <c r="F429" s="1271"/>
      <c r="I429" s="490"/>
    </row>
    <row r="430" spans="1:9" ht="14.25">
      <c r="A430" s="497"/>
      <c r="B430" s="497"/>
      <c r="C430" s="476"/>
      <c r="D430" s="1271"/>
      <c r="E430" s="1271"/>
      <c r="F430" s="1271"/>
      <c r="I430" s="490"/>
    </row>
    <row r="431" spans="1:9" ht="14.25">
      <c r="A431" s="497"/>
      <c r="B431" s="497"/>
      <c r="C431" s="476"/>
      <c r="D431" s="1271"/>
      <c r="E431" s="1271"/>
      <c r="F431" s="1271"/>
      <c r="I431" s="490"/>
    </row>
    <row r="432" spans="1:9" ht="14.25">
      <c r="A432" s="497"/>
      <c r="B432" s="497"/>
      <c r="C432" s="476"/>
      <c r="D432" s="1271"/>
      <c r="E432" s="1271"/>
      <c r="F432" s="1271"/>
      <c r="I432" s="490"/>
    </row>
    <row r="433" spans="1:9" ht="15.75" customHeight="1">
      <c r="A433" s="497"/>
      <c r="B433" s="497"/>
      <c r="C433" s="476"/>
      <c r="D433" s="1298" t="s">
        <v>2614</v>
      </c>
      <c r="E433" s="1271"/>
      <c r="F433" s="1271"/>
      <c r="I433" s="490"/>
    </row>
    <row r="434" spans="1:9">
      <c r="D434" s="446"/>
      <c r="E434" s="446"/>
      <c r="F434" s="446"/>
      <c r="I434" s="490"/>
    </row>
    <row r="435" spans="1:9" ht="14.25">
      <c r="A435" s="484"/>
      <c r="B435" s="485" t="s">
        <v>2779</v>
      </c>
      <c r="C435" s="487"/>
      <c r="D435" s="1292" t="s">
        <v>2019</v>
      </c>
      <c r="E435" s="1292"/>
      <c r="F435" s="1292"/>
      <c r="I435" s="490"/>
    </row>
    <row r="436" spans="1:9" ht="14.25">
      <c r="A436" s="484"/>
      <c r="B436" s="484"/>
      <c r="D436" s="1292"/>
      <c r="E436" s="1292"/>
      <c r="F436" s="1292"/>
      <c r="I436" s="490"/>
    </row>
    <row r="437" spans="1:9">
      <c r="D437" s="1292"/>
      <c r="E437" s="1292"/>
      <c r="F437" s="1292"/>
      <c r="I437" s="490"/>
    </row>
    <row r="438" spans="1:9">
      <c r="D438" s="1292"/>
      <c r="E438" s="1292"/>
      <c r="F438" s="1292"/>
      <c r="I438" s="490"/>
    </row>
    <row r="439" spans="1:9">
      <c r="D439" s="1292"/>
      <c r="E439" s="1292"/>
      <c r="F439" s="1292"/>
      <c r="I439" s="490"/>
    </row>
    <row r="440" spans="1:9">
      <c r="D440" s="1292"/>
      <c r="E440" s="1292"/>
      <c r="F440" s="1292"/>
      <c r="I440" s="490"/>
    </row>
    <row r="441" spans="1:9">
      <c r="D441" s="1292"/>
      <c r="E441" s="1292"/>
      <c r="F441" s="1292"/>
      <c r="I441" s="490"/>
    </row>
    <row r="442" spans="1:9">
      <c r="D442" s="1292"/>
      <c r="E442" s="1292"/>
      <c r="F442" s="1292"/>
      <c r="I442" s="490"/>
    </row>
    <row r="443" spans="1:9">
      <c r="D443" s="1292"/>
      <c r="E443" s="1292"/>
      <c r="F443" s="1292"/>
      <c r="I443" s="490"/>
    </row>
    <row r="444" spans="1:9">
      <c r="D444" s="1292"/>
      <c r="E444" s="1292"/>
      <c r="F444" s="1292"/>
      <c r="I444" s="490"/>
    </row>
    <row r="445" spans="1:9">
      <c r="D445" s="1292"/>
      <c r="E445" s="1292"/>
      <c r="F445" s="1292"/>
      <c r="I445" s="490"/>
    </row>
    <row r="446" spans="1:9">
      <c r="D446" s="1292"/>
      <c r="E446" s="1292"/>
      <c r="F446" s="1292"/>
      <c r="I446" s="490"/>
    </row>
    <row r="447" spans="1:9">
      <c r="D447" s="1292"/>
      <c r="E447" s="1292"/>
      <c r="F447" s="1292"/>
      <c r="I447" s="490"/>
    </row>
    <row r="448" spans="1:9">
      <c r="A448" s="402"/>
      <c r="B448" s="402"/>
      <c r="C448" s="402"/>
      <c r="D448" s="1292"/>
      <c r="E448" s="1292"/>
      <c r="F448" s="1292"/>
      <c r="I448" s="490"/>
    </row>
    <row r="449" spans="1:9">
      <c r="A449" s="402"/>
      <c r="B449" s="402"/>
      <c r="C449" s="402"/>
      <c r="D449" s="1292"/>
      <c r="E449" s="1292"/>
      <c r="F449" s="1292"/>
      <c r="I449" s="490"/>
    </row>
    <row r="450" spans="1:9">
      <c r="A450" s="402"/>
      <c r="B450" s="402"/>
      <c r="C450" s="402"/>
      <c r="D450" s="1292"/>
      <c r="E450" s="1292"/>
      <c r="F450" s="1292"/>
      <c r="I450" s="490"/>
    </row>
    <row r="451" spans="1:9">
      <c r="A451" s="402"/>
      <c r="B451" s="402"/>
      <c r="C451" s="402"/>
      <c r="D451" s="1292"/>
      <c r="E451" s="1292"/>
      <c r="F451" s="1292"/>
      <c r="I451" s="490"/>
    </row>
    <row r="452" spans="1:9">
      <c r="A452" s="402"/>
      <c r="B452" s="402"/>
      <c r="C452" s="402"/>
      <c r="D452" s="1292"/>
      <c r="E452" s="1292"/>
      <c r="F452" s="1292"/>
      <c r="I452" s="490"/>
    </row>
    <row r="453" spans="1:9">
      <c r="A453" s="402"/>
      <c r="B453" s="402"/>
      <c r="C453" s="402"/>
      <c r="D453" s="1292"/>
      <c r="E453" s="1292"/>
      <c r="F453" s="1292"/>
      <c r="I453" s="490"/>
    </row>
    <row r="454" spans="1:9">
      <c r="A454" s="402"/>
      <c r="B454" s="402"/>
      <c r="C454" s="402"/>
      <c r="D454" s="1292"/>
      <c r="E454" s="1292"/>
      <c r="F454" s="1292"/>
      <c r="I454" s="490"/>
    </row>
    <row r="455" spans="1:9">
      <c r="A455" s="402"/>
      <c r="B455" s="402"/>
      <c r="C455" s="402"/>
      <c r="D455" s="1292"/>
      <c r="E455" s="1292"/>
      <c r="F455" s="1292"/>
      <c r="I455" s="490"/>
    </row>
    <row r="456" spans="1:9">
      <c r="A456" s="402"/>
      <c r="B456" s="402"/>
      <c r="C456" s="402"/>
      <c r="D456" s="1292"/>
      <c r="E456" s="1292"/>
      <c r="F456" s="1292"/>
      <c r="I456" s="490"/>
    </row>
    <row r="457" spans="1:9">
      <c r="A457" s="402"/>
      <c r="B457" s="402"/>
      <c r="C457" s="402"/>
      <c r="D457" s="1292"/>
      <c r="E457" s="1292"/>
      <c r="F457" s="1292"/>
      <c r="I457" s="490"/>
    </row>
    <row r="458" spans="1:9">
      <c r="A458" s="402"/>
      <c r="B458" s="402"/>
      <c r="C458" s="402"/>
      <c r="D458" s="1292"/>
      <c r="E458" s="1292"/>
      <c r="F458" s="1292"/>
      <c r="I458" s="490"/>
    </row>
    <row r="459" spans="1:9">
      <c r="A459" s="402"/>
      <c r="B459" s="402"/>
      <c r="C459" s="402"/>
      <c r="D459" s="1292"/>
      <c r="E459" s="1292"/>
      <c r="F459" s="1292"/>
      <c r="I459" s="490"/>
    </row>
    <row r="460" spans="1:9">
      <c r="A460" s="402"/>
      <c r="B460" s="402"/>
      <c r="C460" s="402"/>
      <c r="D460" s="1292"/>
      <c r="E460" s="1292"/>
      <c r="F460" s="1292"/>
      <c r="I460" s="490"/>
    </row>
    <row r="461" spans="1:9">
      <c r="A461" s="402"/>
      <c r="B461" s="402"/>
      <c r="C461" s="402"/>
      <c r="D461" s="1292"/>
      <c r="E461" s="1292"/>
      <c r="F461" s="1292"/>
      <c r="I461" s="490"/>
    </row>
    <row r="462" spans="1:9">
      <c r="A462" s="402"/>
      <c r="B462" s="402"/>
      <c r="C462" s="402"/>
      <c r="D462" s="1292"/>
      <c r="E462" s="1292"/>
      <c r="F462" s="1292"/>
      <c r="I462" s="490"/>
    </row>
    <row r="463" spans="1:9">
      <c r="A463" s="402"/>
      <c r="B463" s="402"/>
      <c r="C463" s="402"/>
      <c r="D463" s="1292"/>
      <c r="E463" s="1292"/>
      <c r="F463" s="1292"/>
      <c r="I463" s="490"/>
    </row>
    <row r="464" spans="1:9">
      <c r="D464" s="1292"/>
      <c r="E464" s="1292"/>
      <c r="F464" s="1292"/>
      <c r="I464" s="490"/>
    </row>
    <row r="465" spans="1:9" ht="40.700000000000003" customHeight="1">
      <c r="D465" s="1292"/>
      <c r="E465" s="1292"/>
      <c r="F465" s="1292"/>
      <c r="I465" s="490"/>
    </row>
    <row r="466" spans="1:9">
      <c r="D466" s="446"/>
      <c r="E466" s="446"/>
      <c r="F466" s="446"/>
      <c r="I466" s="490"/>
    </row>
    <row r="467" spans="1:9" ht="14.25">
      <c r="A467" s="484"/>
      <c r="B467" s="485" t="s">
        <v>2779</v>
      </c>
      <c r="C467" s="487"/>
      <c r="D467" s="1292" t="s">
        <v>1137</v>
      </c>
      <c r="E467" s="1292"/>
      <c r="F467" s="1292"/>
      <c r="I467" s="490"/>
    </row>
    <row r="468" spans="1:9">
      <c r="D468" s="1292"/>
      <c r="E468" s="1292"/>
      <c r="F468" s="1292"/>
      <c r="I468" s="490"/>
    </row>
    <row r="469" spans="1:9">
      <c r="D469" s="1292"/>
      <c r="E469" s="1292"/>
      <c r="F469" s="1292"/>
      <c r="I469" s="490"/>
    </row>
    <row r="470" spans="1:9">
      <c r="D470" s="445"/>
      <c r="E470" s="445"/>
      <c r="F470" s="445"/>
      <c r="I470" s="490"/>
    </row>
    <row r="471" spans="1:9" ht="14.25">
      <c r="B471" s="485" t="s">
        <v>2779</v>
      </c>
      <c r="C471" s="484"/>
      <c r="D471" s="1292" t="s">
        <v>1197</v>
      </c>
      <c r="E471" s="1292"/>
      <c r="F471" s="1292"/>
      <c r="I471" s="490"/>
    </row>
    <row r="472" spans="1:9">
      <c r="D472" s="1292"/>
      <c r="E472" s="1292"/>
      <c r="F472" s="1292"/>
      <c r="I472" s="490"/>
    </row>
    <row r="473" spans="1:9">
      <c r="D473" s="446"/>
      <c r="E473" s="446"/>
      <c r="F473" s="446"/>
      <c r="I473" s="490"/>
    </row>
    <row r="474" spans="1:9" ht="14.25">
      <c r="B474" s="485" t="s">
        <v>2779</v>
      </c>
      <c r="C474" s="484"/>
      <c r="D474" s="1292" t="s">
        <v>1138</v>
      </c>
      <c r="E474" s="1292"/>
      <c r="F474" s="1292"/>
      <c r="I474" s="490"/>
    </row>
    <row r="475" spans="1:9">
      <c r="D475" s="1292"/>
      <c r="E475" s="1292"/>
      <c r="F475" s="1292"/>
      <c r="I475" s="490"/>
    </row>
    <row r="476" spans="1:9">
      <c r="D476" s="1292"/>
      <c r="E476" s="1292"/>
      <c r="F476" s="1292"/>
      <c r="I476" s="490"/>
    </row>
    <row r="477" spans="1:9">
      <c r="D477" s="1292"/>
      <c r="E477" s="1292"/>
      <c r="F477" s="1292"/>
      <c r="I477" s="490"/>
    </row>
    <row r="478" spans="1:9">
      <c r="B478" s="485" t="s">
        <v>2779</v>
      </c>
      <c r="D478" s="1292"/>
      <c r="E478" s="1292"/>
      <c r="F478" s="1292"/>
      <c r="I478" s="490"/>
    </row>
    <row r="479" spans="1:9">
      <c r="A479" s="402"/>
      <c r="B479" s="402"/>
      <c r="C479" s="402"/>
      <c r="D479" s="1292"/>
      <c r="E479" s="1292"/>
      <c r="F479" s="1292"/>
      <c r="I479" s="490"/>
    </row>
    <row r="480" spans="1:9">
      <c r="A480" s="402"/>
      <c r="C480" s="402"/>
      <c r="D480" s="1292"/>
      <c r="E480" s="1292"/>
      <c r="F480" s="1292"/>
      <c r="I480" s="490"/>
    </row>
    <row r="481" spans="1:9">
      <c r="A481" s="402"/>
      <c r="B481" s="485" t="s">
        <v>2779</v>
      </c>
      <c r="C481" s="402"/>
      <c r="D481" s="1292"/>
      <c r="E481" s="1292"/>
      <c r="F481" s="1292"/>
      <c r="I481" s="490"/>
    </row>
    <row r="482" spans="1:9">
      <c r="A482" s="402"/>
      <c r="B482" s="402"/>
      <c r="C482" s="402"/>
      <c r="D482" s="1292"/>
      <c r="E482" s="1292"/>
      <c r="F482" s="1292"/>
      <c r="I482" s="490"/>
    </row>
    <row r="483" spans="1:9">
      <c r="A483" s="402"/>
      <c r="C483" s="402"/>
      <c r="D483" s="1292"/>
      <c r="E483" s="1292"/>
      <c r="F483" s="1292"/>
      <c r="I483" s="490"/>
    </row>
    <row r="484" spans="1:9">
      <c r="A484" s="402"/>
      <c r="C484" s="402"/>
      <c r="D484" s="1292"/>
      <c r="E484" s="1292"/>
      <c r="F484" s="1292"/>
      <c r="I484" s="490"/>
    </row>
    <row r="485" spans="1:9">
      <c r="A485" s="402"/>
      <c r="C485" s="402"/>
      <c r="D485" s="1292"/>
      <c r="E485" s="1292"/>
      <c r="F485" s="1292"/>
      <c r="I485" s="490"/>
    </row>
    <row r="486" spans="1:9">
      <c r="A486" s="402"/>
      <c r="B486" s="485" t="s">
        <v>2779</v>
      </c>
      <c r="C486" s="402"/>
      <c r="D486" s="1292"/>
      <c r="E486" s="1292"/>
      <c r="F486" s="1292"/>
      <c r="I486" s="490"/>
    </row>
    <row r="487" spans="1:9">
      <c r="A487" s="402"/>
      <c r="C487" s="402"/>
      <c r="D487" s="1292"/>
      <c r="E487" s="1292"/>
      <c r="F487" s="1292"/>
      <c r="I487" s="490"/>
    </row>
    <row r="488" spans="1:9">
      <c r="A488" s="402"/>
      <c r="B488" s="485" t="s">
        <v>2778</v>
      </c>
      <c r="C488" s="402"/>
      <c r="D488" s="1292" t="s">
        <v>1139</v>
      </c>
      <c r="E488" s="1292"/>
      <c r="F488" s="1292"/>
      <c r="I488" s="490"/>
    </row>
    <row r="489" spans="1:9">
      <c r="A489" s="402"/>
      <c r="B489" s="402"/>
      <c r="C489" s="402"/>
      <c r="D489" s="1292"/>
      <c r="E489" s="1292"/>
      <c r="F489" s="1292"/>
      <c r="I489" s="490"/>
    </row>
    <row r="490" spans="1:9">
      <c r="A490" s="402"/>
      <c r="B490" s="402"/>
      <c r="C490" s="402"/>
      <c r="D490" s="1292"/>
      <c r="E490" s="1292"/>
      <c r="F490" s="1292"/>
      <c r="I490" s="490"/>
    </row>
    <row r="491" spans="1:9">
      <c r="A491" s="402"/>
      <c r="B491" s="402"/>
      <c r="C491" s="402"/>
      <c r="D491" s="1292"/>
      <c r="E491" s="1292"/>
      <c r="F491" s="1292"/>
      <c r="I491" s="490"/>
    </row>
    <row r="492" spans="1:9">
      <c r="D492" s="1292"/>
      <c r="E492" s="1292"/>
      <c r="F492" s="1292"/>
      <c r="I492" s="490"/>
    </row>
    <row r="493" spans="1:9">
      <c r="D493" s="446"/>
      <c r="E493" s="446"/>
      <c r="F493" s="446"/>
      <c r="I493" s="490"/>
    </row>
    <row r="494" spans="1:9">
      <c r="B494" s="485" t="s">
        <v>2778</v>
      </c>
      <c r="D494" s="1293" t="s">
        <v>1140</v>
      </c>
      <c r="E494" s="1293"/>
      <c r="F494" s="1293"/>
      <c r="I494" s="490"/>
    </row>
    <row r="495" spans="1:9">
      <c r="A495" s="446"/>
      <c r="B495" s="446"/>
      <c r="I495" s="490"/>
    </row>
    <row r="496" spans="1:9">
      <c r="A496" s="1295" t="s">
        <v>1050</v>
      </c>
      <c r="B496" s="1295"/>
      <c r="C496" s="1295"/>
      <c r="D496" s="1295"/>
      <c r="E496" s="1295"/>
      <c r="F496" s="1295"/>
      <c r="G496" s="1295"/>
      <c r="H496" s="1023"/>
      <c r="I496" s="1147"/>
    </row>
    <row r="497" spans="1:9">
      <c r="A497" s="446"/>
      <c r="B497" s="446"/>
      <c r="I497" s="490"/>
    </row>
    <row r="498" spans="1:9">
      <c r="D498" s="1305" t="s">
        <v>883</v>
      </c>
      <c r="E498" s="1305"/>
      <c r="F498" s="1305"/>
      <c r="I498" s="490"/>
    </row>
    <row r="499" spans="1:9" ht="14.25">
      <c r="A499" s="484"/>
      <c r="B499" s="484"/>
      <c r="D499" s="1306" t="s">
        <v>1141</v>
      </c>
      <c r="E499" s="1306"/>
      <c r="F499" s="1306"/>
      <c r="I499" s="490"/>
    </row>
    <row r="500" spans="1:9" ht="14.25">
      <c r="A500" s="484"/>
      <c r="B500" s="484"/>
      <c r="D500" s="447"/>
      <c r="I500" s="490"/>
    </row>
    <row r="501" spans="1:9" ht="14.25">
      <c r="A501" s="484"/>
      <c r="B501" s="485" t="s">
        <v>2778</v>
      </c>
      <c r="D501" s="1271" t="s">
        <v>1142</v>
      </c>
      <c r="E501" s="1271"/>
      <c r="F501" s="1271"/>
      <c r="I501" s="490"/>
    </row>
    <row r="502" spans="1:9" ht="14.25">
      <c r="A502" s="484"/>
      <c r="B502" s="484"/>
      <c r="D502" s="1271"/>
      <c r="E502" s="1271"/>
      <c r="F502" s="1271"/>
      <c r="I502" s="490"/>
    </row>
    <row r="503" spans="1:9" ht="14.25">
      <c r="A503" s="484"/>
      <c r="B503" s="484"/>
      <c r="D503" s="446"/>
      <c r="I503" s="490"/>
    </row>
    <row r="504" spans="1:9" ht="12.75" customHeight="1">
      <c r="B504" s="485" t="s">
        <v>2778</v>
      </c>
      <c r="D504" s="1296" t="s">
        <v>1273</v>
      </c>
      <c r="E504" s="1296"/>
      <c r="F504" s="1296"/>
      <c r="I504" s="490"/>
    </row>
    <row r="505" spans="1:9" ht="14.25">
      <c r="A505" s="484"/>
      <c r="D505" s="1296"/>
      <c r="E505" s="1296"/>
      <c r="F505" s="1296"/>
      <c r="I505" s="490"/>
    </row>
    <row r="506" spans="1:9" ht="14.25">
      <c r="A506" s="484"/>
      <c r="B506" s="484"/>
      <c r="D506" s="1296"/>
      <c r="E506" s="1296"/>
      <c r="F506" s="1296"/>
      <c r="I506" s="490"/>
    </row>
    <row r="507" spans="1:9" ht="14.25">
      <c r="A507" s="484"/>
      <c r="B507" s="484"/>
      <c r="D507" s="1296"/>
      <c r="E507" s="1296"/>
      <c r="F507" s="1296"/>
      <c r="I507" s="490"/>
    </row>
    <row r="508" spans="1:9" ht="14.25">
      <c r="A508" s="484"/>
      <c r="D508" s="520"/>
      <c r="E508" s="520"/>
      <c r="F508" s="520"/>
      <c r="I508" s="490"/>
    </row>
    <row r="509" spans="1:9" ht="14.25">
      <c r="A509" s="484"/>
      <c r="B509" s="485" t="s">
        <v>2778</v>
      </c>
      <c r="D509" s="1293" t="s">
        <v>1143</v>
      </c>
      <c r="E509" s="1293"/>
      <c r="F509" s="1293"/>
      <c r="I509" s="490"/>
    </row>
    <row r="510" spans="1:9" ht="14.25">
      <c r="A510" s="484"/>
      <c r="B510" s="484"/>
      <c r="D510" s="446"/>
      <c r="I510" s="490"/>
    </row>
    <row r="511" spans="1:9" ht="14.25">
      <c r="A511" s="484"/>
      <c r="B511" s="485" t="s">
        <v>2778</v>
      </c>
      <c r="D511" s="1292" t="s">
        <v>1144</v>
      </c>
      <c r="E511" s="1292"/>
      <c r="F511" s="1292"/>
      <c r="I511" s="490"/>
    </row>
    <row r="512" spans="1:9" ht="14.25">
      <c r="A512" s="484"/>
      <c r="D512" s="1292"/>
      <c r="E512" s="1292"/>
      <c r="F512" s="1292"/>
      <c r="I512" s="490"/>
    </row>
    <row r="513" spans="1:9">
      <c r="A513" s="490"/>
      <c r="B513" s="490"/>
      <c r="D513" s="447"/>
      <c r="I513" s="490"/>
    </row>
    <row r="514" spans="1:9">
      <c r="A514" s="490"/>
      <c r="B514" s="485" t="s">
        <v>2779</v>
      </c>
      <c r="D514" s="1293" t="s">
        <v>1145</v>
      </c>
      <c r="E514" s="1293"/>
      <c r="F514" s="1293"/>
      <c r="I514" s="490"/>
    </row>
    <row r="515" spans="1:9">
      <c r="D515" s="446"/>
      <c r="E515" s="446"/>
      <c r="F515" s="446"/>
      <c r="I515" s="490"/>
    </row>
    <row r="516" spans="1:9">
      <c r="B516" s="485" t="s">
        <v>2779</v>
      </c>
      <c r="D516" s="1292" t="s">
        <v>2223</v>
      </c>
      <c r="E516" s="1292"/>
      <c r="F516" s="1292"/>
      <c r="I516" s="490"/>
    </row>
    <row r="517" spans="1:9">
      <c r="D517" s="1292"/>
      <c r="E517" s="1292"/>
      <c r="F517" s="1292"/>
      <c r="I517" s="490"/>
    </row>
    <row r="518" spans="1:9">
      <c r="D518" s="1292"/>
      <c r="E518" s="1292"/>
      <c r="F518" s="1292"/>
      <c r="I518" s="490"/>
    </row>
    <row r="519" spans="1:9">
      <c r="D519" s="446"/>
      <c r="E519" s="446"/>
      <c r="F519" s="446"/>
      <c r="I519" s="490"/>
    </row>
    <row r="520" spans="1:9" ht="14.25">
      <c r="A520" s="484"/>
      <c r="B520" s="484"/>
      <c r="D520" s="446"/>
      <c r="I520" s="490"/>
    </row>
    <row r="521" spans="1:9">
      <c r="A521" s="1295" t="s">
        <v>1051</v>
      </c>
      <c r="B521" s="1295"/>
      <c r="C521" s="1295"/>
      <c r="D521" s="1295"/>
      <c r="E521" s="1295"/>
      <c r="F521" s="1295"/>
      <c r="G521" s="1295"/>
      <c r="H521" s="1023"/>
      <c r="I521" s="1147"/>
    </row>
    <row r="522" spans="1:9" ht="12" customHeight="1">
      <c r="A522" s="484"/>
      <c r="B522" s="484"/>
      <c r="D522" s="446"/>
      <c r="I522" s="490"/>
    </row>
    <row r="523" spans="1:9">
      <c r="C523" s="482"/>
      <c r="D523" s="1301" t="s">
        <v>793</v>
      </c>
      <c r="E523" s="1301"/>
      <c r="F523" s="1301"/>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2778</v>
      </c>
      <c r="C527" s="483"/>
      <c r="D527" s="1271" t="s">
        <v>2020</v>
      </c>
      <c r="E527" s="1271"/>
      <c r="F527" s="1271"/>
      <c r="I527" s="490"/>
    </row>
    <row r="528" spans="1:9">
      <c r="A528" s="483"/>
      <c r="B528" s="483"/>
      <c r="C528" s="483"/>
      <c r="D528" s="1271"/>
      <c r="E528" s="1271"/>
      <c r="F528" s="1271"/>
      <c r="I528" s="490"/>
    </row>
    <row r="529" spans="1:9">
      <c r="A529" s="483"/>
      <c r="B529" s="483"/>
      <c r="C529" s="483"/>
      <c r="D529" s="451"/>
      <c r="E529" s="451"/>
      <c r="F529" s="451"/>
      <c r="I529" s="480"/>
    </row>
    <row r="530" spans="1:9" ht="12.75" customHeight="1">
      <c r="A530" s="483"/>
      <c r="B530" s="485" t="s">
        <v>2778</v>
      </c>
      <c r="D530" s="386" t="s">
        <v>1877</v>
      </c>
      <c r="E530" s="385"/>
      <c r="F530" s="385"/>
      <c r="I530" s="490"/>
    </row>
    <row r="531" spans="1:9">
      <c r="A531" s="483"/>
      <c r="B531" s="483"/>
      <c r="C531" s="483"/>
      <c r="D531" s="385"/>
      <c r="E531" s="96" t="s">
        <v>1878</v>
      </c>
      <c r="I531" s="490"/>
    </row>
    <row r="532" spans="1:9">
      <c r="A532" s="483"/>
      <c r="B532" s="483"/>
      <c r="D532" s="1288" t="s">
        <v>2021</v>
      </c>
      <c r="E532" s="1288"/>
      <c r="F532" s="1288"/>
      <c r="I532" s="490"/>
    </row>
    <row r="533" spans="1:9">
      <c r="A533" s="483"/>
      <c r="B533" s="483"/>
      <c r="D533" s="1288"/>
      <c r="E533" s="1288"/>
      <c r="F533" s="1288"/>
      <c r="I533" s="490"/>
    </row>
    <row r="534" spans="1:9">
      <c r="A534" s="483"/>
      <c r="B534" s="483"/>
      <c r="C534" s="483"/>
      <c r="D534" s="1288"/>
      <c r="E534" s="1288"/>
      <c r="F534" s="1288"/>
      <c r="I534" s="490"/>
    </row>
    <row r="535" spans="1:9">
      <c r="A535" s="483"/>
      <c r="B535" s="483"/>
      <c r="C535" s="483"/>
      <c r="D535" s="498"/>
      <c r="F535" s="446"/>
      <c r="I535" s="490"/>
    </row>
    <row r="536" spans="1:9" ht="13.15" customHeight="1">
      <c r="A536" s="483"/>
      <c r="B536" s="485" t="s">
        <v>2779</v>
      </c>
      <c r="C536" s="483"/>
      <c r="D536" s="1292" t="s">
        <v>2638</v>
      </c>
      <c r="E536" s="1292"/>
      <c r="F536" s="1292"/>
      <c r="I536" s="490"/>
    </row>
    <row r="537" spans="1:9" ht="13.15" customHeight="1">
      <c r="A537" s="483"/>
      <c r="B537" s="483"/>
      <c r="C537" s="483"/>
      <c r="D537" s="1292"/>
      <c r="E537" s="1292"/>
      <c r="F537" s="1292"/>
      <c r="I537" s="490"/>
    </row>
    <row r="538" spans="1:9">
      <c r="A538" s="483"/>
      <c r="B538" s="483"/>
      <c r="C538" s="483"/>
      <c r="D538" s="1292"/>
      <c r="E538" s="1292"/>
      <c r="F538" s="1292"/>
      <c r="I538" s="490"/>
    </row>
    <row r="539" spans="1:9" ht="12" customHeight="1">
      <c r="A539" s="446"/>
      <c r="B539" s="446"/>
      <c r="C539" s="487"/>
      <c r="D539" s="446"/>
      <c r="F539" s="448"/>
      <c r="I539" s="490"/>
    </row>
    <row r="540" spans="1:9">
      <c r="A540" s="1295" t="s">
        <v>1052</v>
      </c>
      <c r="B540" s="1295"/>
      <c r="C540" s="1295"/>
      <c r="D540" s="1295"/>
      <c r="E540" s="1295"/>
      <c r="F540" s="1295"/>
      <c r="G540" s="1295"/>
      <c r="H540" s="1023"/>
      <c r="I540" s="1147"/>
    </row>
    <row r="541" spans="1:9">
      <c r="A541" s="446"/>
      <c r="B541" s="446"/>
      <c r="C541" s="487"/>
      <c r="F541" s="448"/>
      <c r="I541" s="490"/>
    </row>
    <row r="542" spans="1:9">
      <c r="B542" s="1299" t="s">
        <v>446</v>
      </c>
      <c r="C542" s="1299"/>
      <c r="D542" s="1299"/>
      <c r="E542" s="1299"/>
      <c r="F542" s="1299"/>
      <c r="I542" s="490"/>
    </row>
    <row r="543" spans="1:9">
      <c r="A543" s="446"/>
      <c r="B543" s="446"/>
      <c r="C543" s="487"/>
      <c r="D543" s="446"/>
      <c r="F543" s="446"/>
      <c r="I543" s="490"/>
    </row>
    <row r="544" spans="1:9">
      <c r="A544" s="1300" t="s">
        <v>1053</v>
      </c>
      <c r="B544" s="1300"/>
      <c r="C544" s="1300"/>
      <c r="D544" s="1300"/>
      <c r="E544" s="1300"/>
      <c r="F544" s="1300"/>
      <c r="G544" s="1300"/>
      <c r="H544" s="1023"/>
      <c r="I544" s="1147"/>
    </row>
    <row r="545" spans="1:9">
      <c r="A545" s="446"/>
      <c r="B545" s="446"/>
      <c r="C545" s="487"/>
      <c r="D545" s="446"/>
      <c r="F545" s="446"/>
      <c r="I545" s="490"/>
    </row>
    <row r="546" spans="1:9">
      <c r="C546" s="487"/>
      <c r="D546" s="1301" t="s">
        <v>683</v>
      </c>
      <c r="E546" s="1301"/>
      <c r="F546" s="1301"/>
      <c r="I546" s="490"/>
    </row>
    <row r="547" spans="1:9">
      <c r="C547" s="487"/>
      <c r="D547" s="1293" t="s">
        <v>1081</v>
      </c>
      <c r="E547" s="1293"/>
      <c r="F547" s="1293"/>
      <c r="I547" s="490"/>
    </row>
    <row r="548" spans="1:9">
      <c r="C548" s="487"/>
      <c r="D548" s="446"/>
      <c r="E548" s="446"/>
      <c r="F548" s="446"/>
      <c r="I548" s="490"/>
    </row>
    <row r="549" spans="1:9" ht="13.7" customHeight="1">
      <c r="A549" s="484"/>
      <c r="B549" s="485" t="s">
        <v>2778</v>
      </c>
      <c r="C549" s="487"/>
      <c r="D549" s="1293" t="s">
        <v>884</v>
      </c>
      <c r="E549" s="1293"/>
      <c r="F549" s="1293"/>
      <c r="I549" s="490"/>
    </row>
    <row r="550" spans="1:9" ht="13.7" customHeight="1">
      <c r="A550" s="487"/>
      <c r="B550" s="487"/>
      <c r="C550" s="487"/>
      <c r="D550" s="446"/>
      <c r="I550" s="490"/>
    </row>
    <row r="551" spans="1:9" ht="14.25">
      <c r="A551" s="484"/>
      <c r="B551" s="485" t="s">
        <v>2778</v>
      </c>
      <c r="C551" s="487"/>
      <c r="D551" s="1292" t="s">
        <v>1082</v>
      </c>
      <c r="E551" s="1292"/>
      <c r="F551" s="1292"/>
      <c r="I551" s="490"/>
    </row>
    <row r="552" spans="1:9">
      <c r="A552" s="487"/>
      <c r="B552" s="487"/>
      <c r="C552" s="487"/>
      <c r="D552" s="1292"/>
      <c r="E552" s="1292"/>
      <c r="F552" s="1292"/>
      <c r="I552" s="490"/>
    </row>
    <row r="553" spans="1:9">
      <c r="A553" s="487"/>
      <c r="B553" s="487"/>
      <c r="C553" s="487"/>
      <c r="D553" s="446"/>
      <c r="E553" s="446"/>
      <c r="F553" s="446"/>
      <c r="I553" s="490"/>
    </row>
    <row r="554" spans="1:9" ht="14.25">
      <c r="A554" s="484"/>
      <c r="B554" s="485" t="s">
        <v>2778</v>
      </c>
      <c r="C554" s="487"/>
      <c r="D554" s="1292" t="s">
        <v>1083</v>
      </c>
      <c r="E554" s="1292"/>
      <c r="F554" s="1292"/>
      <c r="I554" s="490"/>
    </row>
    <row r="555" spans="1:9">
      <c r="A555" s="487"/>
      <c r="B555" s="487"/>
      <c r="C555" s="487"/>
      <c r="D555" s="1292"/>
      <c r="E555" s="1292"/>
      <c r="F555" s="1292"/>
      <c r="I555" s="490"/>
    </row>
    <row r="556" spans="1:9">
      <c r="A556" s="487"/>
      <c r="B556" s="487"/>
      <c r="C556" s="487"/>
      <c r="D556" s="446"/>
      <c r="E556" s="446"/>
      <c r="F556" s="446"/>
      <c r="I556" s="490"/>
    </row>
    <row r="557" spans="1:9" ht="14.25">
      <c r="A557" s="484"/>
      <c r="B557" s="485" t="s">
        <v>2778</v>
      </c>
      <c r="C557" s="487"/>
      <c r="D557" s="1292" t="s">
        <v>1084</v>
      </c>
      <c r="E557" s="1292"/>
      <c r="F557" s="1292"/>
      <c r="I557" s="490"/>
    </row>
    <row r="558" spans="1:9">
      <c r="A558" s="487"/>
      <c r="B558" s="487"/>
      <c r="C558" s="487"/>
      <c r="D558" s="1292"/>
      <c r="E558" s="1292"/>
      <c r="F558" s="1292"/>
      <c r="I558" s="490"/>
    </row>
    <row r="559" spans="1:9">
      <c r="A559" s="487"/>
      <c r="B559" s="487"/>
      <c r="C559" s="487"/>
      <c r="D559" s="446"/>
      <c r="E559" s="446"/>
      <c r="F559" s="446"/>
      <c r="I559" s="490"/>
    </row>
    <row r="560" spans="1:9" ht="14.25">
      <c r="A560" s="484"/>
      <c r="B560" s="485" t="s">
        <v>2778</v>
      </c>
      <c r="C560" s="487"/>
      <c r="D560" s="1292" t="s">
        <v>1085</v>
      </c>
      <c r="E560" s="1292"/>
      <c r="F560" s="1292"/>
      <c r="I560" s="490"/>
    </row>
    <row r="561" spans="1:9">
      <c r="A561" s="487"/>
      <c r="B561" s="487"/>
      <c r="C561" s="487"/>
      <c r="D561" s="1292"/>
      <c r="E561" s="1292"/>
      <c r="F561" s="1292"/>
      <c r="I561" s="490"/>
    </row>
    <row r="562" spans="1:9">
      <c r="A562" s="487"/>
      <c r="B562" s="487"/>
      <c r="C562" s="487"/>
      <c r="D562" s="1292"/>
      <c r="E562" s="1292"/>
      <c r="F562" s="1292"/>
      <c r="I562" s="490"/>
    </row>
    <row r="563" spans="1:9">
      <c r="A563" s="487"/>
      <c r="B563" s="487"/>
      <c r="C563" s="487"/>
      <c r="D563" s="446"/>
      <c r="E563" s="446"/>
      <c r="F563" s="446"/>
      <c r="I563" s="490"/>
    </row>
    <row r="564" spans="1:9" ht="14.25">
      <c r="A564" s="484"/>
      <c r="B564" s="485" t="s">
        <v>2778</v>
      </c>
      <c r="C564" s="487"/>
      <c r="D564" s="1292" t="s">
        <v>2201</v>
      </c>
      <c r="E564" s="1292"/>
      <c r="F564" s="1292"/>
      <c r="I564" s="490"/>
    </row>
    <row r="565" spans="1:9">
      <c r="A565" s="487"/>
      <c r="B565" s="487"/>
      <c r="C565" s="487"/>
      <c r="D565" s="1292"/>
      <c r="E565" s="1292"/>
      <c r="F565" s="1292"/>
      <c r="I565" s="490"/>
    </row>
    <row r="566" spans="1:9">
      <c r="A566" s="487"/>
      <c r="B566" s="487"/>
      <c r="C566" s="487"/>
      <c r="D566" s="446"/>
      <c r="E566" s="446"/>
      <c r="F566" s="446"/>
      <c r="I566" s="490"/>
    </row>
    <row r="567" spans="1:9" ht="14.25">
      <c r="A567" s="484"/>
      <c r="B567" s="485" t="s">
        <v>2779</v>
      </c>
      <c r="C567" s="487"/>
      <c r="D567" s="1292" t="s">
        <v>1086</v>
      </c>
      <c r="E567" s="1292"/>
      <c r="F567" s="1292"/>
      <c r="I567" s="490"/>
    </row>
    <row r="568" spans="1:9">
      <c r="A568" s="487"/>
      <c r="B568" s="487"/>
      <c r="C568" s="487"/>
      <c r="D568" s="1292"/>
      <c r="E568" s="1292"/>
      <c r="F568" s="1292"/>
      <c r="I568" s="490"/>
    </row>
    <row r="569" spans="1:9">
      <c r="A569" s="487"/>
      <c r="B569" s="487"/>
      <c r="C569" s="487"/>
      <c r="D569" s="446"/>
      <c r="E569" s="446"/>
      <c r="F569" s="446"/>
      <c r="I569" s="490"/>
    </row>
    <row r="570" spans="1:9" ht="14.25">
      <c r="A570" s="484"/>
      <c r="B570" s="485" t="s">
        <v>2778</v>
      </c>
      <c r="C570" s="487"/>
      <c r="D570" s="1293" t="s">
        <v>1087</v>
      </c>
      <c r="E570" s="1293"/>
      <c r="F570" s="1293"/>
      <c r="I570" s="490"/>
    </row>
    <row r="571" spans="1:9">
      <c r="A571" s="490"/>
      <c r="B571" s="490"/>
      <c r="C571" s="487"/>
      <c r="D571" s="1293" t="s">
        <v>1880</v>
      </c>
      <c r="E571" s="1293"/>
      <c r="F571" s="1293"/>
      <c r="I571" s="490"/>
    </row>
    <row r="572" spans="1:9">
      <c r="A572" s="490"/>
      <c r="B572" s="490"/>
      <c r="C572" s="487"/>
      <c r="E572" s="96" t="s">
        <v>1879</v>
      </c>
      <c r="F572" s="404"/>
      <c r="I572" s="490"/>
    </row>
    <row r="573" spans="1:9" ht="14.25">
      <c r="A573" s="484"/>
      <c r="B573" s="484"/>
      <c r="C573" s="487"/>
      <c r="E573" s="446"/>
      <c r="F573" s="446"/>
      <c r="I573" s="490"/>
    </row>
    <row r="574" spans="1:9" ht="14.25">
      <c r="A574" s="484"/>
      <c r="B574" s="485" t="s">
        <v>2778</v>
      </c>
      <c r="C574" s="487"/>
      <c r="D574" s="1293" t="s">
        <v>1088</v>
      </c>
      <c r="E574" s="1293"/>
      <c r="F574" s="1293"/>
      <c r="I574" s="490"/>
    </row>
    <row r="575" spans="1:9">
      <c r="C575" s="487"/>
      <c r="D575" s="1292" t="s">
        <v>1089</v>
      </c>
      <c r="E575" s="1292"/>
      <c r="F575" s="1292"/>
      <c r="I575" s="490"/>
    </row>
    <row r="576" spans="1:9">
      <c r="A576" s="487"/>
      <c r="B576" s="487"/>
      <c r="C576" s="487"/>
      <c r="D576" s="1292"/>
      <c r="E576" s="1292"/>
      <c r="F576" s="1292"/>
      <c r="I576" s="490"/>
    </row>
    <row r="577" spans="1:9">
      <c r="A577" s="487"/>
      <c r="B577" s="487"/>
      <c r="C577" s="487"/>
      <c r="D577" s="1292"/>
      <c r="E577" s="1292"/>
      <c r="F577" s="1292"/>
      <c r="I577" s="490"/>
    </row>
    <row r="578" spans="1:9">
      <c r="A578" s="487"/>
      <c r="B578" s="487"/>
      <c r="C578" s="487"/>
      <c r="D578" s="446"/>
      <c r="E578" s="446"/>
      <c r="F578" s="446"/>
      <c r="I578" s="490"/>
    </row>
    <row r="579" spans="1:9" ht="14.25">
      <c r="A579" s="484"/>
      <c r="B579" s="485" t="s">
        <v>2778</v>
      </c>
      <c r="C579" s="487"/>
      <c r="D579" s="1292" t="s">
        <v>2022</v>
      </c>
      <c r="E579" s="1292"/>
      <c r="F579" s="1292"/>
      <c r="I579" s="490"/>
    </row>
    <row r="580" spans="1:9" ht="14.25">
      <c r="A580" s="484"/>
      <c r="B580" s="484"/>
      <c r="C580" s="487"/>
      <c r="D580" s="1292"/>
      <c r="E580" s="1292"/>
      <c r="F580" s="1292"/>
      <c r="I580" s="490"/>
    </row>
    <row r="581" spans="1:9" ht="14.25">
      <c r="A581" s="484"/>
      <c r="B581" s="484"/>
      <c r="C581" s="487"/>
      <c r="D581" s="1292"/>
      <c r="E581" s="1292"/>
      <c r="F581" s="1292"/>
      <c r="I581" s="490"/>
    </row>
    <row r="582" spans="1:9" ht="14.25">
      <c r="A582" s="484"/>
      <c r="B582" s="484"/>
      <c r="C582" s="487"/>
      <c r="D582" s="1292"/>
      <c r="E582" s="1292"/>
      <c r="F582" s="1292"/>
      <c r="I582" s="490"/>
    </row>
    <row r="583" spans="1:9" ht="14.25">
      <c r="A583" s="484"/>
      <c r="B583" s="484"/>
      <c r="C583" s="487"/>
      <c r="D583" s="446"/>
      <c r="E583" s="446"/>
      <c r="F583" s="446"/>
      <c r="I583" s="490"/>
    </row>
    <row r="584" spans="1:9">
      <c r="A584" s="1295" t="s">
        <v>1054</v>
      </c>
      <c r="B584" s="1295"/>
      <c r="C584" s="1295"/>
      <c r="D584" s="1295"/>
      <c r="E584" s="1295"/>
      <c r="F584" s="1295"/>
      <c r="G584" s="1295"/>
      <c r="H584" s="1023"/>
      <c r="I584" s="1147"/>
    </row>
    <row r="585" spans="1:9">
      <c r="A585" s="487"/>
      <c r="B585" s="487"/>
      <c r="C585" s="487"/>
      <c r="E585" s="446"/>
      <c r="F585" s="446"/>
      <c r="I585" s="490"/>
    </row>
    <row r="586" spans="1:9" ht="12.75" customHeight="1">
      <c r="C586" s="482"/>
      <c r="D586" s="1294" t="s">
        <v>210</v>
      </c>
      <c r="E586" s="1294"/>
      <c r="F586" s="1294"/>
      <c r="I586" s="490"/>
    </row>
    <row r="587" spans="1:9">
      <c r="A587" s="483"/>
      <c r="B587" s="483"/>
      <c r="C587" s="483"/>
      <c r="D587" s="1296" t="s">
        <v>1067</v>
      </c>
      <c r="E587" s="1296"/>
      <c r="F587" s="1296"/>
      <c r="I587" s="490"/>
    </row>
    <row r="588" spans="1:9">
      <c r="A588" s="402"/>
      <c r="B588" s="402"/>
      <c r="C588" s="483"/>
      <c r="D588" s="499"/>
      <c r="I588" s="490"/>
    </row>
    <row r="589" spans="1:9" hidden="1">
      <c r="A589" s="483"/>
      <c r="B589" s="485" t="s">
        <v>307</v>
      </c>
      <c r="D589" s="1296" t="s">
        <v>888</v>
      </c>
      <c r="E589" s="1296"/>
      <c r="F589" s="1296"/>
      <c r="I589" s="490"/>
    </row>
    <row r="590" spans="1:9" hidden="1">
      <c r="A590" s="490"/>
      <c r="B590" s="490"/>
      <c r="D590" s="476"/>
      <c r="I590" s="490"/>
    </row>
    <row r="591" spans="1:9">
      <c r="A591" s="490"/>
      <c r="B591" s="485" t="s">
        <v>2778</v>
      </c>
      <c r="D591" s="1296" t="s">
        <v>2023</v>
      </c>
      <c r="E591" s="1296"/>
      <c r="F591" s="1296"/>
      <c r="I591" s="490"/>
    </row>
    <row r="592" spans="1:9">
      <c r="A592" s="490"/>
      <c r="B592" s="490"/>
      <c r="D592" s="1296"/>
      <c r="E592" s="1296"/>
      <c r="F592" s="1296"/>
      <c r="I592" s="490"/>
    </row>
    <row r="593" spans="1:9">
      <c r="A593" s="490"/>
      <c r="B593" s="490"/>
      <c r="D593" s="1296"/>
      <c r="E593" s="1296"/>
      <c r="F593" s="1296"/>
      <c r="I593" s="490"/>
    </row>
    <row r="594" spans="1:9">
      <c r="A594" s="490"/>
      <c r="B594" s="490"/>
      <c r="D594" s="1296"/>
      <c r="E594" s="1296"/>
      <c r="F594" s="1296"/>
      <c r="I594" s="490"/>
    </row>
    <row r="595" spans="1:9">
      <c r="A595" s="490"/>
      <c r="B595" s="485" t="s">
        <v>2779</v>
      </c>
      <c r="D595" s="1296" t="s">
        <v>1068</v>
      </c>
      <c r="E595" s="1296"/>
      <c r="F595" s="1296"/>
      <c r="I595" s="490"/>
    </row>
    <row r="596" spans="1:9">
      <c r="A596" s="490"/>
      <c r="B596" s="490"/>
      <c r="D596" s="1296"/>
      <c r="E596" s="1296"/>
      <c r="F596" s="1296"/>
      <c r="I596" s="490"/>
    </row>
    <row r="597" spans="1:9">
      <c r="A597" s="490"/>
      <c r="B597" s="490"/>
      <c r="D597" s="1296"/>
      <c r="E597" s="1296"/>
      <c r="F597" s="1296"/>
      <c r="I597" s="490"/>
    </row>
    <row r="598" spans="1:9">
      <c r="A598" s="490"/>
      <c r="B598" s="490"/>
      <c r="D598" s="1296"/>
      <c r="E598" s="1296"/>
      <c r="F598" s="1296"/>
      <c r="I598" s="490"/>
    </row>
    <row r="599" spans="1:9">
      <c r="A599" s="490"/>
      <c r="B599" s="490"/>
      <c r="D599" s="440"/>
      <c r="E599" s="440"/>
      <c r="F599" s="440"/>
      <c r="I599" s="490"/>
    </row>
    <row r="600" spans="1:9">
      <c r="A600" s="490"/>
      <c r="B600" s="485" t="s">
        <v>2778</v>
      </c>
      <c r="D600" s="1296" t="s">
        <v>2024</v>
      </c>
      <c r="E600" s="1296"/>
      <c r="F600" s="1296"/>
      <c r="I600" s="490"/>
    </row>
    <row r="601" spans="1:9">
      <c r="A601" s="490"/>
      <c r="B601" s="490"/>
      <c r="D601" s="1296"/>
      <c r="E601" s="1296"/>
      <c r="F601" s="1296"/>
      <c r="I601" s="490"/>
    </row>
    <row r="602" spans="1:9">
      <c r="A602" s="490"/>
      <c r="B602" s="490"/>
      <c r="D602" s="499"/>
      <c r="I602" s="490"/>
    </row>
    <row r="603" spans="1:9">
      <c r="A603" s="490"/>
      <c r="B603" s="485" t="s">
        <v>2779</v>
      </c>
      <c r="D603" s="1296" t="s">
        <v>1069</v>
      </c>
      <c r="E603" s="1296"/>
      <c r="F603" s="1296"/>
      <c r="I603" s="490"/>
    </row>
    <row r="604" spans="1:9">
      <c r="A604" s="490"/>
      <c r="B604" s="490"/>
      <c r="D604" s="1296"/>
      <c r="E604" s="1296"/>
      <c r="F604" s="1296"/>
      <c r="I604" s="490"/>
    </row>
    <row r="605" spans="1:9" ht="14.25">
      <c r="A605" s="484"/>
      <c r="B605" s="484"/>
      <c r="D605" s="499"/>
      <c r="I605" s="490"/>
    </row>
    <row r="606" spans="1:9">
      <c r="A606" s="1295" t="s">
        <v>1055</v>
      </c>
      <c r="B606" s="1295"/>
      <c r="C606" s="1295"/>
      <c r="D606" s="1295"/>
      <c r="E606" s="1295"/>
      <c r="F606" s="1295"/>
      <c r="G606" s="1295"/>
      <c r="H606" s="1023"/>
      <c r="I606" s="1147"/>
    </row>
    <row r="607" spans="1:9">
      <c r="I607" s="490"/>
    </row>
    <row r="608" spans="1:9">
      <c r="D608" s="1301" t="s">
        <v>1107</v>
      </c>
      <c r="E608" s="1301"/>
      <c r="F608" s="1301"/>
      <c r="I608" s="490"/>
    </row>
    <row r="609" spans="1:9">
      <c r="D609" s="1302" t="s">
        <v>1108</v>
      </c>
      <c r="E609" s="1302"/>
      <c r="F609" s="1302"/>
      <c r="I609" s="490"/>
    </row>
    <row r="610" spans="1:9">
      <c r="D610" s="444"/>
      <c r="I610" s="490"/>
    </row>
    <row r="611" spans="1:9" ht="14.25" customHeight="1">
      <c r="A611" s="484"/>
      <c r="B611" s="485" t="s">
        <v>2778</v>
      </c>
      <c r="D611" s="1319" t="s">
        <v>1881</v>
      </c>
      <c r="E611" s="1319"/>
      <c r="F611" s="1319"/>
      <c r="I611" s="490"/>
    </row>
    <row r="612" spans="1:9">
      <c r="D612" s="1319"/>
      <c r="E612" s="1319"/>
      <c r="F612" s="1319"/>
      <c r="I612" s="490"/>
    </row>
    <row r="613" spans="1:9">
      <c r="D613" s="385"/>
      <c r="E613" s="1031" t="s">
        <v>1882</v>
      </c>
      <c r="F613" s="385"/>
      <c r="I613" s="490"/>
    </row>
    <row r="614" spans="1:9">
      <c r="I614" s="490"/>
    </row>
    <row r="615" spans="1:9">
      <c r="A615" s="1295" t="s">
        <v>1056</v>
      </c>
      <c r="B615" s="1295"/>
      <c r="C615" s="1295"/>
      <c r="D615" s="1295"/>
      <c r="E615" s="1295"/>
      <c r="F615" s="1295"/>
      <c r="G615" s="1295"/>
      <c r="H615" s="1023"/>
      <c r="I615" s="1147"/>
    </row>
    <row r="616" spans="1:9">
      <c r="A616" s="446"/>
      <c r="B616" s="446"/>
      <c r="I616" s="490"/>
    </row>
    <row r="617" spans="1:9">
      <c r="A617" s="482"/>
      <c r="B617" s="482"/>
      <c r="C617" s="482"/>
      <c r="D617" s="1326" t="s">
        <v>1109</v>
      </c>
      <c r="E617" s="1326"/>
      <c r="F617" s="1326"/>
      <c r="I617" s="490"/>
    </row>
    <row r="618" spans="1:9">
      <c r="A618" s="482"/>
      <c r="B618" s="482"/>
      <c r="C618" s="482"/>
      <c r="D618" s="1326"/>
      <c r="E618" s="1326"/>
      <c r="F618" s="1326"/>
      <c r="I618" s="490"/>
    </row>
    <row r="619" spans="1:9">
      <c r="C619" s="483"/>
      <c r="D619" s="1302" t="s">
        <v>1110</v>
      </c>
      <c r="E619" s="1302"/>
      <c r="F619" s="1302"/>
      <c r="I619" s="490"/>
    </row>
    <row r="620" spans="1:9">
      <c r="C620" s="483"/>
      <c r="D620" s="444"/>
      <c r="E620" s="444"/>
      <c r="F620" s="444"/>
      <c r="I620" s="490"/>
    </row>
    <row r="621" spans="1:9">
      <c r="B621" s="485" t="s">
        <v>2778</v>
      </c>
      <c r="C621" s="483"/>
      <c r="D621" s="1308" t="s">
        <v>2605</v>
      </c>
      <c r="E621" s="1308"/>
      <c r="F621" s="1308"/>
      <c r="I621" s="490"/>
    </row>
    <row r="622" spans="1:9">
      <c r="C622" s="483"/>
      <c r="D622" s="444"/>
      <c r="E622" s="444"/>
      <c r="F622" s="444"/>
      <c r="I622" s="490"/>
    </row>
    <row r="623" spans="1:9" ht="12.75" customHeight="1">
      <c r="A623" s="490"/>
      <c r="B623" s="485" t="s">
        <v>2778</v>
      </c>
      <c r="D623" s="1303" t="s">
        <v>1111</v>
      </c>
      <c r="E623" s="1303"/>
      <c r="F623" s="1303"/>
      <c r="I623" s="490"/>
    </row>
    <row r="624" spans="1:9">
      <c r="D624" s="1303"/>
      <c r="E624" s="1303"/>
      <c r="F624" s="1303"/>
      <c r="I624" s="490"/>
    </row>
    <row r="625" spans="1:9">
      <c r="I625" s="490"/>
    </row>
    <row r="626" spans="1:9">
      <c r="B626" s="485" t="s">
        <v>2778</v>
      </c>
      <c r="D626" s="1303" t="s">
        <v>1112</v>
      </c>
      <c r="E626" s="1303"/>
      <c r="F626" s="1303"/>
      <c r="I626" s="490"/>
    </row>
    <row r="627" spans="1:9">
      <c r="C627" s="500"/>
      <c r="D627" s="1303"/>
      <c r="E627" s="1303"/>
      <c r="F627" s="1303"/>
      <c r="I627" s="490"/>
    </row>
    <row r="628" spans="1:9">
      <c r="C628" s="500"/>
      <c r="I628" s="490"/>
    </row>
    <row r="629" spans="1:9">
      <c r="B629" s="485" t="s">
        <v>2779</v>
      </c>
      <c r="C629" s="500"/>
      <c r="D629" s="1303" t="s">
        <v>1113</v>
      </c>
      <c r="E629" s="1303"/>
      <c r="F629" s="1303"/>
      <c r="I629" s="490"/>
    </row>
    <row r="630" spans="1:9">
      <c r="C630" s="500"/>
      <c r="D630" s="1303"/>
      <c r="E630" s="1303"/>
      <c r="F630" s="1303"/>
      <c r="I630" s="500"/>
    </row>
    <row r="631" spans="1:9">
      <c r="C631" s="500"/>
      <c r="I631" s="490"/>
    </row>
    <row r="632" spans="1:9">
      <c r="B632" s="485" t="s">
        <v>2779</v>
      </c>
      <c r="C632" s="500"/>
      <c r="D632" s="1308" t="s">
        <v>2550</v>
      </c>
      <c r="E632" s="1308"/>
      <c r="F632" s="1308"/>
      <c r="I632" s="490"/>
    </row>
    <row r="633" spans="1:9">
      <c r="C633" s="500"/>
      <c r="I633" s="490"/>
    </row>
    <row r="634" spans="1:9">
      <c r="A634" s="1295" t="s">
        <v>1057</v>
      </c>
      <c r="B634" s="1295"/>
      <c r="C634" s="1295"/>
      <c r="D634" s="1295"/>
      <c r="E634" s="1295"/>
      <c r="F634" s="1295"/>
      <c r="G634" s="1295"/>
      <c r="H634" s="1023"/>
      <c r="I634" s="1147"/>
    </row>
    <row r="635" spans="1:9">
      <c r="A635" s="482"/>
      <c r="B635" s="482"/>
      <c r="C635" s="482"/>
      <c r="I635" s="490"/>
    </row>
    <row r="636" spans="1:9">
      <c r="C636" s="490"/>
      <c r="D636" s="1301" t="s">
        <v>1114</v>
      </c>
      <c r="E636" s="1301"/>
      <c r="F636" s="1301"/>
      <c r="I636" s="490"/>
    </row>
    <row r="637" spans="1:9">
      <c r="A637" s="490"/>
      <c r="B637" s="490"/>
      <c r="D637" s="404"/>
      <c r="I637" s="490"/>
    </row>
    <row r="638" spans="1:9" ht="14.25" customHeight="1">
      <c r="A638" s="484"/>
      <c r="B638" s="485" t="s">
        <v>2778</v>
      </c>
      <c r="D638" s="1319" t="s">
        <v>2025</v>
      </c>
      <c r="E638" s="1319"/>
      <c r="F638" s="1319"/>
      <c r="I638" s="490"/>
    </row>
    <row r="639" spans="1:9">
      <c r="D639" s="1319"/>
      <c r="E639" s="1319"/>
      <c r="F639" s="1319"/>
      <c r="I639" s="490"/>
    </row>
    <row r="640" spans="1:9">
      <c r="D640" s="385"/>
      <c r="E640" s="1031" t="s">
        <v>1884</v>
      </c>
      <c r="F640" s="385"/>
      <c r="I640" s="490"/>
    </row>
    <row r="641" spans="1:9">
      <c r="D641" s="1292" t="s">
        <v>1883</v>
      </c>
      <c r="E641" s="1292"/>
      <c r="F641" s="1292"/>
      <c r="I641" s="490"/>
    </row>
    <row r="642" spans="1:9">
      <c r="D642" s="1292"/>
      <c r="E642" s="1292"/>
      <c r="F642" s="1292"/>
      <c r="I642" s="490"/>
    </row>
    <row r="643" spans="1:9">
      <c r="D643" s="1292"/>
      <c r="E643" s="1292"/>
      <c r="F643" s="1292"/>
      <c r="I643" s="490"/>
    </row>
    <row r="644" spans="1:9">
      <c r="D644" s="445"/>
      <c r="E644" s="445"/>
      <c r="F644" s="445"/>
      <c r="I644" s="490"/>
    </row>
    <row r="645" spans="1:9" ht="14.25">
      <c r="A645" s="484"/>
      <c r="B645" s="485" t="s">
        <v>2779</v>
      </c>
      <c r="D645" s="1292" t="s">
        <v>1115</v>
      </c>
      <c r="E645" s="1292"/>
      <c r="F645" s="1292"/>
      <c r="I645" s="490"/>
    </row>
    <row r="646" spans="1:9">
      <c r="A646" s="487"/>
      <c r="B646" s="487"/>
      <c r="C646" s="487"/>
      <c r="D646" s="1292"/>
      <c r="E646" s="1292"/>
      <c r="F646" s="1292"/>
      <c r="I646" s="490"/>
    </row>
    <row r="647" spans="1:9">
      <c r="A647" s="487"/>
      <c r="B647" s="487"/>
      <c r="C647" s="487"/>
      <c r="D647" s="446"/>
      <c r="E647" s="446"/>
      <c r="F647" s="446"/>
      <c r="I647" s="490"/>
    </row>
    <row r="648" spans="1:9" ht="14.25">
      <c r="A648" s="484"/>
      <c r="B648" s="485" t="s">
        <v>2779</v>
      </c>
      <c r="C648" s="487"/>
      <c r="D648" s="1292" t="s">
        <v>1225</v>
      </c>
      <c r="E648" s="1292"/>
      <c r="F648" s="1292"/>
      <c r="I648" s="490"/>
    </row>
    <row r="649" spans="1:9" ht="14.25">
      <c r="A649" s="484"/>
      <c r="B649" s="484"/>
      <c r="C649" s="487"/>
      <c r="D649" s="1292"/>
      <c r="E649" s="1292"/>
      <c r="F649" s="1292"/>
      <c r="I649" s="490"/>
    </row>
    <row r="650" spans="1:9" ht="14.25">
      <c r="A650" s="484"/>
      <c r="B650" s="484"/>
      <c r="C650" s="487"/>
      <c r="D650" s="1292"/>
      <c r="E650" s="1292"/>
      <c r="F650" s="1292"/>
      <c r="I650" s="490"/>
    </row>
    <row r="651" spans="1:9">
      <c r="A651" s="487"/>
      <c r="B651" s="485" t="s">
        <v>2779</v>
      </c>
      <c r="C651" s="487"/>
      <c r="D651" s="1293" t="s">
        <v>1116</v>
      </c>
      <c r="E651" s="1293"/>
      <c r="F651" s="1293"/>
      <c r="I651" s="490"/>
    </row>
    <row r="652" spans="1:9">
      <c r="A652" s="487"/>
      <c r="B652" s="487"/>
      <c r="C652" s="487"/>
      <c r="D652" s="446"/>
      <c r="E652" s="446"/>
      <c r="F652" s="446"/>
      <c r="I652" s="490"/>
    </row>
    <row r="653" spans="1:9">
      <c r="A653" s="1295" t="s">
        <v>1058</v>
      </c>
      <c r="B653" s="1295"/>
      <c r="C653" s="1295"/>
      <c r="D653" s="1295"/>
      <c r="E653" s="1295"/>
      <c r="F653" s="1295"/>
      <c r="G653" s="1295"/>
      <c r="H653" s="1023"/>
      <c r="I653" s="1147"/>
    </row>
    <row r="654" spans="1:9">
      <c r="A654" s="446"/>
      <c r="B654" s="446"/>
      <c r="C654" s="487"/>
      <c r="D654" s="446"/>
      <c r="E654" s="446"/>
      <c r="F654" s="446"/>
      <c r="I654" s="490"/>
    </row>
    <row r="655" spans="1:9">
      <c r="C655" s="482"/>
      <c r="D655" s="1301" t="s">
        <v>1146</v>
      </c>
      <c r="E655" s="1301"/>
      <c r="F655" s="1301"/>
      <c r="I655" s="490"/>
    </row>
    <row r="656" spans="1:9">
      <c r="A656" s="483"/>
      <c r="B656" s="483"/>
      <c r="C656" s="483"/>
      <c r="D656" s="1293" t="s">
        <v>1147</v>
      </c>
      <c r="E656" s="1293"/>
      <c r="F656" s="1293"/>
      <c r="I656" s="490"/>
    </row>
    <row r="657" spans="1:9">
      <c r="A657" s="483"/>
      <c r="B657" s="483"/>
      <c r="C657" s="483"/>
      <c r="D657" s="446"/>
      <c r="E657" s="446"/>
      <c r="F657" s="446"/>
      <c r="I657" s="490"/>
    </row>
    <row r="658" spans="1:9" ht="12.75" customHeight="1">
      <c r="B658" s="485" t="s">
        <v>2778</v>
      </c>
      <c r="C658" s="487"/>
      <c r="D658" s="1292" t="s">
        <v>1281</v>
      </c>
      <c r="E658" s="1292"/>
      <c r="F658" s="1292"/>
      <c r="I658" s="490"/>
    </row>
    <row r="659" spans="1:9">
      <c r="D659" s="1292"/>
      <c r="E659" s="1292"/>
      <c r="F659" s="1292"/>
      <c r="I659" s="490"/>
    </row>
    <row r="660" spans="1:9">
      <c r="D660" s="1292"/>
      <c r="E660" s="1292"/>
      <c r="F660" s="1292"/>
      <c r="I660" s="490"/>
    </row>
    <row r="661" spans="1:9">
      <c r="D661" s="1292"/>
      <c r="E661" s="1292"/>
      <c r="F661" s="1292"/>
      <c r="I661" s="490"/>
    </row>
    <row r="662" spans="1:9" ht="14.45" customHeight="1">
      <c r="A662" s="484"/>
      <c r="B662" s="484"/>
      <c r="C662" s="487"/>
      <c r="D662" s="385"/>
      <c r="E662" s="385"/>
      <c r="F662" s="385"/>
      <c r="I662" s="490"/>
    </row>
    <row r="663" spans="1:9" ht="12.75" customHeight="1">
      <c r="A663" s="483"/>
      <c r="B663" s="485" t="s">
        <v>2779</v>
      </c>
      <c r="C663" s="487"/>
      <c r="D663" s="1292" t="s">
        <v>1283</v>
      </c>
      <c r="E663" s="1292"/>
      <c r="F663" s="1292"/>
      <c r="I663" s="490"/>
    </row>
    <row r="664" spans="1:9" ht="14.25">
      <c r="A664" s="483"/>
      <c r="B664" s="484"/>
      <c r="C664" s="487"/>
      <c r="D664" s="1292"/>
      <c r="E664" s="1292"/>
      <c r="F664" s="1292"/>
      <c r="I664" s="490"/>
    </row>
    <row r="665" spans="1:9" ht="14.25">
      <c r="A665" s="483"/>
      <c r="B665" s="484"/>
      <c r="C665" s="487"/>
      <c r="D665" s="1292"/>
      <c r="E665" s="1292"/>
      <c r="F665" s="1292"/>
      <c r="I665" s="490"/>
    </row>
    <row r="666" spans="1:9" ht="14.25">
      <c r="A666" s="483"/>
      <c r="B666" s="484"/>
      <c r="C666" s="487"/>
      <c r="D666" s="1292"/>
      <c r="E666" s="1292"/>
      <c r="F666" s="1292"/>
      <c r="I666" s="490"/>
    </row>
    <row r="667" spans="1:9" ht="14.25">
      <c r="A667" s="483"/>
      <c r="B667" s="484"/>
      <c r="C667" s="487"/>
      <c r="D667" s="1292"/>
      <c r="E667" s="1292"/>
      <c r="F667" s="1292"/>
      <c r="I667" s="490"/>
    </row>
    <row r="668" spans="1:9" ht="14.25" customHeight="1">
      <c r="A668" s="483"/>
      <c r="B668" s="484"/>
      <c r="C668" s="487"/>
      <c r="F668" s="386"/>
      <c r="I668" s="490"/>
    </row>
    <row r="669" spans="1:9" ht="12.75" customHeight="1">
      <c r="A669" s="483"/>
      <c r="B669" s="485" t="s">
        <v>2779</v>
      </c>
      <c r="C669" s="487"/>
      <c r="D669" s="1292" t="s">
        <v>1282</v>
      </c>
      <c r="E669" s="1292"/>
      <c r="F669" s="1292"/>
      <c r="I669" s="490"/>
    </row>
    <row r="670" spans="1:9" ht="14.25">
      <c r="A670" s="483"/>
      <c r="B670" s="484"/>
      <c r="C670" s="487"/>
      <c r="D670" s="1292"/>
      <c r="E670" s="1292"/>
      <c r="F670" s="1292"/>
      <c r="I670" s="490"/>
    </row>
    <row r="671" spans="1:9" ht="14.25">
      <c r="A671" s="484"/>
      <c r="B671" s="484"/>
      <c r="C671" s="487"/>
      <c r="D671" s="1292"/>
      <c r="E671" s="1292"/>
      <c r="F671" s="1292"/>
      <c r="I671" s="490"/>
    </row>
    <row r="672" spans="1:9" ht="14.25">
      <c r="A672" s="484"/>
      <c r="B672" s="484"/>
      <c r="C672" s="487"/>
      <c r="D672" s="1292"/>
      <c r="E672" s="1292"/>
      <c r="F672" s="1292"/>
      <c r="I672" s="490"/>
    </row>
    <row r="673" spans="1:11" ht="14.25">
      <c r="A673" s="484"/>
      <c r="B673" s="484"/>
      <c r="C673" s="487"/>
      <c r="D673" s="445"/>
      <c r="E673" s="445"/>
      <c r="F673" s="445"/>
      <c r="I673" s="490"/>
    </row>
    <row r="674" spans="1:11" ht="12.75" customHeight="1">
      <c r="A674" s="483"/>
      <c r="B674" s="485" t="s">
        <v>2779</v>
      </c>
      <c r="C674" s="487"/>
      <c r="D674" s="1292" t="s">
        <v>2026</v>
      </c>
      <c r="E674" s="1292"/>
      <c r="F674" s="1292"/>
      <c r="I674" s="490"/>
    </row>
    <row r="675" spans="1:11" ht="12.75" customHeight="1">
      <c r="A675" s="483"/>
      <c r="B675" s="484"/>
      <c r="C675" s="487"/>
      <c r="D675" s="1292"/>
      <c r="E675" s="1292"/>
      <c r="F675" s="1292"/>
      <c r="I675" s="490"/>
    </row>
    <row r="676" spans="1:11" ht="12.75" customHeight="1">
      <c r="A676" s="483"/>
      <c r="B676" s="484"/>
      <c r="C676" s="487"/>
      <c r="D676" s="1292"/>
      <c r="E676" s="1292"/>
      <c r="F676" s="1292"/>
      <c r="I676" s="490"/>
    </row>
    <row r="677" spans="1:11" ht="12.75" customHeight="1">
      <c r="A677" s="483"/>
      <c r="B677" s="484"/>
      <c r="C677" s="487"/>
      <c r="D677" s="1292"/>
      <c r="E677" s="1292"/>
      <c r="F677" s="1292"/>
      <c r="I677" s="490"/>
    </row>
    <row r="678" spans="1:11" ht="12.75" customHeight="1">
      <c r="A678" s="483"/>
      <c r="B678" s="484"/>
      <c r="C678" s="487"/>
      <c r="D678" s="1292"/>
      <c r="E678" s="1292"/>
      <c r="F678" s="1292"/>
      <c r="I678" s="490"/>
    </row>
    <row r="679" spans="1:11" ht="12.75" customHeight="1">
      <c r="A679" s="483"/>
      <c r="B679" s="484"/>
      <c r="C679" s="487"/>
      <c r="D679" s="1292"/>
      <c r="E679" s="1292"/>
      <c r="F679" s="1292"/>
      <c r="I679" s="490"/>
    </row>
    <row r="680" spans="1:11" ht="12.75" customHeight="1">
      <c r="A680" s="483"/>
      <c r="B680" s="484"/>
      <c r="C680" s="487"/>
      <c r="D680" s="1292"/>
      <c r="E680" s="1292"/>
      <c r="F680" s="1292"/>
      <c r="I680" s="490"/>
    </row>
    <row r="681" spans="1:11" ht="12.75" customHeight="1">
      <c r="A681" s="483"/>
      <c r="B681" s="484"/>
      <c r="C681" s="487"/>
      <c r="D681" s="1292"/>
      <c r="E681" s="1292"/>
      <c r="F681" s="1292"/>
      <c r="I681" s="490"/>
    </row>
    <row r="682" spans="1:11" ht="12.75" customHeight="1">
      <c r="A682" s="483"/>
      <c r="B682" s="484"/>
      <c r="C682" s="487"/>
      <c r="D682" s="1292"/>
      <c r="E682" s="1292"/>
      <c r="F682" s="1292"/>
      <c r="I682" s="490"/>
    </row>
    <row r="683" spans="1:11">
      <c r="A683" s="487"/>
      <c r="B683" s="487"/>
      <c r="C683" s="487"/>
      <c r="D683" s="446"/>
      <c r="E683" s="446"/>
      <c r="F683" s="446"/>
      <c r="I683" s="490"/>
    </row>
    <row r="684" spans="1:11">
      <c r="A684" s="1295" t="s">
        <v>1059</v>
      </c>
      <c r="B684" s="1295"/>
      <c r="C684" s="1295"/>
      <c r="D684" s="1295"/>
      <c r="E684" s="1295"/>
      <c r="F684" s="1295"/>
      <c r="G684" s="1295"/>
      <c r="H684" s="1025"/>
      <c r="I684" s="1151"/>
      <c r="J684" s="501"/>
      <c r="K684" s="501"/>
    </row>
    <row r="685" spans="1:11">
      <c r="A685" s="448"/>
      <c r="B685" s="448"/>
      <c r="C685" s="448"/>
      <c r="D685" s="448"/>
      <c r="E685" s="448"/>
      <c r="F685" s="448"/>
      <c r="G685" s="448"/>
      <c r="H685" s="501"/>
      <c r="I685" s="483"/>
      <c r="J685" s="501"/>
      <c r="K685" s="501"/>
    </row>
    <row r="686" spans="1:11">
      <c r="C686" s="482"/>
      <c r="D686" s="1301" t="s">
        <v>99</v>
      </c>
      <c r="E686" s="1301"/>
      <c r="F686" s="1301"/>
      <c r="H686" s="501"/>
      <c r="I686" s="483"/>
      <c r="J686" s="501"/>
      <c r="K686" s="501"/>
    </row>
    <row r="687" spans="1:11">
      <c r="A687" s="482"/>
      <c r="B687" s="482"/>
      <c r="C687" s="482"/>
      <c r="D687" s="1301" t="s">
        <v>123</v>
      </c>
      <c r="E687" s="1301"/>
      <c r="F687" s="1301"/>
      <c r="H687" s="501"/>
      <c r="I687" s="483"/>
      <c r="J687" s="501"/>
      <c r="K687" s="501"/>
    </row>
    <row r="688" spans="1:11">
      <c r="A688" s="483"/>
      <c r="B688" s="483"/>
      <c r="C688" s="483"/>
      <c r="D688" s="1293" t="s">
        <v>1076</v>
      </c>
      <c r="E688" s="1293"/>
      <c r="F688" s="1293"/>
      <c r="H688" s="501"/>
      <c r="I688" s="483"/>
      <c r="J688" s="501"/>
      <c r="K688" s="501"/>
    </row>
    <row r="689" spans="1:11">
      <c r="A689" s="483"/>
      <c r="B689" s="483"/>
      <c r="C689" s="483"/>
      <c r="H689" s="501"/>
      <c r="I689" s="483"/>
      <c r="J689" s="501"/>
      <c r="K689" s="501"/>
    </row>
    <row r="690" spans="1:11" ht="14.25">
      <c r="A690" s="484"/>
      <c r="B690" s="485" t="s">
        <v>2778</v>
      </c>
      <c r="C690" s="483"/>
      <c r="D690" s="1293" t="s">
        <v>885</v>
      </c>
      <c r="E690" s="1293"/>
      <c r="F690" s="1293"/>
      <c r="H690" s="501"/>
      <c r="I690" s="483"/>
      <c r="J690" s="501"/>
      <c r="K690" s="501"/>
    </row>
    <row r="691" spans="1:11">
      <c r="A691" s="483"/>
      <c r="B691" s="483"/>
      <c r="C691" s="483"/>
      <c r="D691" s="1293" t="s">
        <v>894</v>
      </c>
      <c r="E691" s="1293"/>
      <c r="F691" s="1293"/>
      <c r="H691" s="501"/>
      <c r="I691" s="483"/>
      <c r="J691" s="501"/>
      <c r="K691" s="501"/>
    </row>
    <row r="692" spans="1:11" ht="12.75" customHeight="1">
      <c r="A692" s="483"/>
      <c r="B692" s="483"/>
      <c r="C692" s="483"/>
      <c r="E692" s="1031" t="s">
        <v>1886</v>
      </c>
      <c r="F692" s="420"/>
      <c r="H692" s="501"/>
      <c r="I692" s="483"/>
      <c r="J692" s="501"/>
      <c r="K692" s="501"/>
    </row>
    <row r="693" spans="1:11">
      <c r="A693" s="483"/>
      <c r="B693" s="483"/>
      <c r="C693" s="483"/>
      <c r="E693" s="501" t="s">
        <v>1885</v>
      </c>
      <c r="F693" s="420"/>
      <c r="I693" s="483"/>
      <c r="J693" s="501"/>
      <c r="K693" s="501"/>
    </row>
    <row r="694" spans="1:11">
      <c r="A694" s="483"/>
      <c r="B694" s="483"/>
      <c r="C694" s="483"/>
      <c r="D694" s="502"/>
      <c r="E694" s="446"/>
      <c r="H694" s="501"/>
      <c r="I694" s="483"/>
      <c r="J694" s="501"/>
      <c r="K694" s="501"/>
    </row>
    <row r="695" spans="1:11" ht="14.25">
      <c r="A695" s="484"/>
      <c r="B695" s="485" t="s">
        <v>2779</v>
      </c>
      <c r="C695" s="483"/>
      <c r="D695" s="1292" t="s">
        <v>2027</v>
      </c>
      <c r="E695" s="1292"/>
      <c r="F695" s="1292"/>
      <c r="H695" s="501"/>
      <c r="I695" s="483"/>
      <c r="J695" s="501"/>
      <c r="K695" s="501"/>
    </row>
    <row r="696" spans="1:11">
      <c r="A696" s="490"/>
      <c r="B696" s="490"/>
      <c r="C696" s="483"/>
      <c r="D696" s="1292"/>
      <c r="E696" s="1292"/>
      <c r="F696" s="1292"/>
      <c r="H696" s="501"/>
      <c r="I696" s="483"/>
      <c r="J696" s="501"/>
      <c r="K696" s="501"/>
    </row>
    <row r="697" spans="1:11">
      <c r="A697" s="483"/>
      <c r="B697" s="483"/>
      <c r="C697" s="483"/>
      <c r="D697" s="1292"/>
      <c r="E697" s="1292"/>
      <c r="F697" s="1292"/>
      <c r="H697" s="501"/>
      <c r="I697" s="483"/>
      <c r="J697" s="501"/>
      <c r="K697" s="501"/>
    </row>
    <row r="698" spans="1:11">
      <c r="A698" s="483"/>
      <c r="B698" s="483"/>
      <c r="C698" s="483"/>
      <c r="H698" s="501"/>
      <c r="J698" s="501"/>
      <c r="K698" s="501"/>
    </row>
    <row r="699" spans="1:11" ht="14.25">
      <c r="A699" s="484"/>
      <c r="B699" s="485" t="s">
        <v>2778</v>
      </c>
      <c r="C699" s="483"/>
      <c r="D699" s="1293" t="s">
        <v>917</v>
      </c>
      <c r="E699" s="1293"/>
      <c r="F699" s="1293"/>
      <c r="H699" s="501"/>
      <c r="I699" s="483"/>
      <c r="J699" s="501"/>
      <c r="K699" s="501"/>
    </row>
    <row r="700" spans="1:11" ht="14.25">
      <c r="A700" s="484"/>
      <c r="B700" s="484"/>
      <c r="C700" s="483"/>
      <c r="D700" s="1293" t="s">
        <v>894</v>
      </c>
      <c r="E700" s="1293"/>
      <c r="F700" s="1293"/>
      <c r="H700" s="501"/>
      <c r="I700" s="483"/>
      <c r="J700" s="501"/>
      <c r="K700" s="501"/>
    </row>
    <row r="701" spans="1:11">
      <c r="A701" s="483"/>
      <c r="B701" s="483"/>
      <c r="C701" s="483"/>
      <c r="E701" s="1031" t="s">
        <v>1887</v>
      </c>
      <c r="F701" s="404"/>
      <c r="H701" s="501"/>
      <c r="I701" s="483"/>
      <c r="J701" s="501"/>
      <c r="K701" s="501"/>
    </row>
    <row r="702" spans="1:11">
      <c r="A702" s="483"/>
      <c r="B702" s="483"/>
      <c r="C702" s="483"/>
      <c r="D702" s="404"/>
      <c r="H702" s="501"/>
      <c r="I702" s="483"/>
      <c r="J702" s="501"/>
      <c r="K702" s="501"/>
    </row>
    <row r="703" spans="1:11" ht="14.25">
      <c r="A703" s="484"/>
      <c r="B703" s="485" t="s">
        <v>2779</v>
      </c>
      <c r="C703" s="483"/>
      <c r="D703" s="1293" t="s">
        <v>2401</v>
      </c>
      <c r="E703" s="1293"/>
      <c r="F703" s="1293"/>
      <c r="H703" s="501"/>
      <c r="I703" s="483"/>
      <c r="J703" s="501"/>
      <c r="K703" s="501"/>
    </row>
    <row r="704" spans="1:11" ht="14.25">
      <c r="A704" s="484"/>
      <c r="B704" s="484"/>
      <c r="C704" s="483"/>
      <c r="D704" s="1293" t="s">
        <v>894</v>
      </c>
      <c r="E704" s="1293"/>
      <c r="F704" s="1293"/>
      <c r="H704" s="501"/>
      <c r="I704" s="483"/>
      <c r="J704" s="501"/>
      <c r="K704" s="501"/>
    </row>
    <row r="705" spans="1:11">
      <c r="A705" s="483"/>
      <c r="B705" s="483"/>
      <c r="C705" s="483"/>
      <c r="E705" s="1031" t="s">
        <v>2402</v>
      </c>
      <c r="F705" s="404"/>
      <c r="H705" s="501"/>
      <c r="I705" s="483"/>
      <c r="J705" s="501"/>
      <c r="K705" s="501"/>
    </row>
    <row r="706" spans="1:11">
      <c r="A706" s="483"/>
      <c r="B706" s="483"/>
      <c r="C706" s="483"/>
      <c r="D706" s="404"/>
      <c r="H706" s="501"/>
      <c r="I706" s="483"/>
      <c r="J706" s="501"/>
      <c r="K706" s="501"/>
    </row>
    <row r="707" spans="1:11" ht="14.25">
      <c r="A707" s="484"/>
      <c r="B707" s="485" t="s">
        <v>2779</v>
      </c>
      <c r="C707" s="483"/>
      <c r="D707" s="1292" t="s">
        <v>2198</v>
      </c>
      <c r="E707" s="1292"/>
      <c r="F707" s="1292"/>
      <c r="H707" s="501"/>
      <c r="I707" s="483"/>
      <c r="J707" s="501"/>
      <c r="K707" s="501"/>
    </row>
    <row r="708" spans="1:11">
      <c r="A708" s="483"/>
      <c r="B708" s="483"/>
      <c r="C708" s="483"/>
      <c r="D708" s="1292"/>
      <c r="E708" s="1292"/>
      <c r="F708" s="1292"/>
      <c r="H708" s="501"/>
      <c r="I708" s="483"/>
      <c r="J708" s="501"/>
      <c r="K708" s="501"/>
    </row>
    <row r="709" spans="1:11">
      <c r="A709" s="483"/>
      <c r="B709" s="483"/>
      <c r="C709" s="483"/>
      <c r="D709" s="1292"/>
      <c r="E709" s="1292"/>
      <c r="F709" s="1292"/>
      <c r="H709" s="501"/>
      <c r="I709" s="483"/>
      <c r="J709" s="501"/>
      <c r="K709" s="501"/>
    </row>
    <row r="710" spans="1:11">
      <c r="A710" s="483"/>
      <c r="B710" s="483"/>
      <c r="C710" s="483"/>
      <c r="D710" s="1292"/>
      <c r="E710" s="1292"/>
      <c r="F710" s="1292"/>
      <c r="H710" s="501"/>
      <c r="I710" s="483"/>
      <c r="J710" s="501"/>
      <c r="K710" s="501"/>
    </row>
    <row r="711" spans="1:11">
      <c r="A711" s="483"/>
      <c r="B711" s="483"/>
      <c r="C711" s="483"/>
      <c r="D711" s="1292"/>
      <c r="E711" s="1292"/>
      <c r="F711" s="1292"/>
      <c r="H711" s="501"/>
      <c r="I711" s="483"/>
      <c r="J711" s="501"/>
      <c r="K711" s="501"/>
    </row>
    <row r="712" spans="1:11">
      <c r="A712" s="483"/>
      <c r="B712" s="483"/>
      <c r="C712" s="483"/>
      <c r="D712" s="1292"/>
      <c r="E712" s="1292"/>
      <c r="F712" s="1292"/>
      <c r="H712" s="501"/>
      <c r="I712" s="483"/>
      <c r="J712" s="501"/>
      <c r="K712" s="501"/>
    </row>
    <row r="713" spans="1:11">
      <c r="A713" s="483"/>
      <c r="B713" s="483"/>
      <c r="C713" s="483"/>
      <c r="D713" s="445"/>
      <c r="E713" s="445"/>
      <c r="F713" s="445"/>
      <c r="H713" s="501"/>
      <c r="I713" s="483"/>
      <c r="J713" s="501"/>
      <c r="K713" s="501"/>
    </row>
    <row r="714" spans="1:11">
      <c r="A714" s="483"/>
      <c r="B714" s="485" t="s">
        <v>2779</v>
      </c>
      <c r="C714" s="483"/>
      <c r="D714" s="1292" t="s">
        <v>1201</v>
      </c>
      <c r="E714" s="1292"/>
      <c r="F714" s="1292"/>
      <c r="H714" s="501"/>
      <c r="I714" s="483"/>
      <c r="J714" s="501"/>
      <c r="K714" s="501"/>
    </row>
    <row r="715" spans="1:11">
      <c r="A715" s="483"/>
      <c r="B715" s="483"/>
      <c r="C715" s="483"/>
      <c r="D715" s="1292"/>
      <c r="E715" s="1292"/>
      <c r="F715" s="1292"/>
      <c r="H715" s="501"/>
      <c r="I715" s="483"/>
      <c r="J715" s="501"/>
      <c r="K715" s="501"/>
    </row>
    <row r="716" spans="1:11">
      <c r="A716" s="483"/>
      <c r="B716" s="483"/>
      <c r="C716" s="483"/>
      <c r="D716" s="445"/>
      <c r="E716" s="445"/>
      <c r="F716" s="445"/>
      <c r="H716" s="501"/>
      <c r="I716" s="483"/>
      <c r="J716" s="501"/>
      <c r="K716" s="501"/>
    </row>
    <row r="717" spans="1:11" ht="14.25">
      <c r="A717" s="484"/>
      <c r="B717" s="485" t="s">
        <v>2779</v>
      </c>
      <c r="C717" s="483"/>
      <c r="D717" s="1292" t="s">
        <v>1077</v>
      </c>
      <c r="E717" s="1292"/>
      <c r="F717" s="1292"/>
      <c r="H717" s="501"/>
      <c r="I717" s="483"/>
      <c r="J717" s="501"/>
      <c r="K717" s="501"/>
    </row>
    <row r="718" spans="1:11">
      <c r="A718" s="483"/>
      <c r="B718" s="483"/>
      <c r="C718" s="483"/>
      <c r="D718" s="1292"/>
      <c r="E718" s="1292"/>
      <c r="F718" s="1292"/>
      <c r="H718" s="501"/>
      <c r="I718" s="483"/>
      <c r="J718" s="501"/>
      <c r="K718" s="501"/>
    </row>
    <row r="719" spans="1:11">
      <c r="A719" s="483"/>
      <c r="B719" s="483"/>
      <c r="C719" s="483"/>
      <c r="D719" s="1292"/>
      <c r="E719" s="1292"/>
      <c r="F719" s="1292"/>
      <c r="H719" s="501"/>
      <c r="I719" s="483"/>
      <c r="J719" s="501"/>
      <c r="K719" s="501"/>
    </row>
    <row r="720" spans="1:11" ht="15" customHeight="1">
      <c r="A720" s="483"/>
      <c r="B720" s="483"/>
      <c r="C720" s="483"/>
      <c r="D720" s="1292"/>
      <c r="E720" s="1292"/>
      <c r="F720" s="1292"/>
      <c r="H720" s="501"/>
      <c r="I720" s="483"/>
      <c r="J720" s="501"/>
      <c r="K720" s="501"/>
    </row>
    <row r="721" spans="1:11" ht="15" customHeight="1">
      <c r="A721" s="483"/>
      <c r="B721" s="483"/>
      <c r="C721" s="483"/>
      <c r="D721" s="1292"/>
      <c r="E721" s="1292"/>
      <c r="F721" s="1292"/>
      <c r="H721" s="501"/>
      <c r="I721" s="483"/>
      <c r="J721" s="501"/>
      <c r="K721" s="501"/>
    </row>
    <row r="722" spans="1:11">
      <c r="A722" s="483"/>
      <c r="B722" s="483"/>
      <c r="C722" s="483"/>
      <c r="D722" s="1292"/>
      <c r="E722" s="1292"/>
      <c r="F722" s="1292"/>
      <c r="H722" s="501"/>
      <c r="I722" s="483"/>
      <c r="J722" s="501"/>
      <c r="K722" s="501"/>
    </row>
    <row r="723" spans="1:11">
      <c r="A723" s="483"/>
      <c r="B723" s="483"/>
      <c r="C723" s="483"/>
      <c r="D723" s="1292"/>
      <c r="E723" s="1292"/>
      <c r="F723" s="1292"/>
      <c r="H723" s="501"/>
      <c r="I723" s="483"/>
      <c r="J723" s="501"/>
      <c r="K723" s="501"/>
    </row>
    <row r="724" spans="1:11">
      <c r="A724" s="483"/>
      <c r="B724" s="483"/>
      <c r="C724" s="483"/>
      <c r="D724" s="1292"/>
      <c r="E724" s="1292"/>
      <c r="F724" s="1292"/>
      <c r="H724" s="501"/>
      <c r="I724" s="483"/>
      <c r="J724" s="501"/>
      <c r="K724" s="501"/>
    </row>
    <row r="725" spans="1:11" ht="15" customHeight="1">
      <c r="A725" s="483"/>
      <c r="B725" s="483"/>
      <c r="C725" s="483"/>
      <c r="D725" s="1292"/>
      <c r="E725" s="1292"/>
      <c r="F725" s="1292"/>
      <c r="H725" s="501"/>
      <c r="I725" s="483"/>
      <c r="J725" s="501"/>
      <c r="K725" s="501"/>
    </row>
    <row r="726" spans="1:11">
      <c r="A726" s="483"/>
      <c r="B726" s="483"/>
      <c r="C726" s="483"/>
      <c r="D726" s="1292"/>
      <c r="E726" s="1292"/>
      <c r="F726" s="1292"/>
      <c r="H726" s="501"/>
      <c r="I726" s="483"/>
      <c r="J726" s="501"/>
      <c r="K726" s="501"/>
    </row>
    <row r="727" spans="1:11">
      <c r="A727" s="483"/>
      <c r="B727" s="483"/>
      <c r="C727" s="483"/>
      <c r="D727" s="1292"/>
      <c r="E727" s="1292"/>
      <c r="F727" s="1292"/>
      <c r="H727" s="501"/>
      <c r="I727" s="483"/>
      <c r="J727" s="501"/>
      <c r="K727" s="501"/>
    </row>
    <row r="728" spans="1:11">
      <c r="A728" s="483"/>
      <c r="B728" s="483"/>
      <c r="C728" s="483"/>
      <c r="D728" s="1292"/>
      <c r="E728" s="1292"/>
      <c r="F728" s="1292"/>
      <c r="H728" s="501"/>
      <c r="I728" s="483"/>
      <c r="J728" s="501"/>
      <c r="K728" s="501"/>
    </row>
    <row r="729" spans="1:11">
      <c r="A729" s="483"/>
      <c r="B729" s="483"/>
      <c r="C729" s="483"/>
      <c r="D729" s="1292"/>
      <c r="E729" s="1292"/>
      <c r="F729" s="1292"/>
      <c r="H729" s="501"/>
      <c r="I729" s="483"/>
      <c r="J729" s="501"/>
      <c r="K729" s="501"/>
    </row>
    <row r="730" spans="1:11">
      <c r="A730" s="483"/>
      <c r="B730" s="485" t="s">
        <v>2779</v>
      </c>
      <c r="C730" s="483"/>
      <c r="D730" s="1292" t="s">
        <v>2394</v>
      </c>
      <c r="E730" s="1292"/>
      <c r="F730" s="1292"/>
      <c r="H730" s="501"/>
      <c r="I730" s="483"/>
      <c r="J730" s="501"/>
      <c r="K730" s="501"/>
    </row>
    <row r="731" spans="1:11">
      <c r="A731" s="483"/>
      <c r="B731" s="483"/>
      <c r="C731" s="483"/>
      <c r="D731" s="1292"/>
      <c r="E731" s="1292"/>
      <c r="F731" s="1292"/>
      <c r="H731" s="501"/>
      <c r="I731" s="483"/>
      <c r="J731" s="501"/>
      <c r="K731" s="501"/>
    </row>
    <row r="732" spans="1:11">
      <c r="A732" s="483"/>
      <c r="B732" s="483"/>
      <c r="C732" s="483"/>
      <c r="D732" s="1292"/>
      <c r="E732" s="1292"/>
      <c r="F732" s="1292"/>
      <c r="H732" s="501"/>
      <c r="I732" s="483"/>
      <c r="J732" s="501"/>
      <c r="K732" s="501"/>
    </row>
    <row r="733" spans="1:11">
      <c r="A733" s="483"/>
      <c r="B733" s="483"/>
      <c r="C733" s="483"/>
      <c r="D733" s="445"/>
      <c r="E733" s="445"/>
      <c r="F733" s="445"/>
      <c r="H733" s="501"/>
      <c r="I733" s="483"/>
      <c r="J733" s="501"/>
      <c r="K733" s="501"/>
    </row>
    <row r="734" spans="1:11">
      <c r="A734" s="483"/>
      <c r="B734" s="485" t="s">
        <v>2779</v>
      </c>
      <c r="C734" s="483"/>
      <c r="D734" s="1292" t="s">
        <v>2393</v>
      </c>
      <c r="E734" s="1292"/>
      <c r="F734" s="1292"/>
      <c r="H734" s="501"/>
      <c r="I734" s="483"/>
      <c r="J734" s="501"/>
      <c r="K734" s="501"/>
    </row>
    <row r="735" spans="1:11">
      <c r="A735" s="483"/>
      <c r="B735" s="483"/>
      <c r="C735" s="483"/>
      <c r="D735" s="1292"/>
      <c r="E735" s="1292"/>
      <c r="F735" s="1292"/>
      <c r="H735" s="501"/>
      <c r="I735" s="483"/>
      <c r="J735" s="501"/>
      <c r="K735" s="501"/>
    </row>
    <row r="736" spans="1:11">
      <c r="A736" s="483"/>
      <c r="B736" s="483"/>
      <c r="C736" s="483"/>
      <c r="D736" s="1292"/>
      <c r="E736" s="1292"/>
      <c r="F736" s="1292"/>
      <c r="H736" s="501"/>
      <c r="I736" s="483"/>
      <c r="J736" s="501"/>
      <c r="K736" s="501"/>
    </row>
    <row r="737" spans="1:11">
      <c r="A737" s="483"/>
      <c r="B737" s="483"/>
      <c r="C737" s="483"/>
      <c r="H737" s="501"/>
      <c r="I737" s="483"/>
      <c r="J737" s="501"/>
      <c r="K737" s="501"/>
    </row>
    <row r="738" spans="1:11">
      <c r="A738" s="483"/>
      <c r="B738" s="485" t="s">
        <v>2779</v>
      </c>
      <c r="C738" s="483"/>
      <c r="D738" s="1292" t="s">
        <v>2392</v>
      </c>
      <c r="E738" s="1292"/>
      <c r="F738" s="1292"/>
      <c r="H738" s="501"/>
      <c r="I738" s="483"/>
      <c r="J738" s="501"/>
      <c r="K738" s="501"/>
    </row>
    <row r="739" spans="1:11">
      <c r="A739" s="483"/>
      <c r="B739" s="483"/>
      <c r="C739" s="483"/>
      <c r="D739" s="1292"/>
      <c r="E739" s="1292"/>
      <c r="F739" s="1292"/>
      <c r="H739" s="501"/>
      <c r="I739" s="483"/>
      <c r="J739" s="501"/>
      <c r="K739" s="501"/>
    </row>
    <row r="740" spans="1:11">
      <c r="A740" s="483"/>
      <c r="B740" s="483"/>
      <c r="C740" s="483"/>
      <c r="D740" s="1292"/>
      <c r="E740" s="1292"/>
      <c r="F740" s="1292"/>
      <c r="H740" s="501"/>
      <c r="I740" s="483"/>
      <c r="J740" s="501"/>
      <c r="K740" s="501"/>
    </row>
    <row r="741" spans="1:11">
      <c r="A741" s="483"/>
      <c r="B741" s="483"/>
      <c r="C741" s="483"/>
      <c r="D741" s="1292"/>
      <c r="E741" s="1292"/>
      <c r="F741" s="1292"/>
      <c r="H741" s="501"/>
      <c r="I741" s="483"/>
      <c r="J741" s="501"/>
      <c r="K741" s="501"/>
    </row>
    <row r="742" spans="1:11">
      <c r="A742" s="483"/>
      <c r="B742" s="483"/>
      <c r="C742" s="483"/>
      <c r="H742" s="501"/>
      <c r="I742" s="483"/>
      <c r="J742" s="501"/>
      <c r="K742" s="501"/>
    </row>
    <row r="743" spans="1:11" ht="14.25">
      <c r="A743" s="484"/>
      <c r="B743" s="485" t="s">
        <v>2779</v>
      </c>
      <c r="C743" s="483"/>
      <c r="D743" s="1292" t="s">
        <v>1078</v>
      </c>
      <c r="E743" s="1292"/>
      <c r="F743" s="1292"/>
      <c r="H743" s="501"/>
      <c r="I743" s="483"/>
      <c r="J743" s="501"/>
      <c r="K743" s="501"/>
    </row>
    <row r="744" spans="1:11">
      <c r="A744" s="483"/>
      <c r="B744" s="483"/>
      <c r="C744" s="483"/>
      <c r="D744" s="1292"/>
      <c r="E744" s="1292"/>
      <c r="F744" s="1292"/>
      <c r="H744" s="501"/>
      <c r="I744" s="483"/>
      <c r="J744" s="501"/>
      <c r="K744" s="501"/>
    </row>
    <row r="745" spans="1:11">
      <c r="A745" s="483"/>
      <c r="B745" s="483"/>
      <c r="C745" s="483"/>
      <c r="D745" s="1292"/>
      <c r="E745" s="1292"/>
      <c r="F745" s="1292"/>
      <c r="H745" s="501"/>
      <c r="I745" s="483"/>
      <c r="J745" s="501"/>
      <c r="K745" s="501"/>
    </row>
    <row r="746" spans="1:11">
      <c r="A746" s="483"/>
      <c r="B746" s="483"/>
      <c r="C746" s="483"/>
      <c r="D746" s="1292"/>
      <c r="E746" s="1292"/>
      <c r="F746" s="1292"/>
      <c r="H746" s="501"/>
      <c r="I746" s="483"/>
      <c r="J746" s="501"/>
      <c r="K746" s="501"/>
    </row>
    <row r="747" spans="1:11">
      <c r="A747" s="483"/>
      <c r="B747" s="483"/>
      <c r="C747" s="483"/>
      <c r="D747" s="1292"/>
      <c r="E747" s="1292"/>
      <c r="F747" s="1292"/>
      <c r="H747" s="501"/>
      <c r="I747" s="483"/>
      <c r="J747" s="501"/>
      <c r="K747" s="501"/>
    </row>
    <row r="748" spans="1:11">
      <c r="A748" s="483"/>
      <c r="B748" s="483"/>
      <c r="C748" s="483"/>
      <c r="D748" s="492"/>
      <c r="H748" s="501"/>
      <c r="I748" s="483"/>
      <c r="J748" s="501"/>
      <c r="K748" s="501"/>
    </row>
    <row r="749" spans="1:11" ht="14.25">
      <c r="A749" s="484"/>
      <c r="B749" s="485" t="s">
        <v>2779</v>
      </c>
      <c r="C749" s="483"/>
      <c r="D749" s="1292" t="s">
        <v>2101</v>
      </c>
      <c r="E749" s="1292"/>
      <c r="F749" s="1292"/>
      <c r="H749" s="501"/>
      <c r="I749" s="483"/>
      <c r="J749" s="501"/>
      <c r="K749" s="501"/>
    </row>
    <row r="750" spans="1:11">
      <c r="A750" s="483"/>
      <c r="B750" s="483"/>
      <c r="C750" s="483"/>
      <c r="D750" s="1292"/>
      <c r="E750" s="1292"/>
      <c r="F750" s="1292"/>
      <c r="H750" s="501"/>
      <c r="I750" s="483"/>
      <c r="J750" s="501"/>
      <c r="K750" s="501"/>
    </row>
    <row r="751" spans="1:11">
      <c r="A751" s="483"/>
      <c r="B751" s="483"/>
      <c r="C751" s="483"/>
      <c r="D751" s="1292"/>
      <c r="E751" s="1292"/>
      <c r="F751" s="1292"/>
      <c r="H751" s="501"/>
      <c r="I751" s="483"/>
      <c r="J751" s="501"/>
      <c r="K751" s="501"/>
    </row>
    <row r="752" spans="1:11">
      <c r="A752" s="483"/>
      <c r="B752" s="483"/>
      <c r="C752" s="483"/>
      <c r="D752" s="1292"/>
      <c r="E752" s="1292"/>
      <c r="F752" s="1292"/>
      <c r="H752" s="501"/>
      <c r="I752" s="483"/>
      <c r="J752" s="501"/>
      <c r="K752" s="501"/>
    </row>
    <row r="753" spans="1:11">
      <c r="A753" s="483"/>
      <c r="B753" s="483"/>
      <c r="C753" s="483"/>
      <c r="D753" s="1292"/>
      <c r="E753" s="1292"/>
      <c r="F753" s="1292"/>
      <c r="H753" s="501"/>
      <c r="I753" s="483"/>
      <c r="J753" s="501"/>
      <c r="K753" s="501"/>
    </row>
    <row r="754" spans="1:11">
      <c r="A754" s="483"/>
      <c r="B754" s="483"/>
      <c r="C754" s="483"/>
      <c r="D754" s="1292"/>
      <c r="E754" s="1292"/>
      <c r="F754" s="1292"/>
      <c r="H754" s="501"/>
      <c r="I754" s="483"/>
      <c r="J754" s="501"/>
      <c r="K754" s="501"/>
    </row>
    <row r="755" spans="1:11">
      <c r="A755" s="483"/>
      <c r="B755" s="483"/>
      <c r="C755" s="483"/>
      <c r="D755" s="1292"/>
      <c r="E755" s="1292"/>
      <c r="F755" s="1292"/>
      <c r="H755" s="501"/>
      <c r="I755" s="483"/>
      <c r="J755" s="501"/>
      <c r="K755" s="501"/>
    </row>
    <row r="756" spans="1:11">
      <c r="A756" s="483"/>
      <c r="B756" s="483"/>
      <c r="C756" s="483"/>
      <c r="D756" s="1330" t="s">
        <v>2615</v>
      </c>
      <c r="E756" s="1330"/>
      <c r="F756" s="1330"/>
      <c r="H756" s="501"/>
      <c r="I756" s="483"/>
      <c r="J756" s="501"/>
      <c r="K756" s="501"/>
    </row>
    <row r="757" spans="1:11">
      <c r="A757" s="483"/>
      <c r="B757" s="483"/>
      <c r="C757" s="483"/>
      <c r="D757" s="341"/>
      <c r="H757" s="501"/>
      <c r="I757" s="483"/>
      <c r="J757" s="501"/>
      <c r="K757" s="501"/>
    </row>
    <row r="758" spans="1:11">
      <c r="A758" s="1300" t="s">
        <v>1060</v>
      </c>
      <c r="B758" s="1300"/>
      <c r="C758" s="1300"/>
      <c r="D758" s="1300"/>
      <c r="E758" s="1300"/>
      <c r="F758" s="1300"/>
      <c r="G758" s="1300"/>
      <c r="H758" s="1025"/>
      <c r="I758" s="1151"/>
      <c r="J758" s="501"/>
      <c r="K758" s="501"/>
    </row>
    <row r="759" spans="1:11">
      <c r="A759" s="483"/>
      <c r="B759" s="483"/>
      <c r="C759" s="483"/>
      <c r="D759" s="492"/>
      <c r="G759" s="501"/>
      <c r="H759" s="501"/>
      <c r="I759" s="483"/>
      <c r="J759" s="501"/>
      <c r="K759" s="501"/>
    </row>
    <row r="760" spans="1:11" ht="13.7" customHeight="1">
      <c r="C760" s="483"/>
      <c r="D760" s="1294" t="s">
        <v>1070</v>
      </c>
      <c r="E760" s="1294"/>
      <c r="F760" s="1294"/>
      <c r="G760" s="501"/>
      <c r="H760" s="501"/>
      <c r="I760" s="483"/>
      <c r="J760" s="501"/>
      <c r="K760" s="501"/>
    </row>
    <row r="761" spans="1:11">
      <c r="A761" s="483"/>
      <c r="B761" s="483"/>
      <c r="C761" s="483"/>
      <c r="D761" s="1299" t="s">
        <v>1071</v>
      </c>
      <c r="E761" s="1299"/>
      <c r="F761" s="1299"/>
      <c r="G761" s="501"/>
      <c r="H761" s="501"/>
      <c r="I761" s="483"/>
      <c r="J761" s="501"/>
      <c r="K761" s="501"/>
    </row>
    <row r="762" spans="1:11">
      <c r="A762" s="483"/>
      <c r="B762" s="483"/>
      <c r="C762" s="483"/>
      <c r="G762" s="501"/>
      <c r="H762" s="501"/>
      <c r="I762" s="483"/>
      <c r="J762" s="501"/>
      <c r="K762" s="501"/>
    </row>
    <row r="763" spans="1:11" ht="14.25">
      <c r="A763" s="484"/>
      <c r="B763" s="485" t="s">
        <v>2778</v>
      </c>
      <c r="D763" s="1292" t="s">
        <v>1072</v>
      </c>
      <c r="E763" s="1292"/>
      <c r="F763" s="1292"/>
      <c r="G763" s="501"/>
      <c r="H763" s="501"/>
      <c r="I763" s="483"/>
      <c r="J763" s="501"/>
      <c r="K763" s="501"/>
    </row>
    <row r="764" spans="1:11" ht="10.5" customHeight="1">
      <c r="D764" s="1292"/>
      <c r="E764" s="1292"/>
      <c r="F764" s="1292"/>
      <c r="G764" s="501"/>
      <c r="H764" s="501"/>
      <c r="I764" s="483"/>
      <c r="J764" s="501"/>
      <c r="K764" s="501"/>
    </row>
    <row r="765" spans="1:11">
      <c r="D765" s="1292"/>
      <c r="E765" s="1292"/>
      <c r="F765" s="1292"/>
      <c r="G765" s="501"/>
      <c r="H765" s="501"/>
      <c r="I765" s="483"/>
      <c r="J765" s="501"/>
      <c r="K765" s="501"/>
    </row>
    <row r="766" spans="1:11">
      <c r="D766" s="1292"/>
      <c r="E766" s="1292"/>
      <c r="F766" s="1292"/>
      <c r="G766" s="501"/>
      <c r="H766" s="501"/>
      <c r="I766" s="483"/>
      <c r="J766" s="501"/>
      <c r="K766" s="501"/>
    </row>
    <row r="767" spans="1:11">
      <c r="D767" s="1292"/>
      <c r="E767" s="1292"/>
      <c r="F767" s="1292"/>
      <c r="G767" s="501"/>
      <c r="H767" s="501"/>
      <c r="I767" s="483"/>
      <c r="J767" s="501"/>
      <c r="K767" s="501"/>
    </row>
    <row r="768" spans="1:11" ht="15.6" customHeight="1">
      <c r="D768" s="1292"/>
      <c r="E768" s="1292"/>
      <c r="F768" s="1292"/>
      <c r="G768" s="501"/>
      <c r="H768" s="501"/>
      <c r="I768" s="483"/>
      <c r="J768" s="501"/>
      <c r="K768" s="501"/>
    </row>
    <row r="769" spans="1:11">
      <c r="D769" s="499"/>
      <c r="E769" s="446"/>
      <c r="F769" s="446"/>
      <c r="G769" s="501"/>
      <c r="H769" s="501"/>
      <c r="I769" s="483"/>
      <c r="J769" s="501"/>
      <c r="K769" s="501"/>
    </row>
    <row r="770" spans="1:11" s="505" customFormat="1" ht="14.25">
      <c r="A770" s="503"/>
      <c r="B770" s="485" t="s">
        <v>2779</v>
      </c>
      <c r="C770" s="504"/>
      <c r="D770" s="1292" t="s">
        <v>1241</v>
      </c>
      <c r="E770" s="1292"/>
      <c r="F770" s="1292"/>
      <c r="I770" s="1152"/>
    </row>
    <row r="771" spans="1:11" s="505" customFormat="1">
      <c r="A771" s="504"/>
      <c r="B771" s="504"/>
      <c r="C771" s="504"/>
      <c r="D771" s="1292"/>
      <c r="E771" s="1292"/>
      <c r="F771" s="1292"/>
      <c r="I771" s="1152"/>
    </row>
    <row r="772" spans="1:11" s="505" customFormat="1">
      <c r="A772" s="504"/>
      <c r="B772" s="504"/>
      <c r="C772" s="504"/>
      <c r="D772" s="1292"/>
      <c r="E772" s="1292"/>
      <c r="F772" s="1292"/>
      <c r="I772" s="1152"/>
    </row>
    <row r="773" spans="1:11" s="505" customFormat="1">
      <c r="A773" s="504"/>
      <c r="B773" s="504"/>
      <c r="C773" s="504"/>
      <c r="D773" s="1292"/>
      <c r="E773" s="1292"/>
      <c r="F773" s="1292"/>
      <c r="I773" s="1152"/>
    </row>
    <row r="774" spans="1:11" s="505" customFormat="1">
      <c r="A774" s="504"/>
      <c r="B774" s="504"/>
      <c r="C774" s="504"/>
      <c r="D774" s="499"/>
      <c r="I774" s="1152"/>
    </row>
    <row r="775" spans="1:11" s="505" customFormat="1" ht="14.25">
      <c r="A775" s="484"/>
      <c r="B775" s="485" t="s">
        <v>2779</v>
      </c>
      <c r="C775" s="504"/>
      <c r="D775" s="1303" t="s">
        <v>1242</v>
      </c>
      <c r="E775" s="1303"/>
      <c r="F775" s="1303"/>
      <c r="I775" s="1152"/>
    </row>
    <row r="776" spans="1:11" s="505" customFormat="1">
      <c r="A776" s="504"/>
      <c r="B776" s="504"/>
      <c r="C776" s="504"/>
      <c r="D776" s="1303"/>
      <c r="E776" s="1303"/>
      <c r="F776" s="1303"/>
      <c r="I776" s="1152"/>
    </row>
    <row r="777" spans="1:11" s="505" customFormat="1">
      <c r="A777" s="504"/>
      <c r="B777" s="504"/>
      <c r="C777" s="504"/>
      <c r="D777" s="1303"/>
      <c r="E777" s="1303"/>
      <c r="F777" s="1303"/>
      <c r="I777" s="1152"/>
    </row>
    <row r="778" spans="1:11">
      <c r="D778" s="499"/>
      <c r="E778" s="446"/>
      <c r="F778" s="446"/>
      <c r="G778" s="501"/>
      <c r="H778" s="501"/>
      <c r="I778" s="483"/>
      <c r="J778" s="501"/>
      <c r="K778" s="501"/>
    </row>
    <row r="779" spans="1:11" ht="14.25">
      <c r="A779" s="484"/>
      <c r="B779" s="485" t="s">
        <v>2778</v>
      </c>
      <c r="D779" s="1292" t="s">
        <v>1198</v>
      </c>
      <c r="E779" s="1292"/>
      <c r="F779" s="1292"/>
      <c r="G779" s="501"/>
      <c r="H779" s="501"/>
      <c r="I779" s="483"/>
      <c r="J779" s="501"/>
      <c r="K779" s="501"/>
    </row>
    <row r="780" spans="1:11">
      <c r="D780" s="1292"/>
      <c r="E780" s="1292"/>
      <c r="F780" s="1292"/>
      <c r="G780" s="501"/>
      <c r="H780" s="501"/>
      <c r="I780" s="483"/>
      <c r="J780" s="501"/>
      <c r="K780" s="501"/>
    </row>
    <row r="781" spans="1:11">
      <c r="D781" s="445"/>
      <c r="E781" s="445"/>
      <c r="F781" s="445"/>
      <c r="G781" s="501"/>
      <c r="H781" s="501"/>
      <c r="I781" s="483"/>
      <c r="J781" s="501"/>
      <c r="K781" s="501"/>
    </row>
    <row r="782" spans="1:11">
      <c r="B782" s="485" t="s">
        <v>2779</v>
      </c>
      <c r="D782" s="1292" t="s">
        <v>1215</v>
      </c>
      <c r="E782" s="1292"/>
      <c r="F782" s="1292"/>
      <c r="G782" s="501"/>
      <c r="H782" s="501"/>
      <c r="I782" s="483"/>
      <c r="J782" s="501"/>
      <c r="K782" s="501"/>
    </row>
    <row r="783" spans="1:11">
      <c r="D783" s="1292"/>
      <c r="E783" s="1292"/>
      <c r="F783" s="1292"/>
      <c r="G783" s="501"/>
      <c r="H783" s="501"/>
      <c r="I783" s="483"/>
      <c r="J783" s="501"/>
      <c r="K783" s="501"/>
    </row>
    <row r="784" spans="1:11">
      <c r="D784" s="1292"/>
      <c r="E784" s="1292"/>
      <c r="F784" s="1292"/>
      <c r="G784" s="501"/>
      <c r="H784" s="501"/>
      <c r="I784" s="483"/>
      <c r="J784" s="501"/>
      <c r="K784" s="501"/>
    </row>
    <row r="785" spans="1:11">
      <c r="D785" s="445"/>
      <c r="E785" s="445"/>
      <c r="F785" s="445"/>
      <c r="G785" s="501"/>
      <c r="H785" s="501"/>
      <c r="I785" s="483"/>
      <c r="J785" s="501"/>
      <c r="K785" s="501"/>
    </row>
    <row r="786" spans="1:11">
      <c r="A786" s="1322" t="s">
        <v>1790</v>
      </c>
      <c r="B786" s="1322"/>
      <c r="C786" s="1322"/>
      <c r="D786" s="1322"/>
      <c r="E786" s="1322"/>
      <c r="F786" s="1322"/>
      <c r="G786" s="1322"/>
      <c r="H786" s="1023"/>
      <c r="I786" s="1147"/>
    </row>
    <row r="787" spans="1:11">
      <c r="A787" s="57"/>
      <c r="B787" s="57"/>
      <c r="C787" s="354"/>
      <c r="D787" s="3"/>
      <c r="E787" s="3"/>
      <c r="F787" s="3"/>
      <c r="G787" s="3"/>
      <c r="I787" s="490"/>
    </row>
    <row r="788" spans="1:11">
      <c r="A788" s="57"/>
      <c r="B788" s="57"/>
      <c r="C788" s="354"/>
      <c r="D788" s="1321" t="s">
        <v>1830</v>
      </c>
      <c r="E788" s="1321"/>
      <c r="F788" s="1321"/>
      <c r="G788" s="3"/>
      <c r="I788" s="490"/>
    </row>
    <row r="789" spans="1:11">
      <c r="A789" s="57"/>
      <c r="B789" s="57"/>
      <c r="C789" s="354"/>
      <c r="D789" s="1306" t="s">
        <v>1744</v>
      </c>
      <c r="E789" s="1306"/>
      <c r="F789" s="1306"/>
      <c r="G789" s="3"/>
      <c r="I789" s="490"/>
    </row>
    <row r="790" spans="1:11">
      <c r="A790" s="57"/>
      <c r="B790" s="57"/>
      <c r="C790" s="354"/>
      <c r="D790" s="447"/>
      <c r="E790" s="447"/>
      <c r="F790" s="447"/>
      <c r="G790" s="3"/>
      <c r="I790" s="490"/>
    </row>
    <row r="791" spans="1:11">
      <c r="A791" s="57"/>
      <c r="B791" s="485" t="s">
        <v>2778</v>
      </c>
      <c r="C791" s="354"/>
      <c r="D791" s="1323" t="s">
        <v>1745</v>
      </c>
      <c r="E791" s="1323"/>
      <c r="F791" s="1323"/>
      <c r="G791" s="3"/>
      <c r="I791" s="483"/>
    </row>
    <row r="792" spans="1:11">
      <c r="A792" s="57"/>
      <c r="B792" s="57"/>
      <c r="C792" s="354"/>
      <c r="D792" s="1323"/>
      <c r="E792" s="1323"/>
      <c r="F792" s="1323"/>
      <c r="G792" s="3"/>
      <c r="I792" s="490"/>
    </row>
    <row r="793" spans="1:11">
      <c r="A793" s="174"/>
      <c r="B793" s="174"/>
      <c r="C793" s="174"/>
      <c r="D793" s="1323"/>
      <c r="E793" s="1323"/>
      <c r="F793" s="1323"/>
      <c r="G793" s="118"/>
      <c r="I793" s="490"/>
    </row>
    <row r="794" spans="1:11">
      <c r="A794" s="354"/>
      <c r="B794" s="354"/>
      <c r="C794" s="354"/>
      <c r="D794" s="173"/>
      <c r="E794" s="3"/>
      <c r="F794" s="3"/>
      <c r="G794" s="3"/>
      <c r="I794" s="490"/>
    </row>
    <row r="795" spans="1:11">
      <c r="A795" s="172"/>
      <c r="B795" s="485" t="s">
        <v>2779</v>
      </c>
      <c r="C795" s="172"/>
      <c r="D795" s="1323" t="s">
        <v>1746</v>
      </c>
      <c r="E795" s="1323"/>
      <c r="F795" s="1323"/>
      <c r="G795" s="3"/>
      <c r="I795" s="483"/>
    </row>
    <row r="796" spans="1:11">
      <c r="A796" s="172"/>
      <c r="B796" s="172"/>
      <c r="C796" s="172"/>
      <c r="D796" s="1323"/>
      <c r="E796" s="1323"/>
      <c r="F796" s="1323"/>
      <c r="G796" s="3"/>
      <c r="I796" s="490"/>
    </row>
    <row r="797" spans="1:11">
      <c r="A797" s="172"/>
      <c r="B797" s="172"/>
      <c r="C797" s="172"/>
      <c r="D797" s="1323"/>
      <c r="E797" s="1323"/>
      <c r="F797" s="1323"/>
      <c r="G797" s="3"/>
      <c r="I797" s="490"/>
    </row>
    <row r="798" spans="1:11">
      <c r="A798" s="174"/>
      <c r="B798" s="174"/>
      <c r="C798" s="174"/>
      <c r="D798" s="3"/>
      <c r="E798" s="983"/>
      <c r="F798" s="983"/>
      <c r="G798" s="983"/>
      <c r="I798" s="490"/>
    </row>
    <row r="799" spans="1:11" ht="14.25">
      <c r="A799" s="175"/>
      <c r="B799" s="485" t="s">
        <v>2779</v>
      </c>
      <c r="C799" s="984"/>
      <c r="D799" s="1323" t="s">
        <v>1747</v>
      </c>
      <c r="E799" s="1323"/>
      <c r="F799" s="1323"/>
      <c r="G799" s="983"/>
      <c r="I799" s="483"/>
    </row>
    <row r="800" spans="1:11" ht="14.25">
      <c r="A800" s="175"/>
      <c r="B800" s="175"/>
      <c r="C800" s="984"/>
      <c r="D800" s="1323"/>
      <c r="E800" s="1323"/>
      <c r="F800" s="1323"/>
      <c r="G800" s="983"/>
      <c r="I800" s="490"/>
    </row>
    <row r="801" spans="1:9" ht="14.25">
      <c r="A801" s="175"/>
      <c r="B801" s="175"/>
      <c r="C801" s="984"/>
      <c r="D801" s="1323"/>
      <c r="E801" s="1323"/>
      <c r="F801" s="1323"/>
      <c r="G801" s="983"/>
      <c r="I801" s="490"/>
    </row>
    <row r="802" spans="1:9" ht="14.25">
      <c r="A802" s="175"/>
      <c r="B802" s="175"/>
      <c r="C802" s="984"/>
      <c r="D802" s="118"/>
      <c r="E802" s="3"/>
      <c r="F802" s="3"/>
      <c r="G802" s="983"/>
      <c r="I802" s="490"/>
    </row>
    <row r="803" spans="1:9" ht="14.25">
      <c r="A803" s="175"/>
      <c r="B803" s="485" t="s">
        <v>2779</v>
      </c>
      <c r="C803" s="984"/>
      <c r="D803" s="1323" t="s">
        <v>1748</v>
      </c>
      <c r="E803" s="1323"/>
      <c r="F803" s="1323"/>
      <c r="G803" s="983"/>
      <c r="I803" s="483"/>
    </row>
    <row r="804" spans="1:9" ht="14.25">
      <c r="A804" s="175"/>
      <c r="B804" s="175"/>
      <c r="C804" s="984"/>
      <c r="D804" s="1323"/>
      <c r="E804" s="1323"/>
      <c r="F804" s="1323"/>
      <c r="G804" s="983"/>
      <c r="I804" s="490"/>
    </row>
    <row r="805" spans="1:9" ht="14.25">
      <c r="A805" s="175"/>
      <c r="B805" s="175"/>
      <c r="C805" s="984"/>
      <c r="D805" s="1323"/>
      <c r="E805" s="1323"/>
      <c r="F805" s="1323"/>
      <c r="G805" s="983"/>
      <c r="I805" s="490"/>
    </row>
    <row r="806" spans="1:9" ht="14.25">
      <c r="A806" s="175"/>
      <c r="B806" s="175"/>
      <c r="C806" s="984"/>
      <c r="D806" s="1323"/>
      <c r="E806" s="1323"/>
      <c r="F806" s="1323"/>
      <c r="G806" s="983"/>
      <c r="I806" s="490"/>
    </row>
    <row r="807" spans="1:9" ht="14.25">
      <c r="A807" s="175"/>
      <c r="B807" s="175"/>
      <c r="C807" s="984"/>
      <c r="D807" s="1323"/>
      <c r="E807" s="1323"/>
      <c r="F807" s="1323"/>
      <c r="G807" s="983"/>
      <c r="I807" s="490"/>
    </row>
    <row r="808" spans="1:9" ht="14.25">
      <c r="A808" s="175"/>
      <c r="B808" s="175"/>
      <c r="C808" s="984"/>
      <c r="D808" s="1323"/>
      <c r="E808" s="1323"/>
      <c r="F808" s="1323"/>
      <c r="G808" s="983"/>
      <c r="I808" s="490"/>
    </row>
    <row r="809" spans="1:9" ht="14.25">
      <c r="A809" s="175"/>
      <c r="B809" s="175"/>
      <c r="C809" s="984"/>
      <c r="D809" s="1323" t="s">
        <v>1791</v>
      </c>
      <c r="E809" s="1323"/>
      <c r="F809" s="1323"/>
      <c r="G809" s="983"/>
      <c r="I809" s="490"/>
    </row>
    <row r="810" spans="1:9" ht="14.25">
      <c r="A810" s="175"/>
      <c r="B810" s="175"/>
      <c r="C810" s="984"/>
      <c r="D810" s="1323"/>
      <c r="E810" s="1323"/>
      <c r="F810" s="1323"/>
      <c r="G810" s="983"/>
      <c r="I810" s="490"/>
    </row>
    <row r="811" spans="1:9" ht="14.25">
      <c r="A811" s="175"/>
      <c r="B811" s="175"/>
      <c r="C811" s="984"/>
      <c r="D811" s="1323"/>
      <c r="E811" s="1323"/>
      <c r="F811" s="1323"/>
      <c r="G811" s="983"/>
      <c r="I811" s="490"/>
    </row>
    <row r="812" spans="1:9" ht="14.25">
      <c r="A812" s="175"/>
      <c r="B812" s="354"/>
      <c r="C812" s="984"/>
      <c r="D812" s="985"/>
      <c r="E812" s="985"/>
      <c r="F812" s="985"/>
      <c r="G812" s="983"/>
      <c r="I812" s="490"/>
    </row>
    <row r="813" spans="1:9" ht="14.25">
      <c r="A813" s="175"/>
      <c r="B813" s="485" t="s">
        <v>2779</v>
      </c>
      <c r="C813" s="984"/>
      <c r="D813" s="1323" t="s">
        <v>1749</v>
      </c>
      <c r="E813" s="1323"/>
      <c r="F813" s="1323"/>
      <c r="G813" s="983"/>
      <c r="I813" s="483"/>
    </row>
    <row r="814" spans="1:9" ht="14.25">
      <c r="A814" s="175"/>
      <c r="B814" s="175"/>
      <c r="C814" s="984"/>
      <c r="D814" s="1323"/>
      <c r="E814" s="1323"/>
      <c r="F814" s="1323"/>
      <c r="G814" s="983"/>
      <c r="I814" s="490"/>
    </row>
    <row r="815" spans="1:9" ht="14.25">
      <c r="A815" s="175"/>
      <c r="B815" s="175"/>
      <c r="C815" s="984"/>
      <c r="D815" s="1323"/>
      <c r="E815" s="1323"/>
      <c r="F815" s="1323"/>
      <c r="G815" s="983"/>
      <c r="I815" s="490"/>
    </row>
    <row r="816" spans="1:9" ht="14.25">
      <c r="A816" s="175"/>
      <c r="B816" s="175"/>
      <c r="C816" s="984"/>
      <c r="D816" s="1323"/>
      <c r="E816" s="1323"/>
      <c r="F816" s="1323"/>
      <c r="G816" s="983"/>
      <c r="I816" s="490"/>
    </row>
    <row r="817" spans="1:9" ht="14.25">
      <c r="A817" s="175"/>
      <c r="B817" s="175"/>
      <c r="C817" s="984"/>
      <c r="D817" s="1323"/>
      <c r="E817" s="1323"/>
      <c r="F817" s="1323"/>
      <c r="G817" s="983"/>
      <c r="I817" s="490"/>
    </row>
    <row r="818" spans="1:9" ht="14.25">
      <c r="A818" s="175"/>
      <c r="B818" s="175"/>
      <c r="C818" s="984"/>
      <c r="D818" s="1323"/>
      <c r="E818" s="1323"/>
      <c r="F818" s="1323"/>
      <c r="G818" s="983"/>
      <c r="I818" s="490"/>
    </row>
    <row r="819" spans="1:9" ht="14.25">
      <c r="A819" s="175"/>
      <c r="B819" s="175"/>
      <c r="C819" s="984"/>
      <c r="D819" s="977"/>
      <c r="E819" s="977"/>
      <c r="F819" s="977"/>
      <c r="G819" s="983"/>
      <c r="I819" s="490"/>
    </row>
    <row r="820" spans="1:9" ht="14.25">
      <c r="A820" s="175"/>
      <c r="B820" s="485" t="s">
        <v>2779</v>
      </c>
      <c r="C820" s="984"/>
      <c r="D820" s="1323" t="s">
        <v>1750</v>
      </c>
      <c r="E820" s="1323"/>
      <c r="F820" s="1323"/>
      <c r="G820" s="983"/>
      <c r="I820" s="483"/>
    </row>
    <row r="821" spans="1:9" ht="14.25">
      <c r="A821" s="175"/>
      <c r="B821" s="175"/>
      <c r="C821" s="984"/>
      <c r="D821" s="1323"/>
      <c r="E821" s="1323"/>
      <c r="F821" s="1323"/>
      <c r="G821" s="983"/>
      <c r="I821" s="490"/>
    </row>
    <row r="822" spans="1:9" ht="14.25">
      <c r="A822" s="175"/>
      <c r="B822" s="175"/>
      <c r="C822" s="984"/>
      <c r="D822" s="1323"/>
      <c r="E822" s="1323"/>
      <c r="F822" s="1323"/>
      <c r="G822" s="983"/>
      <c r="I822" s="490"/>
    </row>
    <row r="823" spans="1:9" ht="14.25">
      <c r="A823" s="175"/>
      <c r="B823" s="175"/>
      <c r="C823" s="984"/>
      <c r="D823" s="1323"/>
      <c r="E823" s="1323"/>
      <c r="F823" s="1323"/>
      <c r="G823" s="983"/>
      <c r="I823" s="490"/>
    </row>
    <row r="824" spans="1:9" ht="14.25">
      <c r="A824" s="175"/>
      <c r="B824" s="175"/>
      <c r="C824" s="984"/>
      <c r="D824" s="1323"/>
      <c r="E824" s="1323"/>
      <c r="F824" s="1323"/>
      <c r="G824" s="983"/>
      <c r="I824" s="490"/>
    </row>
    <row r="825" spans="1:9" ht="14.25">
      <c r="A825" s="175"/>
      <c r="B825" s="175"/>
      <c r="C825" s="984"/>
      <c r="D825" s="1323"/>
      <c r="E825" s="1323"/>
      <c r="F825" s="1323"/>
      <c r="G825" s="983"/>
      <c r="I825" s="490"/>
    </row>
    <row r="826" spans="1:9" ht="14.25">
      <c r="A826" s="175"/>
      <c r="B826" s="175"/>
      <c r="C826" s="984"/>
      <c r="D826" s="977"/>
      <c r="E826" s="977"/>
      <c r="F826" s="977"/>
      <c r="G826" s="983"/>
      <c r="I826" s="490"/>
    </row>
    <row r="827" spans="1:9" ht="14.25">
      <c r="A827" s="175"/>
      <c r="B827" s="485" t="s">
        <v>2779</v>
      </c>
      <c r="C827" s="984"/>
      <c r="D827" s="1297" t="s">
        <v>1751</v>
      </c>
      <c r="E827" s="1297"/>
      <c r="F827" s="1297"/>
      <c r="G827" s="983"/>
      <c r="I827" s="483"/>
    </row>
    <row r="828" spans="1:9" ht="14.25">
      <c r="A828" s="175"/>
      <c r="B828" s="175"/>
      <c r="C828" s="984"/>
      <c r="D828" s="1297"/>
      <c r="E828" s="1297"/>
      <c r="F828" s="1297"/>
      <c r="G828" s="983"/>
      <c r="I828" s="490"/>
    </row>
    <row r="829" spans="1:9">
      <c r="A829" s="13"/>
      <c r="B829" s="13"/>
      <c r="C829" s="984"/>
      <c r="D829" s="1297"/>
      <c r="E829" s="1297"/>
      <c r="F829" s="1297"/>
      <c r="G829" s="983"/>
      <c r="I829" s="490"/>
    </row>
    <row r="830" spans="1:9" ht="14.25">
      <c r="A830" s="175"/>
      <c r="B830" s="13"/>
      <c r="C830" s="984"/>
      <c r="D830" s="1297"/>
      <c r="E830" s="1297"/>
      <c r="F830" s="1297"/>
      <c r="G830" s="983"/>
      <c r="I830" s="490"/>
    </row>
    <row r="831" spans="1:9" ht="12.75" customHeight="1">
      <c r="A831" s="175"/>
      <c r="B831" s="13"/>
      <c r="C831" s="984"/>
      <c r="D831" s="1297"/>
      <c r="E831" s="1297"/>
      <c r="F831" s="1297"/>
      <c r="G831" s="983"/>
      <c r="I831" s="490"/>
    </row>
    <row r="832" spans="1:9" ht="12.75" customHeight="1">
      <c r="A832" s="175"/>
      <c r="B832" s="13"/>
      <c r="C832" s="984"/>
      <c r="D832" s="1297"/>
      <c r="E832" s="1297"/>
      <c r="F832" s="1297"/>
      <c r="G832" s="983"/>
      <c r="I832" s="490"/>
    </row>
    <row r="833" spans="1:9" ht="12.75" customHeight="1">
      <c r="A833" s="13"/>
      <c r="B833" s="13"/>
      <c r="C833" s="984"/>
      <c r="D833" s="983"/>
      <c r="E833" s="3"/>
      <c r="F833" s="3"/>
      <c r="G833" s="983"/>
      <c r="I833" s="490"/>
    </row>
    <row r="834" spans="1:9" ht="12.75" customHeight="1">
      <c r="A834" s="1315" t="s">
        <v>1752</v>
      </c>
      <c r="B834" s="1315"/>
      <c r="C834" s="1315"/>
      <c r="D834" s="1315"/>
      <c r="E834" s="1315"/>
      <c r="F834" s="1315"/>
      <c r="G834" s="1315"/>
      <c r="H834" s="1023"/>
      <c r="I834" s="1147"/>
    </row>
    <row r="835" spans="1:9" ht="12.75" customHeight="1">
      <c r="A835" s="172"/>
      <c r="B835" s="172"/>
      <c r="C835" s="984"/>
      <c r="D835" s="983"/>
      <c r="E835" s="983"/>
      <c r="F835" s="983"/>
      <c r="G835" s="983"/>
      <c r="I835" s="490"/>
    </row>
    <row r="836" spans="1:9" ht="12.75" customHeight="1">
      <c r="A836" s="175"/>
      <c r="B836" s="175"/>
      <c r="C836" s="354"/>
      <c r="D836" s="1320" t="s">
        <v>1792</v>
      </c>
      <c r="E836" s="1320"/>
      <c r="F836" s="1320"/>
      <c r="G836" s="3"/>
      <c r="I836" s="490"/>
    </row>
    <row r="837" spans="1:9" ht="14.25" customHeight="1">
      <c r="A837" s="175"/>
      <c r="B837" s="175"/>
      <c r="C837" s="354"/>
      <c r="D837" s="1268" t="s">
        <v>1753</v>
      </c>
      <c r="E837" s="1268"/>
      <c r="F837" s="1268"/>
      <c r="G837" s="3"/>
      <c r="I837" s="490"/>
    </row>
    <row r="838" spans="1:9" ht="12.75" customHeight="1">
      <c r="A838" s="175"/>
      <c r="B838" s="175"/>
      <c r="C838" s="354"/>
      <c r="D838" s="441"/>
      <c r="E838" s="441"/>
      <c r="F838" s="441"/>
      <c r="G838" s="3"/>
      <c r="I838" s="490"/>
    </row>
    <row r="839" spans="1:9" ht="12.75" customHeight="1">
      <c r="A839" s="354"/>
      <c r="B839" s="485" t="s">
        <v>2778</v>
      </c>
      <c r="C839" s="984"/>
      <c r="D839" s="1268" t="s">
        <v>1754</v>
      </c>
      <c r="E839" s="1268"/>
      <c r="F839" s="1268"/>
      <c r="G839" s="3"/>
      <c r="I839" s="490" t="s">
        <v>1854</v>
      </c>
    </row>
    <row r="840" spans="1:9" ht="14.25" customHeight="1">
      <c r="A840" s="13"/>
      <c r="B840" s="13"/>
      <c r="C840" s="984"/>
      <c r="E840" s="1031" t="s">
        <v>1869</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29" t="s">
        <v>2033</v>
      </c>
      <c r="E842" s="1329"/>
      <c r="F842" s="1329"/>
      <c r="G842" s="3"/>
      <c r="I842" s="490"/>
    </row>
    <row r="843" spans="1:9" ht="12.75" hidden="1" customHeight="1">
      <c r="A843" s="13"/>
      <c r="B843" s="13"/>
      <c r="C843" s="984"/>
      <c r="D843" s="1329"/>
      <c r="E843" s="1329"/>
      <c r="F843" s="1329"/>
      <c r="G843" s="3"/>
      <c r="I843" s="490"/>
    </row>
    <row r="844" spans="1:9" ht="12.75" hidden="1" customHeight="1">
      <c r="A844" s="13"/>
      <c r="B844" s="13"/>
      <c r="C844" s="984"/>
      <c r="D844" s="1329"/>
      <c r="E844" s="1329"/>
      <c r="F844" s="1329"/>
      <c r="G844" s="3"/>
      <c r="I844" s="490"/>
    </row>
    <row r="845" spans="1:9" ht="12.75" hidden="1" customHeight="1">
      <c r="A845" s="13"/>
      <c r="B845" s="13"/>
      <c r="C845" s="984"/>
      <c r="D845" s="1329"/>
      <c r="E845" s="1329"/>
      <c r="F845" s="1329"/>
      <c r="G845" s="3"/>
      <c r="I845" s="490"/>
    </row>
    <row r="846" spans="1:9" ht="12.75" hidden="1" customHeight="1">
      <c r="A846" s="13"/>
      <c r="B846" s="13"/>
      <c r="C846" s="984"/>
      <c r="D846" s="1329"/>
      <c r="E846" s="1329"/>
      <c r="F846" s="1329"/>
      <c r="G846" s="3"/>
      <c r="I846" s="490"/>
    </row>
    <row r="847" spans="1:9" ht="12.75" hidden="1" customHeight="1">
      <c r="A847" s="13"/>
      <c r="B847" s="13"/>
      <c r="C847" s="984"/>
      <c r="D847" s="1329"/>
      <c r="E847" s="1329"/>
      <c r="F847" s="1329"/>
      <c r="G847" s="3"/>
      <c r="I847" s="490"/>
    </row>
    <row r="848" spans="1:9" ht="12.75" hidden="1" customHeight="1">
      <c r="A848" s="13"/>
      <c r="B848" s="13"/>
      <c r="C848" s="984"/>
      <c r="D848" s="1329"/>
      <c r="E848" s="1329"/>
      <c r="F848" s="1329"/>
      <c r="G848" s="3"/>
      <c r="I848" s="490"/>
    </row>
    <row r="849" spans="1:9" ht="12.75" hidden="1" customHeight="1">
      <c r="A849" s="13"/>
      <c r="B849" s="13"/>
      <c r="C849" s="984"/>
      <c r="D849" s="1329"/>
      <c r="E849" s="1329"/>
      <c r="F849" s="1329"/>
      <c r="G849" s="3"/>
      <c r="I849" s="490"/>
    </row>
    <row r="850" spans="1:9" ht="12.75" hidden="1" customHeight="1">
      <c r="A850" s="13"/>
      <c r="B850" s="13"/>
      <c r="C850" s="984"/>
      <c r="D850" s="1329"/>
      <c r="E850" s="1329"/>
      <c r="F850" s="1329"/>
      <c r="G850" s="3"/>
      <c r="I850" s="490"/>
    </row>
    <row r="851" spans="1:9" ht="12.75" hidden="1" customHeight="1">
      <c r="A851" s="13"/>
      <c r="B851" s="13"/>
      <c r="C851" s="984"/>
      <c r="D851" s="1329"/>
      <c r="E851" s="1329"/>
      <c r="F851" s="1329"/>
      <c r="G851" s="3"/>
      <c r="I851" s="490"/>
    </row>
    <row r="852" spans="1:9" ht="12.75" hidden="1" customHeight="1">
      <c r="A852" s="13"/>
      <c r="B852" s="13"/>
      <c r="C852" s="984"/>
      <c r="D852" s="986"/>
      <c r="E852" s="3"/>
      <c r="F852" s="3"/>
      <c r="G852" s="3"/>
      <c r="I852" s="490"/>
    </row>
    <row r="853" spans="1:9" ht="12.75" customHeight="1">
      <c r="A853" s="175"/>
      <c r="B853" s="485" t="s">
        <v>2778</v>
      </c>
      <c r="C853" s="984"/>
      <c r="D853" s="1268" t="s">
        <v>1755</v>
      </c>
      <c r="E853" s="1268"/>
      <c r="F853" s="1268"/>
      <c r="G853" s="3"/>
      <c r="I853" s="490" t="s">
        <v>1857</v>
      </c>
    </row>
    <row r="854" spans="1:9" ht="12.75" customHeight="1">
      <c r="A854" s="175"/>
      <c r="B854" s="175"/>
      <c r="C854" s="984"/>
      <c r="D854" s="1268"/>
      <c r="E854" s="1268"/>
      <c r="F854" s="1268"/>
      <c r="G854" s="3"/>
      <c r="I854" s="490"/>
    </row>
    <row r="855" spans="1:9" ht="12.75" customHeight="1">
      <c r="A855" s="175"/>
      <c r="B855" s="175"/>
      <c r="C855" s="984"/>
      <c r="D855" s="1268"/>
      <c r="E855" s="1268"/>
      <c r="F855" s="1268"/>
      <c r="G855" s="3"/>
      <c r="I855" s="490"/>
    </row>
    <row r="856" spans="1:9" ht="12.75" customHeight="1">
      <c r="A856" s="175"/>
      <c r="B856" s="175"/>
      <c r="C856" s="984"/>
      <c r="D856" s="118"/>
      <c r="E856" s="3"/>
      <c r="F856" s="3"/>
      <c r="G856" s="3"/>
      <c r="I856" s="490"/>
    </row>
    <row r="857" spans="1:9" ht="12.75" customHeight="1">
      <c r="A857" s="987"/>
      <c r="B857" s="485" t="s">
        <v>2779</v>
      </c>
      <c r="C857" s="984"/>
      <c r="D857" s="1320" t="s">
        <v>1756</v>
      </c>
      <c r="E857" s="1320"/>
      <c r="F857" s="1320"/>
      <c r="G857" s="3"/>
      <c r="I857" s="490"/>
    </row>
    <row r="858" spans="1:9" ht="12.75" customHeight="1">
      <c r="A858" s="354"/>
      <c r="B858" s="987"/>
      <c r="C858" s="984"/>
      <c r="D858" s="1320"/>
      <c r="E858" s="1320"/>
      <c r="F858" s="1320"/>
      <c r="G858" s="3"/>
      <c r="I858" s="490"/>
    </row>
    <row r="859" spans="1:9" ht="12.75" customHeight="1">
      <c r="A859" s="175"/>
      <c r="B859" s="354"/>
      <c r="C859" s="984"/>
      <c r="D859" s="1268" t="s">
        <v>2028</v>
      </c>
      <c r="E859" s="1268"/>
      <c r="F859" s="1268"/>
      <c r="G859" s="3"/>
      <c r="I859" s="490"/>
    </row>
    <row r="860" spans="1:9" ht="12.75" customHeight="1">
      <c r="A860" s="175"/>
      <c r="B860" s="175"/>
      <c r="C860" s="984"/>
      <c r="D860" s="1268"/>
      <c r="E860" s="1268"/>
      <c r="F860" s="1268"/>
      <c r="G860" s="3"/>
      <c r="I860" s="490"/>
    </row>
    <row r="861" spans="1:9" ht="12.75" customHeight="1">
      <c r="A861" s="175"/>
      <c r="B861" s="175"/>
      <c r="C861" s="984"/>
      <c r="D861" s="1268"/>
      <c r="E861" s="1268"/>
      <c r="F861" s="1268"/>
      <c r="G861" s="3"/>
      <c r="I861" s="490"/>
    </row>
    <row r="862" spans="1:9" ht="12.75" customHeight="1">
      <c r="A862" s="175"/>
      <c r="B862" s="175"/>
      <c r="C862" s="984"/>
      <c r="D862" s="1268"/>
      <c r="E862" s="1268"/>
      <c r="F862" s="1268"/>
      <c r="G862" s="3"/>
      <c r="I862" s="490"/>
    </row>
    <row r="863" spans="1:9" ht="12.75" customHeight="1">
      <c r="A863" s="175"/>
      <c r="B863" s="175"/>
      <c r="C863" s="984"/>
      <c r="D863" s="1268"/>
      <c r="E863" s="1268"/>
      <c r="F863" s="1268"/>
      <c r="G863" s="3"/>
      <c r="I863" s="490"/>
    </row>
    <row r="864" spans="1:9" ht="12.75" customHeight="1">
      <c r="A864" s="175"/>
      <c r="B864" s="175"/>
      <c r="C864" s="984"/>
      <c r="D864" s="1268"/>
      <c r="E864" s="1268"/>
      <c r="F864" s="1268"/>
      <c r="G864" s="3"/>
      <c r="I864" s="490"/>
    </row>
    <row r="865" spans="1:9" ht="12.75" customHeight="1">
      <c r="A865" s="175"/>
      <c r="B865" s="175"/>
      <c r="C865" s="984"/>
      <c r="D865" s="118"/>
      <c r="E865" s="3"/>
      <c r="F865" s="3"/>
      <c r="G865" s="3"/>
      <c r="I865" s="490"/>
    </row>
    <row r="866" spans="1:9" ht="12.75" customHeight="1">
      <c r="A866" s="175"/>
      <c r="B866" s="485" t="s">
        <v>2779</v>
      </c>
      <c r="C866" s="984"/>
      <c r="D866" s="1268" t="s">
        <v>1757</v>
      </c>
      <c r="E866" s="1268"/>
      <c r="F866" s="1268"/>
      <c r="G866" s="3"/>
      <c r="I866" s="490" t="s">
        <v>1855</v>
      </c>
    </row>
    <row r="867" spans="1:9" ht="12.75" customHeight="1">
      <c r="A867" s="175"/>
      <c r="B867" s="175"/>
      <c r="C867" s="984"/>
      <c r="D867" s="1268" t="s">
        <v>1758</v>
      </c>
      <c r="E867" s="1268"/>
      <c r="F867" s="1268"/>
      <c r="G867" s="3"/>
      <c r="I867" s="490"/>
    </row>
    <row r="868" spans="1:9" ht="12.75" customHeight="1">
      <c r="A868" s="175"/>
      <c r="B868" s="175"/>
      <c r="C868" s="984"/>
      <c r="E868" s="1031" t="s">
        <v>1871</v>
      </c>
      <c r="F868" s="1033"/>
      <c r="G868" s="3"/>
      <c r="I868" s="490"/>
    </row>
    <row r="869" spans="1:9" ht="12.75" customHeight="1">
      <c r="A869" s="175"/>
      <c r="B869" s="175"/>
      <c r="C869" s="984"/>
      <c r="D869" s="118"/>
      <c r="E869" s="3"/>
      <c r="F869" s="3"/>
      <c r="G869" s="3"/>
      <c r="I869" s="490"/>
    </row>
    <row r="870" spans="1:9" ht="12.75" customHeight="1">
      <c r="A870" s="175"/>
      <c r="B870" s="485" t="s">
        <v>2779</v>
      </c>
      <c r="C870" s="984"/>
      <c r="D870" s="1268" t="s">
        <v>1759</v>
      </c>
      <c r="E870" s="1268"/>
      <c r="F870" s="1268"/>
      <c r="G870" s="3"/>
      <c r="I870" s="490" t="s">
        <v>1858</v>
      </c>
    </row>
    <row r="871" spans="1:9" ht="12.75" customHeight="1">
      <c r="A871" s="175"/>
      <c r="B871" s="175"/>
      <c r="C871" s="984"/>
      <c r="D871" s="1268"/>
      <c r="E871" s="1268"/>
      <c r="F871" s="1268"/>
      <c r="G871" s="3"/>
      <c r="I871" s="490"/>
    </row>
    <row r="872" spans="1:9" ht="12.75" customHeight="1">
      <c r="A872" s="175"/>
      <c r="B872" s="175"/>
      <c r="C872" s="984"/>
      <c r="D872" s="1268"/>
      <c r="E872" s="1268"/>
      <c r="F872" s="1268"/>
      <c r="G872" s="3"/>
      <c r="I872" s="490"/>
    </row>
    <row r="873" spans="1:9" ht="12.75" customHeight="1">
      <c r="A873" s="175"/>
      <c r="B873" s="175"/>
      <c r="C873" s="984"/>
      <c r="D873" s="1268"/>
      <c r="E873" s="1268"/>
      <c r="F873" s="1268"/>
      <c r="G873" s="3"/>
      <c r="I873" s="490"/>
    </row>
    <row r="874" spans="1:9" ht="12.75" customHeight="1">
      <c r="A874" s="172"/>
      <c r="B874" s="172"/>
      <c r="C874" s="172"/>
      <c r="D874" s="118"/>
      <c r="E874" s="3"/>
      <c r="F874" s="3"/>
      <c r="G874" s="3"/>
      <c r="I874" s="490"/>
    </row>
    <row r="875" spans="1:9" ht="12.75" customHeight="1">
      <c r="A875" s="978" t="s">
        <v>1760</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27" t="s">
        <v>1793</v>
      </c>
      <c r="E877" s="1327"/>
      <c r="F877" s="1327"/>
      <c r="G877" s="983"/>
      <c r="I877" s="490"/>
    </row>
    <row r="878" spans="1:9" ht="12.75" customHeight="1">
      <c r="A878" s="354"/>
      <c r="B878" s="354"/>
      <c r="C878" s="174"/>
      <c r="D878" s="1328" t="s">
        <v>1761</v>
      </c>
      <c r="E878" s="1328"/>
      <c r="F878" s="1328"/>
      <c r="G878" s="983"/>
      <c r="I878" s="490"/>
    </row>
    <row r="879" spans="1:9" ht="12.75" customHeight="1">
      <c r="A879" s="354"/>
      <c r="B879" s="354"/>
      <c r="C879" s="174"/>
      <c r="D879" s="990"/>
      <c r="E879" s="990"/>
      <c r="F879" s="990"/>
      <c r="G879" s="983"/>
      <c r="I879" s="490"/>
    </row>
    <row r="880" spans="1:9" ht="12.75" customHeight="1">
      <c r="A880" s="175"/>
      <c r="B880" s="485" t="s">
        <v>2778</v>
      </c>
      <c r="C880" s="354"/>
      <c r="D880" s="1307" t="s">
        <v>1762</v>
      </c>
      <c r="E880" s="1307"/>
      <c r="F880" s="1307"/>
      <c r="G880" s="983"/>
      <c r="I880" s="490" t="s">
        <v>1855</v>
      </c>
    </row>
    <row r="881" spans="1:9" ht="12.75" customHeight="1">
      <c r="A881" s="354"/>
      <c r="B881" s="354"/>
      <c r="C881" s="354"/>
      <c r="D881" s="2" t="s">
        <v>1737</v>
      </c>
      <c r="E881" s="1031" t="s">
        <v>1871</v>
      </c>
      <c r="F881" s="1034"/>
      <c r="G881" s="983"/>
      <c r="I881" s="490"/>
    </row>
    <row r="882" spans="1:9" ht="12.75" customHeight="1">
      <c r="A882" s="354"/>
      <c r="B882" s="354"/>
      <c r="C882" s="354"/>
      <c r="D882" s="118"/>
      <c r="E882" s="983"/>
      <c r="F882" s="983"/>
      <c r="G882" s="983"/>
      <c r="I882" s="490"/>
    </row>
    <row r="883" spans="1:9" ht="12.75" customHeight="1">
      <c r="A883" s="175"/>
      <c r="B883" s="485" t="s">
        <v>2778</v>
      </c>
      <c r="C883" s="354"/>
      <c r="D883" s="1268" t="s">
        <v>1763</v>
      </c>
      <c r="E883" s="1317"/>
      <c r="F883" s="1317"/>
      <c r="G883" s="3"/>
      <c r="I883" s="490" t="s">
        <v>1858</v>
      </c>
    </row>
    <row r="884" spans="1:9" ht="12.75" customHeight="1">
      <c r="A884" s="354"/>
      <c r="B884" s="354"/>
      <c r="C884" s="354"/>
      <c r="D884" s="1317"/>
      <c r="E884" s="1317"/>
      <c r="F884" s="1317"/>
      <c r="G884" s="3"/>
      <c r="I884" s="490"/>
    </row>
    <row r="885" spans="1:9" ht="12.75" customHeight="1">
      <c r="A885" s="354"/>
      <c r="B885" s="354"/>
      <c r="C885" s="354"/>
      <c r="D885" s="118"/>
      <c r="E885" s="3"/>
      <c r="F885" s="3"/>
      <c r="G885" s="3"/>
      <c r="I885" s="490"/>
    </row>
    <row r="886" spans="1:9" ht="12.75" customHeight="1">
      <c r="A886" s="354"/>
      <c r="B886" s="485" t="s">
        <v>2779</v>
      </c>
      <c r="C886" s="354"/>
      <c r="D886" s="1318" t="s">
        <v>1764</v>
      </c>
      <c r="E886" s="1318"/>
      <c r="F886" s="1318"/>
      <c r="G886" s="983"/>
      <c r="I886" s="490"/>
    </row>
    <row r="887" spans="1:9" ht="12.75" customHeight="1">
      <c r="A887" s="354"/>
      <c r="B887" s="991"/>
      <c r="C887" s="354"/>
      <c r="D887" s="1318"/>
      <c r="E887" s="1318"/>
      <c r="F887" s="1318"/>
      <c r="G887" s="983"/>
      <c r="I887" s="490"/>
    </row>
    <row r="888" spans="1:9" ht="12.75" customHeight="1">
      <c r="A888" s="175"/>
      <c r="B888"/>
      <c r="C888" s="354"/>
      <c r="D888" s="1268" t="s">
        <v>2028</v>
      </c>
      <c r="E888" s="1268"/>
      <c r="F888" s="1268"/>
      <c r="G888" s="983"/>
      <c r="I888" s="490"/>
    </row>
    <row r="889" spans="1:9" ht="12.75" customHeight="1">
      <c r="A889" s="175"/>
      <c r="B889" s="175"/>
      <c r="C889" s="354"/>
      <c r="D889" s="1268"/>
      <c r="E889" s="1268"/>
      <c r="F889" s="1268"/>
      <c r="G889" s="983"/>
      <c r="I889" s="490"/>
    </row>
    <row r="890" spans="1:9" ht="12.75" customHeight="1">
      <c r="A890" s="175"/>
      <c r="B890" s="175"/>
      <c r="C890" s="354"/>
      <c r="D890" s="1268"/>
      <c r="E890" s="1268"/>
      <c r="F890" s="1268"/>
      <c r="G890" s="983"/>
      <c r="I890" s="490"/>
    </row>
    <row r="891" spans="1:9" ht="12.75" customHeight="1">
      <c r="A891" s="175"/>
      <c r="B891" s="175"/>
      <c r="C891" s="354"/>
      <c r="D891" s="1268"/>
      <c r="E891" s="1268"/>
      <c r="F891" s="1268"/>
      <c r="G891" s="983"/>
      <c r="I891" s="490"/>
    </row>
    <row r="892" spans="1:9" ht="12.75" customHeight="1">
      <c r="A892" s="175"/>
      <c r="B892" s="175"/>
      <c r="C892" s="354"/>
      <c r="D892" s="1268"/>
      <c r="E892" s="1268"/>
      <c r="F892" s="1268"/>
      <c r="G892" s="983"/>
      <c r="I892" s="490"/>
    </row>
    <row r="893" spans="1:9" ht="12.75" customHeight="1">
      <c r="A893" s="175"/>
      <c r="B893" s="175"/>
      <c r="C893" s="354"/>
      <c r="D893" s="1268"/>
      <c r="E893" s="1268"/>
      <c r="F893" s="1268"/>
      <c r="G893" s="983"/>
      <c r="I893" s="490"/>
    </row>
    <row r="894" spans="1:9" ht="12.75" customHeight="1">
      <c r="A894" s="175"/>
      <c r="B894" s="175"/>
      <c r="C894" s="354"/>
      <c r="D894" s="118"/>
      <c r="E894" s="983"/>
      <c r="F894" s="983"/>
      <c r="G894" s="983"/>
      <c r="I894" s="490"/>
    </row>
    <row r="895" spans="1:9" ht="12.75" customHeight="1">
      <c r="A895" s="175"/>
      <c r="B895" s="485" t="s">
        <v>2779</v>
      </c>
      <c r="C895" s="354"/>
      <c r="D895" s="1308" t="s">
        <v>1757</v>
      </c>
      <c r="E895" s="1308"/>
      <c r="F895" s="1308"/>
      <c r="G895" s="983"/>
      <c r="I895" s="490"/>
    </row>
    <row r="896" spans="1:9" ht="12.75" customHeight="1">
      <c r="A896" s="175"/>
      <c r="B896" s="175"/>
      <c r="C896" s="354"/>
      <c r="D896" s="1308" t="s">
        <v>1758</v>
      </c>
      <c r="E896" s="1308"/>
      <c r="F896" s="1308"/>
      <c r="G896" s="983"/>
      <c r="I896" s="490"/>
    </row>
    <row r="897" spans="1:9" ht="12.75" customHeight="1">
      <c r="A897" s="175"/>
      <c r="B897" s="175"/>
      <c r="C897" s="354"/>
      <c r="D897" s="2" t="s">
        <v>1270</v>
      </c>
      <c r="E897" s="1031" t="s">
        <v>1871</v>
      </c>
      <c r="F897" s="1035"/>
      <c r="G897" s="983"/>
      <c r="I897" s="490"/>
    </row>
    <row r="898" spans="1:9" ht="12.75" customHeight="1">
      <c r="A898" s="175"/>
      <c r="B898" s="175"/>
      <c r="C898" s="354"/>
      <c r="D898" s="118"/>
      <c r="E898" s="983"/>
      <c r="F898" s="983"/>
      <c r="G898" s="983"/>
      <c r="I898" s="490"/>
    </row>
    <row r="899" spans="1:9" ht="12.75" customHeight="1">
      <c r="A899" s="175"/>
      <c r="B899" s="485" t="s">
        <v>2779</v>
      </c>
      <c r="C899" s="354"/>
      <c r="D899" s="1268" t="s">
        <v>1759</v>
      </c>
      <c r="E899" s="1268"/>
      <c r="F899" s="1268"/>
      <c r="G899" s="983"/>
      <c r="I899" s="490"/>
    </row>
    <row r="900" spans="1:9" ht="12.75" customHeight="1">
      <c r="A900" s="175"/>
      <c r="B900" s="175"/>
      <c r="C900" s="354"/>
      <c r="D900" s="1268"/>
      <c r="E900" s="1268"/>
      <c r="F900" s="1268"/>
      <c r="G900" s="983"/>
      <c r="I900" s="490"/>
    </row>
    <row r="901" spans="1:9" ht="12.75" customHeight="1">
      <c r="A901" s="175"/>
      <c r="B901" s="175"/>
      <c r="C901" s="354"/>
      <c r="D901" s="1268"/>
      <c r="E901" s="1268"/>
      <c r="F901" s="1268"/>
      <c r="G901" s="983"/>
      <c r="I901" s="490"/>
    </row>
    <row r="902" spans="1:9" ht="12.75" customHeight="1">
      <c r="A902" s="175"/>
      <c r="B902" s="175"/>
      <c r="C902" s="354"/>
      <c r="D902" s="1268"/>
      <c r="E902" s="1268"/>
      <c r="F902" s="1268"/>
      <c r="G902" s="983"/>
      <c r="I902" s="490"/>
    </row>
    <row r="903" spans="1:9" ht="12.75" customHeight="1">
      <c r="A903" s="118"/>
      <c r="B903" s="118"/>
      <c r="C903" s="984"/>
      <c r="D903" s="983"/>
      <c r="E903" s="983"/>
      <c r="F903" s="983"/>
      <c r="G903" s="983"/>
      <c r="I903" s="490"/>
    </row>
    <row r="904" spans="1:9" ht="12.75" customHeight="1">
      <c r="A904" s="1315" t="s">
        <v>1794</v>
      </c>
      <c r="B904" s="1315"/>
      <c r="C904" s="1315"/>
      <c r="D904" s="1315"/>
      <c r="E904" s="1315"/>
      <c r="F904" s="1315"/>
      <c r="G904" s="1315"/>
      <c r="H904" s="1023"/>
      <c r="I904" s="1147"/>
    </row>
    <row r="905" spans="1:9" ht="12.75" customHeight="1">
      <c r="A905" s="57"/>
      <c r="B905" s="57"/>
      <c r="C905" s="57"/>
      <c r="D905" s="57"/>
      <c r="E905" s="57"/>
      <c r="F905" s="57"/>
      <c r="G905" s="57"/>
      <c r="I905" s="490"/>
    </row>
    <row r="906" spans="1:9" ht="12.75" customHeight="1">
      <c r="A906" s="57"/>
      <c r="B906" s="57"/>
      <c r="C906" s="57"/>
      <c r="D906" s="1331" t="s">
        <v>1800</v>
      </c>
      <c r="E906" s="1331"/>
      <c r="F906" s="1331"/>
      <c r="G906" s="57"/>
      <c r="I906" s="490"/>
    </row>
    <row r="907" spans="1:9" ht="12.75" customHeight="1">
      <c r="A907" s="57"/>
      <c r="B907" s="57"/>
      <c r="C907" s="57"/>
      <c r="D907" s="976"/>
      <c r="E907" s="976"/>
      <c r="F907" s="976"/>
      <c r="G907" s="57"/>
      <c r="I907" s="490"/>
    </row>
    <row r="908" spans="1:9" ht="12.75" customHeight="1">
      <c r="A908" s="57"/>
      <c r="B908" s="485" t="s">
        <v>2779</v>
      </c>
      <c r="C908" s="57"/>
      <c r="D908" s="979" t="s">
        <v>1801</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31" t="s">
        <v>1795</v>
      </c>
      <c r="E910" s="1331"/>
      <c r="F910" s="1331"/>
      <c r="G910" s="983"/>
      <c r="I910" s="490"/>
    </row>
    <row r="911" spans="1:9" ht="12.75" customHeight="1">
      <c r="A911" s="172"/>
      <c r="B911" s="172"/>
      <c r="C911" s="172"/>
      <c r="D911" s="1307" t="s">
        <v>1765</v>
      </c>
      <c r="E911" s="1307"/>
      <c r="F911" s="1307"/>
      <c r="G911" s="983"/>
      <c r="I911" s="490"/>
    </row>
    <row r="912" spans="1:9" ht="12.75" customHeight="1">
      <c r="A912" s="984"/>
      <c r="B912" s="984"/>
      <c r="C912" s="984"/>
      <c r="D912" s="2"/>
      <c r="E912" s="983"/>
      <c r="F912" s="983"/>
      <c r="G912" s="983"/>
      <c r="I912" s="490"/>
    </row>
    <row r="913" spans="1:9" ht="12.75" customHeight="1">
      <c r="A913" s="175"/>
      <c r="B913" s="485" t="s">
        <v>2778</v>
      </c>
      <c r="C913" s="354"/>
      <c r="D913" s="1268" t="s">
        <v>1769</v>
      </c>
      <c r="E913" s="1268"/>
      <c r="F913" s="1268"/>
      <c r="G913" s="3"/>
      <c r="I913" s="490"/>
    </row>
    <row r="914" spans="1:9" ht="12.75" customHeight="1">
      <c r="A914" s="354"/>
      <c r="B914" s="354"/>
      <c r="C914" s="354"/>
      <c r="D914" s="1268"/>
      <c r="E914" s="1268"/>
      <c r="F914" s="1268"/>
      <c r="G914" s="3"/>
      <c r="I914" s="490"/>
    </row>
    <row r="915" spans="1:9" ht="12.75" customHeight="1">
      <c r="A915" s="172"/>
      <c r="B915" s="172"/>
      <c r="C915" s="172"/>
      <c r="D915" s="1268" t="s">
        <v>1768</v>
      </c>
      <c r="E915" s="1268"/>
      <c r="F915" s="1268"/>
      <c r="G915" s="983"/>
      <c r="I915" s="490"/>
    </row>
    <row r="916" spans="1:9" ht="12.75" customHeight="1">
      <c r="A916" s="172"/>
      <c r="B916" s="172"/>
      <c r="C916" s="172"/>
      <c r="D916" s="1268"/>
      <c r="E916" s="1268"/>
      <c r="F916" s="1268"/>
      <c r="G916" s="983"/>
      <c r="I916" s="490"/>
    </row>
    <row r="917" spans="1:9" ht="12.75" customHeight="1">
      <c r="A917" s="172"/>
      <c r="B917" s="172"/>
      <c r="C917" s="172"/>
      <c r="D917" s="3"/>
      <c r="E917" s="3"/>
      <c r="F917" s="983"/>
      <c r="G917" s="983"/>
      <c r="I917" s="490"/>
    </row>
    <row r="918" spans="1:9" ht="12.75" customHeight="1">
      <c r="A918" s="175"/>
      <c r="B918" s="485" t="s">
        <v>2778</v>
      </c>
      <c r="C918" s="174"/>
      <c r="D918" s="1272" t="s">
        <v>1766</v>
      </c>
      <c r="E918" s="1272"/>
      <c r="F918" s="1272"/>
      <c r="G918" s="983"/>
      <c r="I918" s="490"/>
    </row>
    <row r="919" spans="1:9" ht="12.75" customHeight="1">
      <c r="A919" s="175"/>
      <c r="B919" s="175"/>
      <c r="C919" s="174"/>
      <c r="D919" s="1272"/>
      <c r="E919" s="1272"/>
      <c r="F919" s="1272"/>
      <c r="G919" s="983"/>
      <c r="I919" s="490"/>
    </row>
    <row r="920" spans="1:9" ht="12.75" customHeight="1">
      <c r="A920" s="175"/>
      <c r="B920" s="175"/>
      <c r="C920" s="174"/>
      <c r="D920" s="1272"/>
      <c r="E920" s="1272"/>
      <c r="F920" s="1272"/>
      <c r="G920" s="983"/>
      <c r="I920" s="490"/>
    </row>
    <row r="921" spans="1:9" ht="12.75" customHeight="1">
      <c r="A921" s="175"/>
      <c r="B921" s="175"/>
      <c r="C921" s="174"/>
      <c r="D921" s="1272"/>
      <c r="E921" s="1272"/>
      <c r="F921" s="1272"/>
      <c r="G921" s="983"/>
      <c r="I921" s="490"/>
    </row>
    <row r="922" spans="1:9" ht="12.75" customHeight="1">
      <c r="A922" s="175"/>
      <c r="B922" s="175"/>
      <c r="C922" s="174"/>
      <c r="D922" s="1272"/>
      <c r="E922" s="1272"/>
      <c r="F922" s="1272"/>
      <c r="G922" s="983"/>
      <c r="I922" s="490"/>
    </row>
    <row r="923" spans="1:9" ht="12.75" customHeight="1">
      <c r="A923" s="174"/>
      <c r="B923" s="174"/>
      <c r="C923" s="174"/>
      <c r="D923" s="1272"/>
      <c r="E923" s="1272"/>
      <c r="F923" s="1272"/>
      <c r="G923" s="983"/>
      <c r="I923" s="490"/>
    </row>
    <row r="924" spans="1:9" ht="12.75" customHeight="1">
      <c r="A924" s="174"/>
      <c r="B924" s="174"/>
      <c r="C924" s="174"/>
      <c r="D924" s="1272"/>
      <c r="E924" s="1272"/>
      <c r="F924" s="1272"/>
      <c r="G924" s="983"/>
      <c r="I924" s="490"/>
    </row>
    <row r="925" spans="1:9" ht="12.75" customHeight="1">
      <c r="A925" s="174"/>
      <c r="B925" s="174"/>
      <c r="C925" s="174"/>
      <c r="D925" s="1272"/>
      <c r="E925" s="1272"/>
      <c r="F925" s="1272"/>
      <c r="G925" s="983"/>
      <c r="I925" s="490"/>
    </row>
    <row r="926" spans="1:9" ht="12.75" customHeight="1">
      <c r="A926" s="174"/>
      <c r="B926" s="174"/>
      <c r="C926" s="174"/>
      <c r="D926" s="335"/>
      <c r="E926" s="335"/>
      <c r="F926" s="335"/>
      <c r="G926" s="983"/>
      <c r="I926" s="490"/>
    </row>
    <row r="927" spans="1:9" ht="12.75" customHeight="1">
      <c r="A927" s="984"/>
      <c r="B927" s="485" t="s">
        <v>2779</v>
      </c>
      <c r="C927" s="984"/>
      <c r="D927" s="1268" t="s">
        <v>1770</v>
      </c>
      <c r="E927" s="1268"/>
      <c r="F927" s="1268"/>
      <c r="G927" s="983"/>
      <c r="I927" s="490"/>
    </row>
    <row r="928" spans="1:9" ht="12.75" customHeight="1">
      <c r="A928" s="984"/>
      <c r="B928" s="984"/>
      <c r="C928" s="984"/>
      <c r="D928" s="1268"/>
      <c r="E928" s="1268"/>
      <c r="F928" s="1268"/>
      <c r="G928" s="983"/>
      <c r="I928" s="490"/>
    </row>
    <row r="929" spans="1:9" ht="12.75" customHeight="1">
      <c r="A929" s="984"/>
      <c r="B929" s="984"/>
      <c r="C929" s="984"/>
      <c r="D929" s="983"/>
      <c r="E929" s="983"/>
      <c r="F929" s="983"/>
      <c r="G929" s="983"/>
      <c r="I929" s="490"/>
    </row>
    <row r="930" spans="1:9" ht="12.75" customHeight="1">
      <c r="A930" s="984"/>
      <c r="B930" s="485" t="s">
        <v>2779</v>
      </c>
      <c r="C930" s="984"/>
      <c r="D930" s="1297" t="s">
        <v>1771</v>
      </c>
      <c r="E930" s="1297"/>
      <c r="F930" s="1297"/>
      <c r="G930" s="983"/>
      <c r="I930" s="490"/>
    </row>
    <row r="931" spans="1:9" ht="12.75" customHeight="1">
      <c r="A931" s="984"/>
      <c r="B931" s="984"/>
      <c r="C931" s="984"/>
      <c r="D931" s="1297"/>
      <c r="E931" s="1297"/>
      <c r="F931" s="1297"/>
      <c r="G931" s="983"/>
      <c r="I931" s="490"/>
    </row>
    <row r="932" spans="1:9" ht="12.75" customHeight="1">
      <c r="A932" s="984"/>
      <c r="B932" s="984"/>
      <c r="C932" s="984"/>
      <c r="D932" s="1297"/>
      <c r="E932" s="1297"/>
      <c r="F932" s="1297"/>
      <c r="G932" s="983"/>
      <c r="I932" s="490"/>
    </row>
    <row r="933" spans="1:9" ht="12.75" customHeight="1">
      <c r="A933" s="984"/>
      <c r="B933" s="984"/>
      <c r="C933" s="984"/>
      <c r="D933" s="1297"/>
      <c r="E933" s="1297"/>
      <c r="F933" s="1297"/>
      <c r="G933" s="983"/>
      <c r="I933" s="490"/>
    </row>
    <row r="934" spans="1:9" ht="12.75" customHeight="1">
      <c r="A934" s="984"/>
      <c r="B934" s="984"/>
      <c r="C934" s="984"/>
      <c r="D934" s="118"/>
      <c r="E934" s="983"/>
      <c r="F934" s="983"/>
      <c r="G934" s="983"/>
      <c r="I934" s="490"/>
    </row>
    <row r="935" spans="1:9" ht="12.75" customHeight="1">
      <c r="A935" s="984"/>
      <c r="B935" s="485" t="s">
        <v>2779</v>
      </c>
      <c r="C935" s="984"/>
      <c r="D935" s="1307" t="s">
        <v>2029</v>
      </c>
      <c r="E935" s="1307"/>
      <c r="F935" s="1307"/>
      <c r="G935" s="983"/>
      <c r="I935" s="490"/>
    </row>
    <row r="936" spans="1:9" ht="12.75" customHeight="1">
      <c r="A936" s="984"/>
      <c r="B936" s="984"/>
      <c r="C936" s="984"/>
      <c r="D936" s="118"/>
      <c r="E936" s="983"/>
      <c r="F936" s="983"/>
      <c r="G936" s="983"/>
      <c r="I936" s="490"/>
    </row>
    <row r="937" spans="1:9" ht="12.75" customHeight="1">
      <c r="A937" s="984"/>
      <c r="B937" s="485" t="s">
        <v>2779</v>
      </c>
      <c r="C937" s="984"/>
      <c r="D937" s="1307" t="s">
        <v>2030</v>
      </c>
      <c r="E937" s="1307"/>
      <c r="F937" s="1307"/>
      <c r="G937" s="983"/>
      <c r="I937" s="490"/>
    </row>
    <row r="938" spans="1:9" ht="12.75" customHeight="1">
      <c r="A938" s="174"/>
      <c r="B938" s="174"/>
      <c r="C938" s="174"/>
      <c r="D938" s="2"/>
      <c r="E938" s="3"/>
      <c r="F938" s="983"/>
      <c r="G938" s="983"/>
      <c r="I938" s="490"/>
    </row>
    <row r="939" spans="1:9" ht="12.75" customHeight="1">
      <c r="A939" s="992"/>
      <c r="B939" s="485" t="s">
        <v>2778</v>
      </c>
      <c r="C939" s="993"/>
      <c r="D939" s="1272" t="s">
        <v>1767</v>
      </c>
      <c r="E939" s="1272"/>
      <c r="F939" s="1272"/>
      <c r="G939" s="994"/>
      <c r="I939" s="490"/>
    </row>
    <row r="940" spans="1:9" ht="12.75" customHeight="1">
      <c r="A940" s="992"/>
      <c r="B940" s="992"/>
      <c r="C940" s="993"/>
      <c r="D940" s="1272"/>
      <c r="E940" s="1272"/>
      <c r="F940" s="1272"/>
      <c r="G940" s="994"/>
      <c r="I940" s="490"/>
    </row>
    <row r="941" spans="1:9" ht="12.75" customHeight="1">
      <c r="A941" s="992"/>
      <c r="B941" s="992"/>
      <c r="C941" s="993"/>
      <c r="D941" s="1272"/>
      <c r="E941" s="1272"/>
      <c r="F941" s="1272"/>
      <c r="G941" s="994"/>
      <c r="I941" s="490"/>
    </row>
    <row r="942" spans="1:9" ht="12.75" customHeight="1">
      <c r="A942" s="992"/>
      <c r="B942" s="992"/>
      <c r="C942" s="993"/>
      <c r="D942" s="1272"/>
      <c r="E942" s="1272"/>
      <c r="F942" s="1272"/>
      <c r="G942" s="994"/>
      <c r="I942" s="490"/>
    </row>
    <row r="943" spans="1:9" ht="12.75" customHeight="1">
      <c r="A943" s="992"/>
      <c r="B943" s="992"/>
      <c r="C943" s="993"/>
      <c r="D943" s="1272"/>
      <c r="E943" s="1272"/>
      <c r="F943" s="1272"/>
      <c r="G943" s="994"/>
      <c r="I943" s="490"/>
    </row>
    <row r="944" spans="1:9" ht="12.75" customHeight="1">
      <c r="A944" s="992"/>
      <c r="B944" s="992"/>
      <c r="C944" s="993"/>
      <c r="D944" s="1272"/>
      <c r="E944" s="1272"/>
      <c r="F944" s="1272"/>
      <c r="G944" s="994"/>
      <c r="I944" s="490"/>
    </row>
    <row r="945" spans="1:9" ht="12.75" customHeight="1">
      <c r="A945" s="992"/>
      <c r="B945" s="992"/>
      <c r="C945" s="993"/>
      <c r="D945" s="1272"/>
      <c r="E945" s="1272"/>
      <c r="F945" s="1272"/>
      <c r="G945" s="994"/>
      <c r="I945" s="490"/>
    </row>
    <row r="946" spans="1:9" ht="12.75" customHeight="1">
      <c r="A946" s="992"/>
      <c r="B946" s="992"/>
      <c r="C946" s="993"/>
      <c r="D946" s="1272"/>
      <c r="E946" s="1272"/>
      <c r="F946" s="1272"/>
      <c r="G946" s="994"/>
      <c r="I946" s="490"/>
    </row>
    <row r="947" spans="1:9" ht="12.75" customHeight="1">
      <c r="A947" s="992"/>
      <c r="B947" s="992"/>
      <c r="C947" s="993"/>
      <c r="D947" s="1272"/>
      <c r="E947" s="1272"/>
      <c r="F947" s="1272"/>
      <c r="G947" s="994"/>
      <c r="I947" s="490"/>
    </row>
    <row r="948" spans="1:9" ht="12.75" customHeight="1">
      <c r="A948" s="174"/>
      <c r="B948" s="174"/>
      <c r="C948" s="174"/>
      <c r="D948" s="2"/>
      <c r="E948" s="3"/>
      <c r="F948" s="983"/>
      <c r="G948" s="983"/>
      <c r="I948" s="490"/>
    </row>
    <row r="949" spans="1:9" ht="12.75" customHeight="1">
      <c r="A949" s="175"/>
      <c r="B949" s="485" t="s">
        <v>2778</v>
      </c>
      <c r="C949" s="174"/>
      <c r="D949" s="1332" t="s">
        <v>1861</v>
      </c>
      <c r="E949" s="1332"/>
      <c r="F949" s="1332"/>
      <c r="G949" s="983"/>
      <c r="I949" s="490"/>
    </row>
    <row r="950" spans="1:9" ht="12.75" customHeight="1">
      <c r="A950" s="175"/>
      <c r="B950" s="175"/>
      <c r="C950" s="174"/>
      <c r="D950" s="1332"/>
      <c r="E950" s="1332"/>
      <c r="F950" s="1332"/>
      <c r="G950" s="983"/>
      <c r="I950" s="490"/>
    </row>
    <row r="951" spans="1:9" ht="12.75" customHeight="1">
      <c r="A951" s="175"/>
      <c r="B951" s="175"/>
      <c r="C951" s="174"/>
      <c r="D951" s="1332"/>
      <c r="E951" s="1332"/>
      <c r="F951" s="1332"/>
      <c r="G951" s="983"/>
      <c r="I951" s="490"/>
    </row>
    <row r="952" spans="1:9" ht="12.75" customHeight="1">
      <c r="A952" s="175"/>
      <c r="B952" s="175"/>
      <c r="C952" s="174"/>
      <c r="D952" s="1332"/>
      <c r="E952" s="1332"/>
      <c r="F952" s="1332"/>
      <c r="G952" s="983"/>
      <c r="I952" s="490"/>
    </row>
    <row r="953" spans="1:9" ht="12.75" customHeight="1">
      <c r="A953" s="175"/>
      <c r="B953" s="175"/>
      <c r="C953" s="174"/>
      <c r="D953" s="1332"/>
      <c r="E953" s="1332"/>
      <c r="F953" s="1332"/>
      <c r="G953" s="983"/>
      <c r="I953" s="490"/>
    </row>
    <row r="954" spans="1:9" ht="12.75" customHeight="1">
      <c r="A954" s="175"/>
      <c r="B954" s="175"/>
      <c r="C954" s="174"/>
      <c r="D954" s="1332"/>
      <c r="E954" s="1332"/>
      <c r="F954" s="1332"/>
      <c r="G954" s="983"/>
      <c r="I954" s="490"/>
    </row>
    <row r="955" spans="1:9" ht="12.75" customHeight="1">
      <c r="A955" s="175"/>
      <c r="B955" s="175"/>
      <c r="C955" s="174"/>
      <c r="D955" s="1332"/>
      <c r="E955" s="1332"/>
      <c r="F955" s="1332"/>
      <c r="G955" s="983"/>
      <c r="I955" s="490"/>
    </row>
    <row r="956" spans="1:9" ht="12.75" customHeight="1">
      <c r="A956" s="175"/>
      <c r="B956" s="175"/>
      <c r="C956" s="174"/>
      <c r="D956" s="1021"/>
      <c r="E956" s="1021"/>
      <c r="F956" s="1021"/>
      <c r="G956" s="983"/>
      <c r="I956" s="490"/>
    </row>
    <row r="957" spans="1:9" ht="12.75" customHeight="1">
      <c r="A957" s="175"/>
      <c r="B957" s="485" t="s">
        <v>2778</v>
      </c>
      <c r="C957" s="174"/>
      <c r="D957" s="1271" t="s">
        <v>2094</v>
      </c>
      <c r="E957" s="1271"/>
      <c r="F957" s="1271"/>
      <c r="G957" s="983"/>
      <c r="I957" s="490"/>
    </row>
    <row r="958" spans="1:9" ht="12.75" customHeight="1">
      <c r="A958" s="175"/>
      <c r="B958" s="175"/>
      <c r="C958" s="174"/>
      <c r="D958" s="1271"/>
      <c r="E958" s="1271"/>
      <c r="F958" s="1271"/>
      <c r="G958" s="983"/>
      <c r="I958" s="490"/>
    </row>
    <row r="959" spans="1:9" ht="12.75" customHeight="1">
      <c r="A959" s="175"/>
      <c r="B959" s="175"/>
      <c r="C959" s="174"/>
      <c r="D959" s="1271"/>
      <c r="E959" s="1271"/>
      <c r="F959" s="1271"/>
      <c r="G959" s="983"/>
      <c r="I959" s="490"/>
    </row>
    <row r="960" spans="1:9" ht="12.75" customHeight="1">
      <c r="A960" s="175"/>
      <c r="B960" s="175"/>
      <c r="C960" s="174"/>
      <c r="D960" s="1271"/>
      <c r="E960" s="1271"/>
      <c r="F960" s="1271"/>
      <c r="G960" s="983"/>
      <c r="I960" s="490"/>
    </row>
    <row r="961" spans="1:9" ht="12.75" customHeight="1">
      <c r="A961" s="175"/>
      <c r="B961" s="175"/>
      <c r="C961" s="174"/>
      <c r="D961" s="1271"/>
      <c r="E961" s="1271"/>
      <c r="F961" s="1271"/>
      <c r="G961" s="983"/>
      <c r="I961" s="490"/>
    </row>
    <row r="962" spans="1:9" ht="12.75" customHeight="1">
      <c r="A962" s="175"/>
      <c r="B962" s="175"/>
      <c r="C962" s="174"/>
      <c r="D962" s="1271"/>
      <c r="E962" s="1271"/>
      <c r="F962" s="1271"/>
      <c r="G962" s="983"/>
      <c r="I962" s="490"/>
    </row>
    <row r="963" spans="1:9" ht="12.75" customHeight="1">
      <c r="A963" s="175"/>
      <c r="B963" s="175"/>
      <c r="C963" s="174"/>
      <c r="D963" s="1021"/>
      <c r="E963" s="1021"/>
      <c r="F963" s="1021"/>
      <c r="G963" s="983"/>
      <c r="I963" s="490"/>
    </row>
    <row r="964" spans="1:9" ht="12.75" customHeight="1">
      <c r="A964" s="984"/>
      <c r="B964" s="485" t="s">
        <v>2779</v>
      </c>
      <c r="C964" s="984"/>
      <c r="D964" s="1297" t="s">
        <v>1772</v>
      </c>
      <c r="E964" s="1297"/>
      <c r="F964" s="1297"/>
      <c r="G964" s="983"/>
      <c r="I964" s="490"/>
    </row>
    <row r="965" spans="1:9" ht="12.75" customHeight="1">
      <c r="A965" s="984"/>
      <c r="B965" s="984"/>
      <c r="C965" s="984"/>
      <c r="D965" s="1297"/>
      <c r="E965" s="1297"/>
      <c r="F965" s="1297"/>
      <c r="G965" s="983"/>
      <c r="I965" s="490"/>
    </row>
    <row r="966" spans="1:9" ht="12.75" customHeight="1">
      <c r="A966" s="984"/>
      <c r="B966" s="984"/>
      <c r="C966" s="984"/>
      <c r="D966" s="1297"/>
      <c r="E966" s="1297"/>
      <c r="F966" s="1297"/>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2779</v>
      </c>
      <c r="C969" s="174"/>
      <c r="D969" s="1272" t="s">
        <v>1860</v>
      </c>
      <c r="E969" s="1272"/>
      <c r="F969" s="1272"/>
      <c r="G969" s="983"/>
      <c r="I969" s="490"/>
    </row>
    <row r="970" spans="1:9" ht="12.75" customHeight="1">
      <c r="A970" s="175"/>
      <c r="B970" s="175"/>
      <c r="C970" s="174"/>
      <c r="D970" s="1272"/>
      <c r="E970" s="1272"/>
      <c r="F970" s="1272"/>
      <c r="G970" s="983"/>
      <c r="I970" s="490"/>
    </row>
    <row r="971" spans="1:9" ht="12.75" customHeight="1">
      <c r="A971" s="175"/>
      <c r="B971" s="175"/>
      <c r="C971" s="174"/>
      <c r="D971" s="1272"/>
      <c r="E971" s="1272"/>
      <c r="F971" s="1272"/>
      <c r="G971" s="983"/>
      <c r="I971" s="490"/>
    </row>
    <row r="972" spans="1:9" ht="12.75" customHeight="1">
      <c r="A972" s="175"/>
      <c r="B972" s="175"/>
      <c r="C972" s="174"/>
      <c r="D972" s="1272"/>
      <c r="E972" s="1272"/>
      <c r="F972" s="1272"/>
      <c r="G972" s="983"/>
      <c r="I972" s="490"/>
    </row>
    <row r="973" spans="1:9" ht="12.75" customHeight="1">
      <c r="A973" s="984"/>
      <c r="B973" s="984"/>
      <c r="C973" s="984"/>
      <c r="D973" s="975"/>
      <c r="E973" s="975"/>
      <c r="F973" s="975"/>
      <c r="G973" s="975"/>
      <c r="I973" s="490"/>
    </row>
    <row r="974" spans="1:9" ht="12.75" customHeight="1">
      <c r="A974" s="354"/>
      <c r="B974" s="354"/>
      <c r="C974" s="354"/>
      <c r="D974" s="1327" t="s">
        <v>1773</v>
      </c>
      <c r="E974" s="1327"/>
      <c r="F974" s="1327"/>
      <c r="G974" s="3"/>
      <c r="I974" s="490"/>
    </row>
    <row r="975" spans="1:9" ht="12.75" customHeight="1">
      <c r="A975" s="175"/>
      <c r="B975" s="485" t="s">
        <v>2779</v>
      </c>
      <c r="C975" s="354"/>
      <c r="D975" s="1307" t="s">
        <v>1796</v>
      </c>
      <c r="E975" s="1307"/>
      <c r="F975" s="1307"/>
      <c r="G975" s="3"/>
      <c r="I975" s="490"/>
    </row>
    <row r="976" spans="1:9" ht="12.75" customHeight="1">
      <c r="A976" s="354"/>
      <c r="B976" s="354"/>
      <c r="C976" s="354"/>
      <c r="D976" s="3"/>
      <c r="E976" s="3"/>
      <c r="F976" s="3"/>
      <c r="G976" s="3"/>
      <c r="I976" s="490"/>
    </row>
    <row r="977" spans="1:9" ht="12.75" customHeight="1">
      <c r="A977" s="354"/>
      <c r="B977" s="354"/>
      <c r="C977" s="354"/>
      <c r="D977" s="1327" t="s">
        <v>1774</v>
      </c>
      <c r="E977" s="1327"/>
      <c r="F977" s="1327"/>
      <c r="G977"/>
      <c r="I977" s="490"/>
    </row>
    <row r="978" spans="1:9" ht="12.75" customHeight="1">
      <c r="A978" s="175"/>
      <c r="B978" s="485" t="s">
        <v>2778</v>
      </c>
      <c r="C978" s="354"/>
      <c r="D978" s="1268" t="s">
        <v>2031</v>
      </c>
      <c r="E978" s="1268"/>
      <c r="F978" s="1268"/>
      <c r="G978"/>
      <c r="I978" s="490"/>
    </row>
    <row r="979" spans="1:9" ht="12.75" customHeight="1">
      <c r="A979" s="175"/>
      <c r="B979" s="175"/>
      <c r="C979" s="354"/>
      <c r="D979" s="1268"/>
      <c r="E979" s="1268"/>
      <c r="F979" s="1268"/>
      <c r="G979"/>
      <c r="I979" s="490"/>
    </row>
    <row r="980" spans="1:9" ht="12.75" customHeight="1">
      <c r="A980" s="175"/>
      <c r="B980" s="175"/>
      <c r="C980" s="354"/>
      <c r="D980" s="1268"/>
      <c r="E980" s="1268"/>
      <c r="F980" s="1268"/>
      <c r="G980"/>
      <c r="I980" s="490"/>
    </row>
    <row r="981" spans="1:9" ht="12.75" customHeight="1">
      <c r="A981" s="175"/>
      <c r="B981" s="175"/>
      <c r="C981" s="354"/>
      <c r="D981" s="1268"/>
      <c r="E981" s="1268"/>
      <c r="F981" s="1268"/>
      <c r="G981"/>
      <c r="I981" s="490"/>
    </row>
    <row r="982" spans="1:9" ht="12.75" customHeight="1">
      <c r="A982" s="175"/>
      <c r="B982" s="175"/>
      <c r="C982" s="354"/>
      <c r="D982" s="1268"/>
      <c r="E982" s="1268"/>
      <c r="F982" s="1268"/>
      <c r="G982"/>
      <c r="I982" s="490"/>
    </row>
    <row r="983" spans="1:9" ht="12.75" customHeight="1">
      <c r="A983" s="175"/>
      <c r="B983" s="175"/>
      <c r="C983" s="354"/>
      <c r="D983" s="1268"/>
      <c r="E983" s="1268"/>
      <c r="F983" s="1268"/>
      <c r="G983"/>
      <c r="I983" s="490"/>
    </row>
    <row r="984" spans="1:9" ht="12.75" customHeight="1">
      <c r="A984" s="175"/>
      <c r="B984" s="175"/>
      <c r="C984" s="354"/>
      <c r="D984" s="1268"/>
      <c r="E984" s="1268"/>
      <c r="F984" s="1268"/>
      <c r="G984"/>
      <c r="I984" s="490"/>
    </row>
    <row r="985" spans="1:9" ht="12.75" customHeight="1">
      <c r="A985" s="175"/>
      <c r="B985" s="175"/>
      <c r="C985" s="354"/>
      <c r="D985" s="1268"/>
      <c r="E985" s="1268"/>
      <c r="F985" s="1268"/>
      <c r="G985"/>
      <c r="I985" s="490"/>
    </row>
    <row r="986" spans="1:9" ht="12.75" customHeight="1">
      <c r="A986" s="175"/>
      <c r="B986" s="175"/>
      <c r="C986" s="354"/>
      <c r="D986" s="1268"/>
      <c r="E986" s="1268"/>
      <c r="F986" s="1268"/>
      <c r="G986"/>
      <c r="I986" s="490"/>
    </row>
    <row r="987" spans="1:9" ht="12.75" customHeight="1">
      <c r="A987" s="175"/>
      <c r="B987" s="175"/>
      <c r="C987" s="354"/>
      <c r="D987" s="1268"/>
      <c r="E987" s="1268"/>
      <c r="F987" s="1268"/>
      <c r="G987"/>
      <c r="I987" s="490"/>
    </row>
    <row r="988" spans="1:9" ht="12.75" customHeight="1">
      <c r="A988" s="175"/>
      <c r="B988" s="175"/>
      <c r="C988" s="354"/>
      <c r="D988" s="1268"/>
      <c r="E988" s="1268"/>
      <c r="F988" s="1268"/>
      <c r="G988"/>
      <c r="I988" s="490"/>
    </row>
    <row r="989" spans="1:9" ht="12.75" customHeight="1">
      <c r="A989" s="175"/>
      <c r="B989" s="175"/>
      <c r="C989" s="354"/>
      <c r="D989" s="1268"/>
      <c r="E989" s="1268"/>
      <c r="F989" s="1268"/>
      <c r="G989"/>
      <c r="I989" s="490"/>
    </row>
    <row r="990" spans="1:9" ht="12.75" customHeight="1">
      <c r="A990" s="175"/>
      <c r="B990" s="175"/>
      <c r="C990" s="354"/>
      <c r="D990" s="1268"/>
      <c r="E990" s="1268"/>
      <c r="F990" s="1268"/>
      <c r="G990"/>
      <c r="I990" s="490"/>
    </row>
    <row r="991" spans="1:9" ht="12.75" customHeight="1">
      <c r="A991" s="175"/>
      <c r="B991" s="175"/>
      <c r="C991" s="354"/>
      <c r="D991" s="1268"/>
      <c r="E991" s="1268"/>
      <c r="F991" s="1268"/>
      <c r="G991"/>
      <c r="I991" s="490"/>
    </row>
    <row r="992" spans="1:9" ht="12.75" customHeight="1">
      <c r="A992" s="175"/>
      <c r="B992" s="175"/>
      <c r="C992" s="354"/>
      <c r="D992" s="1268"/>
      <c r="E992" s="1268"/>
      <c r="F992" s="1268"/>
      <c r="G992" s="3"/>
      <c r="I992" s="490"/>
    </row>
    <row r="993" spans="1:9" ht="12.75" customHeight="1">
      <c r="A993" s="354"/>
      <c r="B993" s="354"/>
      <c r="C993" s="354"/>
      <c r="D993" s="3"/>
      <c r="E993" s="3"/>
      <c r="F993" s="3"/>
      <c r="G993" s="3"/>
      <c r="I993" s="490"/>
    </row>
    <row r="994" spans="1:9" ht="12.75" customHeight="1">
      <c r="A994" s="1315" t="s">
        <v>1775</v>
      </c>
      <c r="B994" s="1315"/>
      <c r="C994" s="1315"/>
      <c r="D994" s="1315"/>
      <c r="E994" s="1315"/>
      <c r="F994" s="1315"/>
      <c r="G994" s="1315"/>
      <c r="H994" s="1023"/>
      <c r="I994" s="1147"/>
    </row>
    <row r="995" spans="1:9" ht="12.75" customHeight="1">
      <c r="A995" s="118"/>
      <c r="B995" s="118"/>
      <c r="C995" s="354"/>
      <c r="D995" s="3"/>
      <c r="E995" s="3"/>
      <c r="F995" s="3"/>
      <c r="G995" s="3"/>
      <c r="I995" s="490"/>
    </row>
    <row r="996" spans="1:9" ht="12.75" customHeight="1">
      <c r="A996" s="354"/>
      <c r="B996" s="354"/>
      <c r="C996" s="984"/>
      <c r="D996" s="1327" t="s">
        <v>1797</v>
      </c>
      <c r="E996" s="1327"/>
      <c r="F996" s="1327"/>
      <c r="G996" s="3"/>
      <c r="I996" s="490"/>
    </row>
    <row r="997" spans="1:9" ht="12.75" customHeight="1">
      <c r="A997" s="172"/>
      <c r="B997" s="172"/>
      <c r="C997" s="172"/>
      <c r="D997" s="1307" t="s">
        <v>1776</v>
      </c>
      <c r="E997" s="1307"/>
      <c r="F997" s="1307"/>
      <c r="G997" s="3"/>
      <c r="I997" s="490"/>
    </row>
    <row r="998" spans="1:9" ht="12.75" customHeight="1">
      <c r="A998" s="172"/>
      <c r="B998" s="172"/>
      <c r="C998" s="172"/>
      <c r="D998" s="3"/>
      <c r="E998" s="3"/>
      <c r="F998" s="983"/>
      <c r="G998"/>
      <c r="I998" s="490"/>
    </row>
    <row r="999" spans="1:9" ht="12.75" customHeight="1">
      <c r="A999" s="354"/>
      <c r="B999" s="485" t="s">
        <v>2778</v>
      </c>
      <c r="C999" s="354"/>
      <c r="D999" s="1337" t="s">
        <v>1889</v>
      </c>
      <c r="E999" s="1337"/>
      <c r="F999" s="1337"/>
      <c r="G999"/>
      <c r="I999" s="490"/>
    </row>
    <row r="1000" spans="1:9" ht="12.75" customHeight="1">
      <c r="A1000" s="354"/>
      <c r="B1000" s="354"/>
      <c r="C1000" s="354"/>
      <c r="D1000" s="1337"/>
      <c r="E1000" s="1337"/>
      <c r="F1000" s="1337"/>
      <c r="G1000"/>
      <c r="I1000" s="490"/>
    </row>
    <row r="1001" spans="1:9" ht="12.75" customHeight="1">
      <c r="A1001" s="354"/>
      <c r="B1001" s="354"/>
      <c r="C1001" s="354"/>
      <c r="D1001" s="1033"/>
      <c r="E1001" s="1031" t="s">
        <v>1890</v>
      </c>
      <c r="F1001" s="1033"/>
      <c r="G1001"/>
      <c r="I1001" s="490"/>
    </row>
    <row r="1002" spans="1:9" ht="12.75" customHeight="1">
      <c r="A1002" s="354"/>
      <c r="B1002" s="354"/>
      <c r="C1002" s="354"/>
      <c r="D1002" s="1274" t="s">
        <v>1888</v>
      </c>
      <c r="E1002" s="1274"/>
      <c r="F1002" s="1274"/>
      <c r="G1002"/>
      <c r="I1002" s="490"/>
    </row>
    <row r="1003" spans="1:9" ht="12.75" customHeight="1">
      <c r="A1003" s="354"/>
      <c r="B1003" s="354"/>
      <c r="C1003" s="354"/>
      <c r="D1003" s="1274"/>
      <c r="E1003" s="1274"/>
      <c r="F1003" s="1274"/>
      <c r="G1003"/>
      <c r="I1003" s="490"/>
    </row>
    <row r="1004" spans="1:9" ht="12.75" customHeight="1">
      <c r="A1004" s="174"/>
      <c r="B1004" s="174"/>
      <c r="C1004" s="174"/>
      <c r="D1004" s="1274"/>
      <c r="E1004" s="1274"/>
      <c r="F1004" s="1274"/>
      <c r="G1004"/>
      <c r="I1004" s="490"/>
    </row>
    <row r="1005" spans="1:9" ht="12.75" customHeight="1">
      <c r="A1005" s="174"/>
      <c r="B1005" s="174"/>
      <c r="C1005" s="174"/>
      <c r="D1005" s="1274"/>
      <c r="E1005" s="1274"/>
      <c r="F1005" s="1274"/>
      <c r="G1005"/>
      <c r="I1005" s="490"/>
    </row>
    <row r="1006" spans="1:9" ht="12.75" customHeight="1">
      <c r="A1006" s="174"/>
      <c r="B1006" s="174"/>
      <c r="C1006" s="174"/>
      <c r="D1006" s="335"/>
      <c r="E1006" s="335"/>
      <c r="F1006" s="335"/>
      <c r="G1006"/>
      <c r="I1006" s="490"/>
    </row>
    <row r="1007" spans="1:9" ht="12.75" customHeight="1">
      <c r="A1007" s="174"/>
      <c r="B1007" s="485" t="s">
        <v>2779</v>
      </c>
      <c r="C1007" s="174"/>
      <c r="D1007" s="1268" t="s">
        <v>1777</v>
      </c>
      <c r="E1007" s="1268"/>
      <c r="F1007" s="1268"/>
      <c r="G1007"/>
      <c r="I1007" s="490"/>
    </row>
    <row r="1008" spans="1:9" ht="12.75" customHeight="1">
      <c r="A1008" s="174"/>
      <c r="B1008" s="174"/>
      <c r="C1008" s="174"/>
      <c r="D1008" s="1268"/>
      <c r="E1008" s="1268"/>
      <c r="F1008" s="1268"/>
      <c r="G1008"/>
      <c r="I1008" s="490"/>
    </row>
    <row r="1009" spans="1:9" ht="12.75" customHeight="1">
      <c r="A1009" s="174"/>
      <c r="B1009" s="174"/>
      <c r="C1009" s="174"/>
      <c r="D1009" s="1268"/>
      <c r="E1009" s="1268"/>
      <c r="F1009" s="1268"/>
      <c r="G1009"/>
      <c r="I1009" s="490"/>
    </row>
    <row r="1010" spans="1:9" ht="12.75" customHeight="1">
      <c r="A1010" s="174"/>
      <c r="B1010" s="174"/>
      <c r="C1010" s="174"/>
      <c r="D1010" s="1268"/>
      <c r="E1010" s="1268"/>
      <c r="F1010" s="1268"/>
      <c r="G1010"/>
      <c r="I1010" s="490"/>
    </row>
    <row r="1011" spans="1:9" ht="12.75" customHeight="1">
      <c r="A1011" s="174"/>
      <c r="B1011" s="174"/>
      <c r="C1011" s="174"/>
      <c r="D1011" s="441"/>
      <c r="E1011" s="441"/>
      <c r="F1011" s="441"/>
      <c r="G1011"/>
      <c r="I1011" s="490"/>
    </row>
    <row r="1012" spans="1:9" ht="12.75" customHeight="1">
      <c r="A1012" s="174"/>
      <c r="B1012" s="485" t="s">
        <v>2778</v>
      </c>
      <c r="C1012" s="174"/>
      <c r="D1012" s="1268" t="s">
        <v>2185</v>
      </c>
      <c r="E1012" s="1268"/>
      <c r="F1012" s="1268"/>
      <c r="G1012"/>
      <c r="I1012" s="490"/>
    </row>
    <row r="1013" spans="1:9" ht="12.75" customHeight="1">
      <c r="A1013" s="174"/>
      <c r="B1013" s="174"/>
      <c r="C1013" s="174"/>
      <c r="D1013" s="1268"/>
      <c r="E1013" s="1268"/>
      <c r="F1013" s="1268"/>
      <c r="G1013"/>
      <c r="I1013" s="490"/>
    </row>
    <row r="1014" spans="1:9" ht="12.75" customHeight="1">
      <c r="A1014" s="174"/>
      <c r="B1014" s="174"/>
      <c r="C1014" s="174"/>
      <c r="D1014" s="441"/>
      <c r="E1014" s="441"/>
      <c r="F1014" s="441"/>
      <c r="G1014"/>
      <c r="I1014" s="490"/>
    </row>
    <row r="1015" spans="1:9" ht="12.75" customHeight="1">
      <c r="A1015" s="175"/>
      <c r="B1015" s="485" t="s">
        <v>2779</v>
      </c>
      <c r="C1015" s="354"/>
      <c r="D1015" s="1307" t="s">
        <v>1778</v>
      </c>
      <c r="E1015" s="1307"/>
      <c r="F1015" s="1307"/>
      <c r="G1015"/>
      <c r="I1015" s="490"/>
    </row>
    <row r="1016" spans="1:9" ht="12.75" customHeight="1">
      <c r="A1016" s="354"/>
      <c r="B1016" s="354"/>
      <c r="C1016" s="354"/>
      <c r="D1016" s="3"/>
      <c r="E1016" s="3"/>
      <c r="F1016" s="3"/>
      <c r="G1016"/>
      <c r="I1016" s="490"/>
    </row>
    <row r="1017" spans="1:9" ht="12.75" customHeight="1">
      <c r="A1017" s="175"/>
      <c r="B1017" s="485" t="s">
        <v>2779</v>
      </c>
      <c r="C1017" s="354"/>
      <c r="D1017" s="1307" t="s">
        <v>1779</v>
      </c>
      <c r="E1017" s="1307"/>
      <c r="F1017" s="1307"/>
      <c r="G1017"/>
      <c r="I1017" s="490"/>
    </row>
    <row r="1018" spans="1:9" ht="12.75" customHeight="1">
      <c r="A1018" s="354"/>
      <c r="B1018" s="354"/>
      <c r="C1018" s="354"/>
      <c r="D1018" s="118"/>
      <c r="E1018" s="3"/>
      <c r="F1018" s="3"/>
      <c r="G1018"/>
      <c r="I1018" s="490"/>
    </row>
    <row r="1019" spans="1:9" ht="12.75" customHeight="1">
      <c r="A1019" s="175"/>
      <c r="B1019" s="485" t="s">
        <v>2778</v>
      </c>
      <c r="C1019" s="354"/>
      <c r="D1019" s="1307" t="s">
        <v>1780</v>
      </c>
      <c r="E1019" s="1307"/>
      <c r="F1019" s="1307"/>
      <c r="G1019"/>
      <c r="I1019" s="490"/>
    </row>
    <row r="1020" spans="1:9" ht="12.75" customHeight="1">
      <c r="A1020" s="354"/>
      <c r="B1020" s="354"/>
      <c r="C1020" s="354"/>
      <c r="D1020" s="118"/>
      <c r="E1020" s="3"/>
      <c r="F1020" s="3"/>
      <c r="G1020"/>
      <c r="I1020" s="490"/>
    </row>
    <row r="1021" spans="1:9" ht="12.75" customHeight="1">
      <c r="A1021" s="175"/>
      <c r="B1021" s="485" t="s">
        <v>2778</v>
      </c>
      <c r="C1021" s="354"/>
      <c r="D1021" s="1268" t="s">
        <v>1781</v>
      </c>
      <c r="E1021" s="1268"/>
      <c r="F1021" s="1268"/>
      <c r="G1021"/>
      <c r="I1021" s="490"/>
    </row>
    <row r="1022" spans="1:9" ht="12.75" customHeight="1">
      <c r="A1022" s="175"/>
      <c r="B1022" s="175"/>
      <c r="C1022" s="354"/>
      <c r="D1022" s="1268"/>
      <c r="E1022" s="1268"/>
      <c r="F1022" s="1268"/>
      <c r="G1022"/>
      <c r="I1022" s="490"/>
    </row>
    <row r="1023" spans="1:9" ht="12.75" customHeight="1">
      <c r="A1023" s="175"/>
      <c r="B1023" s="175"/>
      <c r="C1023" s="354"/>
      <c r="D1023" s="118"/>
      <c r="E1023" s="3"/>
      <c r="F1023" s="3"/>
      <c r="G1023" s="3"/>
      <c r="I1023" s="490"/>
    </row>
    <row r="1024" spans="1:9" ht="12.75" customHeight="1">
      <c r="A1024" s="254"/>
      <c r="B1024" s="485" t="s">
        <v>2779</v>
      </c>
      <c r="C1024" s="995"/>
      <c r="D1024" s="1323" t="s">
        <v>1782</v>
      </c>
      <c r="E1024" s="1323"/>
      <c r="F1024" s="1323"/>
      <c r="G1024" s="996"/>
      <c r="I1024" s="490"/>
    </row>
    <row r="1025" spans="1:9" ht="12.75" customHeight="1">
      <c r="A1025" s="995"/>
      <c r="B1025" s="995"/>
      <c r="C1025" s="995"/>
      <c r="D1025" s="1323"/>
      <c r="E1025" s="1323"/>
      <c r="F1025" s="1323"/>
      <c r="G1025" s="996"/>
      <c r="I1025" s="490"/>
    </row>
    <row r="1026" spans="1:9" ht="12.75" customHeight="1">
      <c r="A1026" s="995"/>
      <c r="B1026" s="995"/>
      <c r="C1026" s="995"/>
      <c r="D1026" s="979"/>
      <c r="E1026" s="996"/>
      <c r="F1026" s="996"/>
      <c r="G1026" s="996"/>
      <c r="I1026" s="490"/>
    </row>
    <row r="1027" spans="1:9" ht="12.75" customHeight="1">
      <c r="A1027" s="254"/>
      <c r="B1027" s="485" t="s">
        <v>2779</v>
      </c>
      <c r="C1027" s="995"/>
      <c r="D1027" s="1338" t="s">
        <v>1783</v>
      </c>
      <c r="E1027" s="1338"/>
      <c r="F1027" s="1338"/>
      <c r="G1027" s="996"/>
      <c r="I1027" s="490"/>
    </row>
    <row r="1028" spans="1:9" ht="12.75" customHeight="1">
      <c r="A1028" s="995"/>
      <c r="B1028" s="995"/>
      <c r="C1028" s="995"/>
      <c r="D1028" s="979"/>
      <c r="E1028" s="996"/>
      <c r="F1028" s="996"/>
      <c r="G1028" s="996"/>
      <c r="I1028" s="490"/>
    </row>
    <row r="1029" spans="1:9" ht="12.75" customHeight="1">
      <c r="A1029" s="175"/>
      <c r="B1029" s="485" t="s">
        <v>2779</v>
      </c>
      <c r="C1029" s="354"/>
      <c r="D1029" s="1307" t="s">
        <v>1784</v>
      </c>
      <c r="E1029" s="1307"/>
      <c r="F1029" s="1307"/>
      <c r="G1029" s="3"/>
      <c r="I1029" s="490"/>
    </row>
    <row r="1030" spans="1:9" ht="12.75" customHeight="1">
      <c r="A1030" s="175"/>
      <c r="B1030" s="175"/>
      <c r="C1030" s="354"/>
      <c r="D1030" s="118"/>
      <c r="E1030" s="3"/>
      <c r="F1030" s="3"/>
      <c r="G1030" s="3"/>
      <c r="I1030" s="490"/>
    </row>
    <row r="1031" spans="1:9" ht="12.75" customHeight="1">
      <c r="A1031" s="175"/>
      <c r="B1031" s="485" t="s">
        <v>2778</v>
      </c>
      <c r="C1031" s="354"/>
      <c r="D1031" s="1268" t="s">
        <v>1785</v>
      </c>
      <c r="E1031" s="1268"/>
      <c r="F1031" s="1268"/>
      <c r="G1031" s="3"/>
      <c r="I1031" s="490"/>
    </row>
    <row r="1032" spans="1:9" ht="12.75" customHeight="1">
      <c r="A1032" s="175"/>
      <c r="B1032" s="175"/>
      <c r="C1032" s="354"/>
      <c r="D1032" s="1268"/>
      <c r="E1032" s="1268"/>
      <c r="F1032" s="1268"/>
      <c r="G1032" s="3"/>
      <c r="I1032" s="490"/>
    </row>
    <row r="1033" spans="1:9" ht="12.75" customHeight="1">
      <c r="A1033" s="354"/>
      <c r="B1033" s="354"/>
      <c r="C1033" s="354"/>
      <c r="D1033" s="3"/>
      <c r="E1033" s="3"/>
      <c r="F1033" s="3"/>
      <c r="G1033" s="3"/>
      <c r="I1033" s="490"/>
    </row>
    <row r="1034" spans="1:9" ht="12.75" customHeight="1">
      <c r="A1034" s="1315" t="s">
        <v>1786</v>
      </c>
      <c r="B1034" s="1315"/>
      <c r="C1034" s="1315"/>
      <c r="D1034" s="1315"/>
      <c r="E1034" s="1315"/>
      <c r="F1034" s="1315"/>
      <c r="G1034" s="1315"/>
      <c r="H1034" s="1023"/>
      <c r="I1034" s="1147"/>
    </row>
    <row r="1035" spans="1:9" ht="12.75" customHeight="1">
      <c r="A1035" s="354"/>
      <c r="B1035" s="354"/>
      <c r="C1035" s="354"/>
      <c r="D1035" s="3"/>
      <c r="E1035" s="3"/>
      <c r="F1035" s="3"/>
      <c r="G1035" s="3"/>
      <c r="I1035" s="490"/>
    </row>
    <row r="1036" spans="1:9" ht="12.75" customHeight="1">
      <c r="A1036" s="354"/>
      <c r="B1036" s="354"/>
      <c r="C1036" s="354"/>
      <c r="D1036" s="1331" t="s">
        <v>1787</v>
      </c>
      <c r="E1036" s="1331"/>
      <c r="F1036" s="1331"/>
      <c r="G1036" s="3"/>
      <c r="I1036" s="490"/>
    </row>
    <row r="1037" spans="1:9" ht="12.75" customHeight="1">
      <c r="A1037" s="354"/>
      <c r="B1037" s="354"/>
      <c r="C1037" s="354"/>
      <c r="D1037" s="1338" t="s">
        <v>1788</v>
      </c>
      <c r="E1037" s="1338"/>
      <c r="F1037" s="1338"/>
      <c r="G1037" s="3"/>
      <c r="I1037" s="490"/>
    </row>
    <row r="1038" spans="1:9" ht="12.75" customHeight="1">
      <c r="A1038" s="172"/>
      <c r="B1038" s="172"/>
      <c r="C1038" s="172"/>
      <c r="D1038" s="3"/>
      <c r="E1038" s="3"/>
      <c r="F1038" s="3"/>
      <c r="G1038" s="3"/>
      <c r="I1038" s="490"/>
    </row>
    <row r="1039" spans="1:9" ht="12.75" customHeight="1">
      <c r="A1039" s="175"/>
      <c r="B1039" s="175"/>
      <c r="C1039" s="174"/>
      <c r="D1039" s="1331" t="s">
        <v>1802</v>
      </c>
      <c r="E1039" s="1331"/>
      <c r="F1039" s="1331"/>
      <c r="G1039" s="3"/>
      <c r="I1039" s="490"/>
    </row>
    <row r="1040" spans="1:9" ht="12.75" customHeight="1">
      <c r="A1040" s="354"/>
      <c r="B1040" s="485" t="s">
        <v>2778</v>
      </c>
      <c r="C1040" s="354"/>
      <c r="D1040" s="1338" t="s">
        <v>1271</v>
      </c>
      <c r="E1040" s="1338"/>
      <c r="F1040" s="1338"/>
      <c r="G1040" s="3"/>
      <c r="I1040" s="490"/>
    </row>
    <row r="1041" spans="1:9" ht="12.75" customHeight="1">
      <c r="A1041" s="354"/>
      <c r="B1041" s="175"/>
      <c r="C1041" s="354"/>
      <c r="D1041" s="1338" t="s">
        <v>1789</v>
      </c>
      <c r="E1041" s="1338"/>
      <c r="F1041" s="1338"/>
      <c r="G1041" s="3"/>
      <c r="I1041" s="490"/>
    </row>
    <row r="1042" spans="1:9" ht="12.75" customHeight="1">
      <c r="A1042" s="354"/>
      <c r="B1042" s="354"/>
      <c r="C1042" s="354"/>
      <c r="D1042" s="1338"/>
      <c r="E1042" s="1338"/>
      <c r="F1042" s="1338"/>
      <c r="G1042" s="3"/>
      <c r="I1042" s="490"/>
    </row>
    <row r="1043" spans="1:9" ht="12.75" customHeight="1">
      <c r="A1043" s="1315" t="s">
        <v>1798</v>
      </c>
      <c r="B1043" s="1315"/>
      <c r="C1043" s="1315"/>
      <c r="D1043" s="1315"/>
      <c r="E1043" s="1315"/>
      <c r="F1043" s="1315"/>
      <c r="G1043" s="1315"/>
      <c r="H1043" s="1023"/>
      <c r="I1043" s="1147"/>
    </row>
    <row r="1044" spans="1:9" ht="12.75" customHeight="1">
      <c r="A1044" s="118"/>
      <c r="B1044" s="118"/>
      <c r="C1044" s="354"/>
      <c r="D1044" s="3"/>
      <c r="E1044" s="3"/>
      <c r="F1044" s="3"/>
      <c r="G1044" s="3"/>
      <c r="I1044" s="490"/>
    </row>
    <row r="1045" spans="1:9" ht="12.75" hidden="1" customHeight="1">
      <c r="A1045" s="118"/>
      <c r="B1045" s="402"/>
      <c r="D1045" s="1339" t="s">
        <v>1272</v>
      </c>
      <c r="E1045" s="1339"/>
      <c r="F1045" s="1339"/>
      <c r="G1045" s="3"/>
      <c r="I1045" s="490"/>
    </row>
    <row r="1046" spans="1:9" ht="12.75" hidden="1" customHeight="1">
      <c r="A1046" s="118"/>
      <c r="B1046" s="485" t="s">
        <v>307</v>
      </c>
      <c r="D1046" s="1302" t="s">
        <v>1271</v>
      </c>
      <c r="E1046" s="1302"/>
      <c r="F1046" s="1302"/>
      <c r="G1046" s="3"/>
      <c r="I1046" s="490"/>
    </row>
    <row r="1047" spans="1:9" ht="12.75" hidden="1" customHeight="1">
      <c r="A1047" s="118"/>
      <c r="B1047" s="402"/>
      <c r="D1047" s="1302" t="s">
        <v>1799</v>
      </c>
      <c r="E1047" s="1302"/>
      <c r="F1047" s="1302"/>
      <c r="G1047" s="3"/>
      <c r="I1047" s="490"/>
    </row>
    <row r="1048" spans="1:9" ht="12.75" hidden="1" customHeight="1">
      <c r="A1048" s="118"/>
      <c r="B1048" s="402"/>
      <c r="D1048" s="444"/>
      <c r="E1048" s="444"/>
      <c r="F1048" s="444"/>
      <c r="G1048" s="3"/>
      <c r="I1048" s="490"/>
    </row>
    <row r="1049" spans="1:9" ht="12.75" customHeight="1">
      <c r="A1049" s="118"/>
      <c r="B1049" s="118"/>
      <c r="C1049" s="354"/>
      <c r="D1049" s="1340" t="s">
        <v>1066</v>
      </c>
      <c r="E1049" s="1340"/>
      <c r="F1049" s="1340"/>
      <c r="G1049" s="3"/>
      <c r="I1049" s="490"/>
    </row>
    <row r="1050" spans="1:9" ht="12.75" customHeight="1">
      <c r="A1050" s="319"/>
      <c r="B1050" s="319"/>
      <c r="C1050" s="319"/>
      <c r="D1050" s="1308" t="s">
        <v>2202</v>
      </c>
      <c r="E1050" s="1308"/>
      <c r="F1050" s="1308"/>
      <c r="G1050" s="98"/>
      <c r="I1050" s="490"/>
    </row>
    <row r="1051" spans="1:9" ht="12.75" customHeight="1">
      <c r="A1051" s="175"/>
      <c r="B1051" s="485" t="s">
        <v>2779</v>
      </c>
      <c r="C1051" s="354"/>
      <c r="D1051" s="1308" t="s">
        <v>985</v>
      </c>
      <c r="E1051" s="1308"/>
      <c r="F1051" s="1308"/>
      <c r="G1051" s="3"/>
      <c r="I1051" s="490"/>
    </row>
    <row r="1052" spans="1:9" ht="12.75" customHeight="1">
      <c r="A1052" s="354"/>
      <c r="B1052" s="354"/>
      <c r="C1052" s="354"/>
      <c r="D1052" s="1031" t="s">
        <v>1891</v>
      </c>
      <c r="E1052" s="96"/>
      <c r="F1052" s="96"/>
      <c r="G1052" s="3"/>
      <c r="I1052" s="490"/>
    </row>
    <row r="1053" spans="1:9">
      <c r="A1053" s="402"/>
      <c r="B1053" s="402"/>
      <c r="C1053" s="402"/>
      <c r="I1053" s="490"/>
    </row>
    <row r="1054" spans="1:9">
      <c r="A1054" s="1315" t="s">
        <v>2618</v>
      </c>
      <c r="B1054" s="1315"/>
      <c r="C1054" s="1315"/>
      <c r="D1054" s="1315"/>
      <c r="E1054" s="1315"/>
      <c r="F1054" s="1315"/>
      <c r="G1054" s="1315"/>
      <c r="H1054" s="1023"/>
      <c r="I1054" s="1147"/>
    </row>
    <row r="1055" spans="1:9">
      <c r="A1055" s="402"/>
      <c r="B1055" s="402"/>
      <c r="C1055" s="402"/>
      <c r="I1055" s="490"/>
    </row>
    <row r="1056" spans="1:9">
      <c r="A1056" s="402"/>
      <c r="B1056" s="402"/>
      <c r="C1056" s="402"/>
      <c r="D1056" s="404" t="s">
        <v>2617</v>
      </c>
      <c r="I1056" s="490"/>
    </row>
    <row r="1057" spans="1:9">
      <c r="A1057" s="402"/>
      <c r="B1057" s="402"/>
      <c r="C1057" s="402"/>
      <c r="D1057" s="402" t="s">
        <v>2621</v>
      </c>
      <c r="I1057" s="490"/>
    </row>
    <row r="1058" spans="1:9">
      <c r="A1058" s="402"/>
      <c r="B1058" s="402"/>
      <c r="C1058" s="402"/>
      <c r="D1058" s="404"/>
      <c r="I1058" s="490"/>
    </row>
    <row r="1059" spans="1:9">
      <c r="A1059" s="402"/>
      <c r="B1059" s="485" t="s">
        <v>2778</v>
      </c>
      <c r="C1059" s="402"/>
      <c r="D1059" s="1289" t="s">
        <v>1803</v>
      </c>
      <c r="E1059" s="1289"/>
      <c r="F1059" s="1289"/>
      <c r="I1059" s="490"/>
    </row>
    <row r="1060" spans="1:9">
      <c r="A1060" s="402"/>
      <c r="B1060" s="402"/>
      <c r="C1060" s="402"/>
      <c r="D1060" s="1289"/>
      <c r="E1060" s="1289"/>
      <c r="F1060" s="1289"/>
      <c r="I1060" s="490"/>
    </row>
    <row r="1061" spans="1:9">
      <c r="A1061" s="402"/>
      <c r="B1061" s="402"/>
      <c r="C1061" s="402"/>
      <c r="D1061" s="1289"/>
      <c r="E1061" s="1289"/>
      <c r="F1061" s="1289"/>
      <c r="I1061" s="490"/>
    </row>
    <row r="1062" spans="1:9">
      <c r="A1062" s="402"/>
      <c r="B1062" s="402"/>
      <c r="C1062" s="402"/>
      <c r="D1062" s="1289"/>
      <c r="E1062" s="1289"/>
      <c r="F1062" s="1289"/>
      <c r="I1062" s="490"/>
    </row>
    <row r="1063" spans="1:9">
      <c r="A1063" s="402"/>
      <c r="B1063" s="402"/>
      <c r="C1063" s="402"/>
      <c r="I1063" s="490"/>
    </row>
    <row r="1064" spans="1:9">
      <c r="A1064" s="402"/>
      <c r="B1064" s="402"/>
      <c r="C1064" s="402"/>
      <c r="D1064" s="404" t="s">
        <v>1307</v>
      </c>
      <c r="I1064" s="490"/>
    </row>
    <row r="1065" spans="1:9">
      <c r="A1065" s="402"/>
      <c r="B1065" s="402"/>
      <c r="C1065" s="402"/>
      <c r="D1065" s="402" t="s">
        <v>2622</v>
      </c>
      <c r="I1065" s="490"/>
    </row>
    <row r="1066" spans="1:9">
      <c r="A1066" s="402"/>
      <c r="B1066" s="402"/>
      <c r="C1066" s="402"/>
      <c r="I1066" s="490"/>
    </row>
    <row r="1067" spans="1:9">
      <c r="A1067" s="402"/>
      <c r="B1067" s="485" t="s">
        <v>2779</v>
      </c>
      <c r="C1067" s="402"/>
      <c r="D1067" s="402" t="s">
        <v>1801</v>
      </c>
      <c r="I1067" s="490"/>
    </row>
    <row r="1068" spans="1:9">
      <c r="A1068" s="402"/>
      <c r="B1068" s="402"/>
      <c r="C1068" s="402"/>
      <c r="I1068" s="490"/>
    </row>
    <row r="1069" spans="1:9">
      <c r="A1069" s="402"/>
      <c r="B1069" s="485" t="s">
        <v>2779</v>
      </c>
      <c r="C1069" s="402"/>
      <c r="D1069" s="1289" t="s">
        <v>1804</v>
      </c>
      <c r="E1069" s="1289"/>
      <c r="F1069" s="1289"/>
      <c r="I1069" s="490"/>
    </row>
    <row r="1070" spans="1:9">
      <c r="A1070" s="402"/>
      <c r="B1070" s="402"/>
      <c r="C1070" s="402"/>
      <c r="D1070" s="1289"/>
      <c r="E1070" s="1289"/>
      <c r="F1070" s="1289"/>
      <c r="I1070" s="490"/>
    </row>
    <row r="1071" spans="1:9">
      <c r="A1071" s="402"/>
      <c r="B1071" s="402"/>
      <c r="C1071" s="402"/>
      <c r="D1071" s="1289"/>
      <c r="E1071" s="1289"/>
      <c r="F1071" s="1289"/>
      <c r="I1071" s="490"/>
    </row>
    <row r="1072" spans="1:9">
      <c r="A1072" s="402"/>
      <c r="B1072" s="402"/>
      <c r="C1072" s="402"/>
      <c r="D1072" s="1289"/>
      <c r="E1072" s="1289"/>
      <c r="F1072" s="1289"/>
      <c r="I1072" s="490"/>
    </row>
    <row r="1073" spans="1:9">
      <c r="A1073" s="402"/>
      <c r="B1073" s="402"/>
      <c r="C1073" s="402"/>
      <c r="D1073" s="1289"/>
      <c r="E1073" s="1289"/>
      <c r="F1073" s="1289"/>
      <c r="I1073" s="490"/>
    </row>
    <row r="1074" spans="1:9">
      <c r="A1074" s="402"/>
      <c r="B1074" s="402"/>
      <c r="C1074" s="402"/>
      <c r="I1074" s="490"/>
    </row>
    <row r="1075" spans="1:9">
      <c r="A1075" s="1315" t="s">
        <v>1805</v>
      </c>
      <c r="B1075" s="1315"/>
      <c r="C1075" s="1315"/>
      <c r="D1075" s="1315"/>
      <c r="E1075" s="1315"/>
      <c r="F1075" s="1315"/>
      <c r="G1075" s="1315"/>
      <c r="H1075" s="1023"/>
      <c r="I1075" s="1147"/>
    </row>
    <row r="1076" spans="1:9">
      <c r="A1076" s="402"/>
      <c r="B1076" s="402"/>
      <c r="C1076" s="402"/>
      <c r="I1076" s="490"/>
    </row>
    <row r="1077" spans="1:9">
      <c r="A1077" s="402"/>
      <c r="B1077" s="402"/>
      <c r="C1077" s="402"/>
      <c r="I1077" s="490"/>
    </row>
    <row r="1078" spans="1:9">
      <c r="A1078" s="402"/>
      <c r="B1078" s="485" t="s">
        <v>2778</v>
      </c>
      <c r="C1078" s="402"/>
      <c r="D1078" s="527" t="s">
        <v>1808</v>
      </c>
      <c r="I1078" s="490"/>
    </row>
    <row r="1079" spans="1:9">
      <c r="A1079" s="402"/>
      <c r="B1079" s="402"/>
      <c r="C1079" s="402"/>
      <c r="D1079" s="527" t="s">
        <v>2631</v>
      </c>
      <c r="I1079" s="490"/>
    </row>
    <row r="1080" spans="1:9">
      <c r="A1080" s="402"/>
      <c r="B1080" s="402"/>
      <c r="C1080" s="402"/>
      <c r="D1080" s="527"/>
      <c r="I1080" s="490"/>
    </row>
    <row r="1081" spans="1:9">
      <c r="A1081" s="402"/>
      <c r="B1081" s="485" t="s">
        <v>2779</v>
      </c>
      <c r="C1081" s="402"/>
      <c r="D1081" s="1336" t="s">
        <v>2624</v>
      </c>
      <c r="E1081" s="1336"/>
      <c r="F1081" s="1336"/>
      <c r="I1081" s="490"/>
    </row>
    <row r="1082" spans="1:9">
      <c r="A1082" s="402"/>
      <c r="B1082" s="402"/>
      <c r="C1082" s="402"/>
      <c r="D1082" s="1336"/>
      <c r="E1082" s="1336"/>
      <c r="F1082" s="1336"/>
      <c r="I1082" s="490"/>
    </row>
    <row r="1083" spans="1:9">
      <c r="A1083" s="402"/>
      <c r="B1083" s="402"/>
      <c r="C1083" s="402"/>
      <c r="D1083" s="527" t="s">
        <v>2623</v>
      </c>
      <c r="I1083" s="490"/>
    </row>
    <row r="1084" spans="1:9">
      <c r="A1084" s="402"/>
      <c r="B1084" s="402"/>
      <c r="C1084" s="402"/>
      <c r="D1084" s="527"/>
      <c r="I1084" s="490"/>
    </row>
    <row r="1085" spans="1:9">
      <c r="A1085" s="402"/>
      <c r="B1085" s="485" t="s">
        <v>2779</v>
      </c>
      <c r="C1085" s="402"/>
      <c r="D1085" s="119" t="s">
        <v>2632</v>
      </c>
      <c r="I1085" s="490"/>
    </row>
    <row r="1086" spans="1:9">
      <c r="A1086" s="402"/>
      <c r="B1086" s="402"/>
      <c r="C1086" s="402"/>
      <c r="D1086" s="1268" t="s">
        <v>2634</v>
      </c>
      <c r="E1086" s="1268"/>
      <c r="F1086" s="1268"/>
      <c r="I1086" s="490"/>
    </row>
    <row r="1087" spans="1:9">
      <c r="A1087" s="402"/>
      <c r="B1087" s="402"/>
      <c r="C1087" s="402"/>
      <c r="D1087" s="1268"/>
      <c r="E1087" s="1268"/>
      <c r="F1087" s="1268"/>
      <c r="I1087" s="490"/>
    </row>
    <row r="1088" spans="1:9">
      <c r="A1088" s="402"/>
      <c r="B1088" s="402"/>
      <c r="C1088" s="402"/>
      <c r="D1088" s="1268"/>
      <c r="E1088" s="1268"/>
      <c r="F1088" s="1268"/>
      <c r="I1088" s="490"/>
    </row>
    <row r="1089" spans="1:9">
      <c r="A1089" s="402"/>
      <c r="B1089" s="402"/>
      <c r="C1089" s="402"/>
      <c r="D1089" s="1268"/>
      <c r="E1089" s="1268"/>
      <c r="F1089" s="1268"/>
      <c r="I1089" s="490"/>
    </row>
    <row r="1090" spans="1:9">
      <c r="A1090" s="402"/>
      <c r="B1090" s="402"/>
      <c r="C1090" s="402"/>
      <c r="D1090" s="119" t="s">
        <v>2633</v>
      </c>
      <c r="I1090" s="490"/>
    </row>
    <row r="1091" spans="1:9">
      <c r="A1091" s="402"/>
      <c r="B1091" s="402"/>
      <c r="C1091" s="402"/>
      <c r="D1091" s="119"/>
      <c r="I1091" s="490"/>
    </row>
    <row r="1092" spans="1:9">
      <c r="A1092" s="402"/>
      <c r="B1092" s="402"/>
      <c r="C1092" s="402"/>
      <c r="D1092" s="527" t="s">
        <v>1806</v>
      </c>
      <c r="I1092" s="490"/>
    </row>
    <row r="1093" spans="1:9">
      <c r="A1093" s="402"/>
      <c r="B1093" s="485" t="s">
        <v>2779</v>
      </c>
      <c r="C1093" s="402"/>
      <c r="D1093" s="1333" t="s">
        <v>1807</v>
      </c>
      <c r="E1093" s="1333"/>
      <c r="F1093" s="1333"/>
      <c r="I1093" s="490"/>
    </row>
    <row r="1094" spans="1:9">
      <c r="A1094" s="402"/>
      <c r="B1094" s="402"/>
      <c r="C1094" s="402"/>
      <c r="D1094" s="1333"/>
      <c r="E1094" s="1333"/>
      <c r="F1094" s="1333"/>
      <c r="I1094" s="490"/>
    </row>
    <row r="1095" spans="1:9">
      <c r="A1095" s="402"/>
      <c r="B1095" s="402"/>
      <c r="C1095" s="402"/>
      <c r="D1095" s="1333"/>
      <c r="E1095" s="1333"/>
      <c r="F1095" s="1333"/>
      <c r="I1095" s="490"/>
    </row>
    <row r="1096" spans="1:9">
      <c r="A1096" s="402"/>
      <c r="B1096" s="402"/>
      <c r="C1096" s="402"/>
      <c r="D1096" s="1333"/>
      <c r="E1096" s="1333"/>
      <c r="F1096" s="1333"/>
      <c r="I1096" s="490"/>
    </row>
    <row r="1097" spans="1:9">
      <c r="A1097" s="402"/>
      <c r="B1097" s="402"/>
      <c r="C1097" s="402"/>
      <c r="D1097" s="1333"/>
      <c r="E1097" s="1333"/>
      <c r="F1097" s="1333"/>
      <c r="I1097" s="490"/>
    </row>
    <row r="1098" spans="1:9">
      <c r="A1098" s="402"/>
      <c r="B1098" s="402"/>
      <c r="C1098" s="402"/>
      <c r="D1098" s="527" t="s">
        <v>2635</v>
      </c>
      <c r="I1098" s="490"/>
    </row>
    <row r="1099" spans="1:9">
      <c r="A1099" s="402"/>
      <c r="B1099" s="402"/>
      <c r="C1099" s="402"/>
      <c r="I1099" s="490"/>
    </row>
    <row r="1100" spans="1:9">
      <c r="A1100" s="402"/>
      <c r="B1100" s="485" t="s">
        <v>2779</v>
      </c>
      <c r="C1100" s="402"/>
      <c r="D1100" s="1284" t="s">
        <v>2224</v>
      </c>
      <c r="E1100" s="1284"/>
      <c r="F1100" s="1284"/>
      <c r="I1100" s="490"/>
    </row>
    <row r="1101" spans="1:9">
      <c r="A1101" s="402"/>
      <c r="B1101" s="402"/>
      <c r="C1101" s="402"/>
      <c r="D1101" s="1284"/>
      <c r="E1101" s="1284"/>
      <c r="F1101" s="1284"/>
      <c r="I1101" s="490"/>
    </row>
    <row r="1102" spans="1:9">
      <c r="A1102" s="402"/>
      <c r="B1102" s="402"/>
      <c r="C1102" s="402"/>
      <c r="D1102" s="1284"/>
      <c r="E1102" s="1284"/>
      <c r="F1102" s="1284"/>
      <c r="I1102" s="490"/>
    </row>
    <row r="1103" spans="1:9">
      <c r="A1103" s="402"/>
      <c r="B1103" s="402"/>
      <c r="C1103" s="402"/>
      <c r="I1103" s="490"/>
    </row>
    <row r="1104" spans="1:9">
      <c r="A1104" s="1315" t="s">
        <v>1809</v>
      </c>
      <c r="B1104" s="1315"/>
      <c r="C1104" s="1315"/>
      <c r="D1104" s="1315"/>
      <c r="E1104" s="1315"/>
      <c r="F1104" s="1315"/>
      <c r="G1104" s="1315"/>
      <c r="H1104" s="1023"/>
      <c r="I1104" s="1147"/>
    </row>
    <row r="1105" spans="1:9">
      <c r="A1105" s="402"/>
      <c r="B1105" s="402"/>
      <c r="C1105" s="402"/>
      <c r="I1105" s="490"/>
    </row>
    <row r="1106" spans="1:9">
      <c r="A1106" s="402"/>
      <c r="B1106" s="402"/>
      <c r="C1106" s="402"/>
      <c r="I1106" s="490"/>
    </row>
    <row r="1107" spans="1:9" ht="12.75" customHeight="1">
      <c r="A1107" s="402"/>
      <c r="B1107" s="485" t="s">
        <v>2779</v>
      </c>
      <c r="C1107" s="402"/>
      <c r="D1107" s="1334" t="s">
        <v>1903</v>
      </c>
      <c r="E1107" s="1334"/>
      <c r="F1107" s="1334"/>
      <c r="I1107" s="490"/>
    </row>
    <row r="1108" spans="1:9">
      <c r="A1108" s="402"/>
      <c r="B1108" s="402"/>
      <c r="C1108" s="402"/>
      <c r="D1108" s="1334"/>
      <c r="E1108" s="1334"/>
      <c r="F1108" s="1334"/>
      <c r="I1108" s="490"/>
    </row>
    <row r="1109" spans="1:9">
      <c r="A1109" s="402"/>
      <c r="B1109" s="402"/>
      <c r="C1109" s="402"/>
      <c r="D1109" s="1335" t="s">
        <v>2639</v>
      </c>
      <c r="E1109" s="1268"/>
      <c r="F1109" s="1268"/>
      <c r="I1109" s="490"/>
    </row>
    <row r="1110" spans="1:9">
      <c r="A1110" s="402"/>
      <c r="B1110" s="402"/>
      <c r="C1110" s="402"/>
      <c r="D1110" s="527"/>
      <c r="I1110" s="490"/>
    </row>
    <row r="1111" spans="1:9">
      <c r="A1111" s="402"/>
      <c r="B1111" s="485" t="s">
        <v>2778</v>
      </c>
      <c r="C1111" s="402"/>
      <c r="D1111" s="1333" t="s">
        <v>2587</v>
      </c>
      <c r="E1111" s="1333"/>
      <c r="F1111" s="1333"/>
      <c r="I1111" s="490"/>
    </row>
    <row r="1112" spans="1:9">
      <c r="A1112" s="402"/>
      <c r="B1112" s="402"/>
      <c r="C1112" s="402"/>
      <c r="D1112" s="1333"/>
      <c r="E1112" s="1333"/>
      <c r="F1112" s="1333"/>
      <c r="I1112" s="490"/>
    </row>
    <row r="1113" spans="1:9">
      <c r="A1113" s="402"/>
      <c r="B1113" s="402"/>
      <c r="C1113" s="402"/>
      <c r="D1113" s="1333"/>
      <c r="E1113" s="1333"/>
      <c r="F1113" s="1333"/>
      <c r="I1113" s="490"/>
    </row>
    <row r="1114" spans="1:9">
      <c r="A1114" s="402"/>
      <c r="B1114" s="402"/>
      <c r="C1114" s="402"/>
      <c r="D1114" s="527"/>
      <c r="I1114" s="490"/>
    </row>
    <row r="1115" spans="1:9">
      <c r="A1115" s="402"/>
      <c r="B1115" s="485" t="s">
        <v>2778</v>
      </c>
      <c r="C1115" s="402"/>
      <c r="D1115" s="1333" t="s">
        <v>2606</v>
      </c>
      <c r="E1115" s="1333"/>
      <c r="F1115" s="1333"/>
      <c r="I1115" s="490"/>
    </row>
    <row r="1116" spans="1:9">
      <c r="A1116" s="402"/>
      <c r="B1116" s="402"/>
      <c r="C1116" s="402"/>
      <c r="D1116" s="1333"/>
      <c r="E1116" s="1333"/>
      <c r="F1116" s="1333"/>
      <c r="I1116" s="490"/>
    </row>
    <row r="1117" spans="1:9">
      <c r="A1117" s="402"/>
      <c r="B1117" s="402"/>
      <c r="C1117" s="402"/>
      <c r="D1117" s="1333"/>
      <c r="E1117" s="1333"/>
      <c r="F1117" s="1333"/>
      <c r="I1117" s="490"/>
    </row>
    <row r="1118" spans="1:9">
      <c r="A1118" s="402"/>
      <c r="B1118" s="402"/>
      <c r="C1118" s="402"/>
      <c r="D1118" s="1333"/>
      <c r="E1118" s="1333"/>
      <c r="F1118" s="1333"/>
      <c r="I1118" s="490"/>
    </row>
    <row r="1119" spans="1:9">
      <c r="A1119" s="402"/>
      <c r="B1119" s="402"/>
      <c r="C1119" s="402"/>
      <c r="D1119" s="1333"/>
      <c r="E1119" s="1333"/>
      <c r="F1119" s="1333"/>
      <c r="I1119" s="490"/>
    </row>
    <row r="1120" spans="1:9">
      <c r="A1120" s="402"/>
      <c r="B1120" s="402"/>
      <c r="C1120" s="402"/>
      <c r="D1120" s="527"/>
      <c r="I1120" s="480"/>
    </row>
    <row r="1121" spans="1:9">
      <c r="A1121" s="402"/>
      <c r="B1121" s="485" t="s">
        <v>2779</v>
      </c>
      <c r="C1121" s="402"/>
      <c r="D1121" s="1333" t="s">
        <v>1810</v>
      </c>
      <c r="E1121" s="1333"/>
      <c r="F1121" s="1333"/>
      <c r="I1121" s="490"/>
    </row>
    <row r="1122" spans="1:9">
      <c r="A1122" s="402"/>
      <c r="B1122" s="402"/>
      <c r="C1122" s="402"/>
      <c r="D1122" s="1333"/>
      <c r="E1122" s="1333"/>
      <c r="F1122" s="1333"/>
      <c r="I1122" s="490"/>
    </row>
    <row r="1123" spans="1:9">
      <c r="A1123" s="402"/>
      <c r="B1123" s="402"/>
      <c r="C1123" s="402"/>
      <c r="D1123" s="1333"/>
      <c r="E1123" s="1333"/>
      <c r="F1123" s="1333"/>
      <c r="I1123" s="490"/>
    </row>
    <row r="1124" spans="1:9">
      <c r="A1124" s="402"/>
      <c r="B1124" s="402"/>
      <c r="C1124" s="402"/>
      <c r="D1124" s="527"/>
      <c r="I1124" s="490"/>
    </row>
    <row r="1125" spans="1:9">
      <c r="A1125" s="402"/>
      <c r="B1125" s="485" t="s">
        <v>2779</v>
      </c>
      <c r="C1125" s="402"/>
      <c r="D1125" s="1274" t="s">
        <v>1862</v>
      </c>
      <c r="E1125" s="1274"/>
      <c r="F1125" s="1274"/>
      <c r="I1125" s="490"/>
    </row>
    <row r="1126" spans="1:9">
      <c r="A1126" s="402"/>
      <c r="B1126" s="402"/>
      <c r="C1126" s="402"/>
      <c r="D1126" s="1274"/>
      <c r="E1126" s="1274"/>
      <c r="F1126" s="1274"/>
      <c r="I1126" s="490"/>
    </row>
    <row r="1127" spans="1:9">
      <c r="A1127" s="402"/>
      <c r="B1127" s="402"/>
      <c r="C1127" s="402"/>
      <c r="D1127" s="1274"/>
      <c r="E1127" s="1274"/>
      <c r="F1127" s="1274"/>
      <c r="I1127" s="490"/>
    </row>
    <row r="1128" spans="1:9">
      <c r="A1128" s="402"/>
      <c r="B1128" s="402"/>
      <c r="C1128" s="402"/>
      <c r="D1128" s="975"/>
      <c r="E1128" s="975"/>
      <c r="F1128" s="975"/>
      <c r="I1128" s="490"/>
    </row>
    <row r="1129" spans="1:9" ht="15.75" customHeight="1">
      <c r="A1129" s="402"/>
      <c r="B1129" s="485" t="s">
        <v>2779</v>
      </c>
      <c r="C1129" s="402"/>
      <c r="D1129" s="1268" t="s">
        <v>1863</v>
      </c>
      <c r="E1129" s="1268"/>
      <c r="F1129" s="1268"/>
      <c r="I1129" s="490"/>
    </row>
    <row r="1130" spans="1:9">
      <c r="A1130" s="402"/>
      <c r="B1130" s="402"/>
      <c r="C1130" s="402"/>
      <c r="D1130" s="1268"/>
      <c r="E1130" s="1268"/>
      <c r="F1130" s="1268"/>
      <c r="I1130" s="490"/>
    </row>
    <row r="1131" spans="1:9">
      <c r="A1131" s="402"/>
      <c r="B1131" s="402"/>
      <c r="C1131" s="402"/>
      <c r="D1131" s="1268"/>
      <c r="E1131" s="1268"/>
      <c r="F1131" s="1268"/>
      <c r="I1131" s="490"/>
    </row>
    <row r="1132" spans="1:9">
      <c r="A1132" s="402"/>
      <c r="B1132" s="402"/>
      <c r="C1132" s="402"/>
      <c r="D1132" s="1268"/>
      <c r="E1132" s="1268"/>
      <c r="F1132" s="1268"/>
      <c r="I1132" s="490"/>
    </row>
    <row r="1133" spans="1:9">
      <c r="A1133" s="402"/>
      <c r="B1133" s="402"/>
      <c r="C1133" s="402"/>
      <c r="D1133" s="975"/>
      <c r="E1133" s="975"/>
      <c r="F1133" s="975"/>
      <c r="I1133" s="490"/>
    </row>
    <row r="1134" spans="1:9">
      <c r="A1134" s="402"/>
      <c r="B1134" s="485" t="s">
        <v>2779</v>
      </c>
      <c r="C1134" s="402"/>
      <c r="D1134" s="1274" t="s">
        <v>2616</v>
      </c>
      <c r="E1134" s="1274"/>
      <c r="F1134" s="1274"/>
      <c r="I1134" s="490"/>
    </row>
    <row r="1135" spans="1:9">
      <c r="A1135" s="402"/>
      <c r="B1135" s="402"/>
      <c r="C1135" s="402"/>
      <c r="D1135" s="1274"/>
      <c r="E1135" s="1274"/>
      <c r="F1135" s="1274"/>
      <c r="I1135" s="490"/>
    </row>
    <row r="1136" spans="1:9">
      <c r="A1136" s="402"/>
      <c r="B1136" s="402"/>
      <c r="C1136" s="402"/>
      <c r="D1136" s="1274"/>
      <c r="E1136" s="1274"/>
      <c r="F1136" s="1274"/>
      <c r="I1136" s="490"/>
    </row>
    <row r="1137" spans="1:9">
      <c r="A1137" s="402"/>
      <c r="B1137" s="402"/>
      <c r="C1137" s="402"/>
      <c r="D1137" s="1274"/>
      <c r="E1137" s="1274"/>
      <c r="F1137" s="1274"/>
      <c r="I1137" s="490"/>
    </row>
    <row r="1138" spans="1:9">
      <c r="A1138" s="402"/>
      <c r="B1138" s="402"/>
      <c r="C1138" s="402"/>
      <c r="D1138" s="1274"/>
      <c r="E1138" s="1274"/>
      <c r="F1138" s="1274"/>
      <c r="I1138" s="490"/>
    </row>
    <row r="1139" spans="1:9">
      <c r="A1139" s="402"/>
      <c r="B1139" s="402"/>
      <c r="C1139" s="402"/>
      <c r="D1139" s="1274"/>
      <c r="E1139" s="1274"/>
      <c r="F1139" s="1274"/>
      <c r="I1139" s="490"/>
    </row>
    <row r="1140" spans="1:9">
      <c r="A1140" s="402"/>
      <c r="B1140" s="402"/>
      <c r="C1140" s="402"/>
      <c r="D1140" s="975"/>
      <c r="E1140" s="975"/>
      <c r="F1140" s="975"/>
      <c r="I1140" s="490"/>
    </row>
    <row r="1141" spans="1:9">
      <c r="A1141" s="402"/>
      <c r="B1141" s="485" t="s">
        <v>2779</v>
      </c>
      <c r="C1141" s="402"/>
      <c r="D1141" s="1289" t="s">
        <v>2588</v>
      </c>
      <c r="E1141" s="1289"/>
      <c r="F1141" s="1289"/>
      <c r="I1141" s="1153"/>
    </row>
    <row r="1142" spans="1:9">
      <c r="A1142" s="402"/>
      <c r="B1142" s="402"/>
      <c r="C1142" s="402"/>
      <c r="D1142" s="1289"/>
      <c r="E1142" s="1289"/>
      <c r="F1142" s="1289"/>
      <c r="I1142" s="490"/>
    </row>
    <row r="1143" spans="1:9">
      <c r="A1143" s="402"/>
      <c r="B1143" s="402"/>
      <c r="C1143" s="402"/>
      <c r="D1143" s="1289"/>
      <c r="E1143" s="1289"/>
      <c r="F1143" s="1289"/>
    </row>
    <row r="1144" spans="1:9">
      <c r="A1144" s="402"/>
      <c r="B1144" s="402"/>
      <c r="C1144" s="402"/>
      <c r="D1144" s="1289"/>
      <c r="E1144" s="1289"/>
      <c r="F1144" s="1289"/>
    </row>
    <row r="1145" spans="1:9">
      <c r="A1145" s="402"/>
      <c r="B1145" s="402"/>
      <c r="C1145" s="402"/>
      <c r="D1145" s="1289"/>
      <c r="E1145" s="1289"/>
      <c r="F1145" s="1289"/>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01"/>
      <c r="H1553" s="1301"/>
      <c r="I1553" s="1301"/>
    </row>
  </sheetData>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809" zoomScale="90" zoomScaleNormal="90" workbookViewId="0">
      <selection activeCell="Y838" sqref="Y838:AB838"/>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2429</v>
      </c>
      <c r="BE1" s="3"/>
      <c r="BF1" s="3"/>
    </row>
    <row r="2" spans="1:58" ht="12.95" customHeight="1">
      <c r="BD2" s="3" t="s">
        <v>2430</v>
      </c>
      <c r="BE2" s="3" t="s">
        <v>2431</v>
      </c>
      <c r="BF2" s="3" t="s">
        <v>2432</v>
      </c>
    </row>
    <row r="3" spans="1:58" ht="12.95" customHeight="1">
      <c r="BD3" s="3" t="s">
        <v>2524</v>
      </c>
      <c r="BE3" t="str">
        <f>AC220</f>
        <v>Inland (Fresno, Imperial, Kern, Kings, Madera, Merced, Riverside, San Bernardino, Stanislaus, and Tulare Counties)</v>
      </c>
    </row>
    <row r="4" spans="1:58" ht="12.95" customHeight="1">
      <c r="BD4" s="3" t="s">
        <v>2439</v>
      </c>
      <c r="BE4" s="1180"/>
    </row>
    <row r="5" spans="1:58" ht="12.95" customHeight="1">
      <c r="BD5" s="3" t="s">
        <v>2440</v>
      </c>
      <c r="BE5">
        <f>SUMIF($AC$726:$AC$760,"&lt;=20%",$G$726:G$760)</f>
        <v>0</v>
      </c>
      <c r="BF5" s="3" t="s">
        <v>2445</v>
      </c>
    </row>
    <row r="6" spans="1:58" ht="12.95" customHeight="1">
      <c r="BD6" s="3" t="s">
        <v>2441</v>
      </c>
      <c r="BE6" s="1183">
        <f>SUMIF($AC$726:$AC$760,"&lt;=25%",$G$726:G$760)-SUM($BE$5:BE5)</f>
        <v>0</v>
      </c>
    </row>
    <row r="7" spans="1:58" ht="12.95" customHeight="1">
      <c r="BD7" s="1181" t="s">
        <v>2433</v>
      </c>
      <c r="BE7" s="1183">
        <f>SUMIF($AC$726:$AC$760,"&lt;=30%",$G$726:G$760)-SUM($BE$5:BE6)</f>
        <v>8</v>
      </c>
    </row>
    <row r="8" spans="1:58" ht="26.25" customHeight="1">
      <c r="A8" s="1850" t="s">
        <v>100</v>
      </c>
      <c r="B8" s="1850"/>
      <c r="C8" s="1850"/>
      <c r="D8" s="1850"/>
      <c r="E8" s="1850"/>
      <c r="F8" s="1850"/>
      <c r="G8" s="1850"/>
      <c r="H8" s="1850"/>
      <c r="I8" s="1850"/>
      <c r="J8" s="1850"/>
      <c r="K8" s="1850"/>
      <c r="L8" s="1850"/>
      <c r="M8" s="1850"/>
      <c r="N8" s="1850"/>
      <c r="O8" s="1850"/>
      <c r="P8" s="1850"/>
      <c r="Q8" s="1850"/>
      <c r="R8" s="1850"/>
      <c r="S8" s="1850"/>
      <c r="T8" s="1850"/>
      <c r="U8" s="1850"/>
      <c r="V8" s="1850"/>
      <c r="W8" s="1850"/>
      <c r="X8" s="1850"/>
      <c r="Y8" s="1850"/>
      <c r="Z8" s="1850"/>
      <c r="AA8" s="1850"/>
      <c r="AB8" s="1850"/>
      <c r="AC8" s="1850"/>
      <c r="AD8" s="1850"/>
      <c r="AE8" s="1850"/>
      <c r="AF8" s="1850"/>
      <c r="AG8" s="1850"/>
      <c r="AH8" s="1850"/>
      <c r="AI8" s="1850"/>
      <c r="AJ8" s="1850"/>
      <c r="AK8" s="1850"/>
      <c r="AL8" s="1850"/>
      <c r="AM8" s="1850"/>
      <c r="AN8" s="1850"/>
      <c r="AO8" s="1850"/>
      <c r="AP8" s="1850"/>
      <c r="AQ8" s="1850"/>
      <c r="AR8" s="1850"/>
      <c r="AS8" s="1850"/>
      <c r="AT8" s="1850"/>
      <c r="AU8" s="894"/>
      <c r="AV8" s="894"/>
      <c r="AW8" s="894"/>
      <c r="AX8" s="894"/>
      <c r="AY8" s="894"/>
      <c r="BD8" s="3" t="s">
        <v>2442</v>
      </c>
      <c r="BE8" s="1183">
        <f>SUMIF($AC$726:$AC$760,"&lt;=35%",$G$726:G$760)-SUM($BE$5:BE7)</f>
        <v>0</v>
      </c>
    </row>
    <row r="9" spans="1:58" ht="12.95" customHeight="1">
      <c r="A9" s="1851" t="s">
        <v>2034</v>
      </c>
      <c r="B9" s="1851"/>
      <c r="C9" s="1851"/>
      <c r="D9" s="1851"/>
      <c r="E9" s="1851"/>
      <c r="F9" s="1851"/>
      <c r="G9" s="1851"/>
      <c r="H9" s="1851"/>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c r="AP9" s="1851"/>
      <c r="AQ9" s="1851"/>
      <c r="AR9" s="1851"/>
      <c r="AS9" s="1851"/>
      <c r="AT9" s="1851"/>
      <c r="AU9" s="13"/>
      <c r="AV9" s="13"/>
      <c r="AW9" s="13"/>
      <c r="AX9" s="13"/>
      <c r="AY9" s="13"/>
      <c r="BD9" s="1182" t="s">
        <v>2434</v>
      </c>
      <c r="BE9" s="1183">
        <f>SUMIF($AC$726:$AC$760,"&lt;=40%",$G$726:G$760)-SUM($BE$5:BE8)</f>
        <v>0</v>
      </c>
    </row>
    <row r="10" spans="1:58" ht="12.95" customHeight="1">
      <c r="A10" s="1851" t="s">
        <v>2608</v>
      </c>
      <c r="B10" s="1851"/>
      <c r="C10" s="1851"/>
      <c r="D10" s="1851"/>
      <c r="E10" s="1851"/>
      <c r="F10" s="1851"/>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c r="AP10" s="1851"/>
      <c r="AQ10" s="1851"/>
      <c r="AR10" s="1851"/>
      <c r="AS10" s="1851"/>
      <c r="AT10" s="1851"/>
      <c r="AU10" s="13"/>
      <c r="AV10" s="13"/>
      <c r="AW10" s="13"/>
      <c r="AX10" s="13"/>
      <c r="AY10" s="13"/>
      <c r="BD10" s="3" t="s">
        <v>2443</v>
      </c>
      <c r="BE10" s="1183">
        <f>SUMIF($AC$726:$AC$760,"&lt;=45%",$G$726:G$760)-SUM($BE$5:BE9)</f>
        <v>0</v>
      </c>
    </row>
    <row r="11" spans="1:58" ht="12.95" customHeight="1">
      <c r="A11" s="1851" t="s">
        <v>2532</v>
      </c>
      <c r="B11" s="1851"/>
      <c r="C11" s="1851"/>
      <c r="D11" s="1851"/>
      <c r="E11" s="1851"/>
      <c r="F11" s="1851"/>
      <c r="G11" s="1851"/>
      <c r="H11" s="1851"/>
      <c r="I11" s="1851"/>
      <c r="J11" s="1851"/>
      <c r="K11" s="1851"/>
      <c r="L11" s="1851"/>
      <c r="M11" s="1851"/>
      <c r="N11" s="1851"/>
      <c r="O11" s="1851"/>
      <c r="P11" s="1851"/>
      <c r="Q11" s="1851"/>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c r="AP11" s="1851"/>
      <c r="AQ11" s="1851"/>
      <c r="AR11" s="1851"/>
      <c r="AS11" s="1851"/>
      <c r="AT11" s="1851"/>
      <c r="AU11" s="13"/>
      <c r="AV11" s="13"/>
      <c r="AW11" s="13"/>
      <c r="AX11" s="13"/>
      <c r="AY11" s="13"/>
      <c r="BD11" s="1181" t="s">
        <v>2435</v>
      </c>
      <c r="BE11" s="1183">
        <f>SUMIF($AC$726:$AC$760,"&lt;=50%",$G$726:G$760)-SUM($BE$5:BE10)</f>
        <v>8</v>
      </c>
    </row>
    <row r="12" spans="1:58" ht="12.95" customHeight="1">
      <c r="A12" s="1852" t="s">
        <v>2643</v>
      </c>
      <c r="B12" s="1852"/>
      <c r="C12" s="1852"/>
      <c r="D12" s="1852"/>
      <c r="E12" s="1852"/>
      <c r="F12" s="1852"/>
      <c r="G12" s="1852"/>
      <c r="H12" s="1852"/>
      <c r="I12" s="1852"/>
      <c r="J12" s="1852"/>
      <c r="K12" s="1852"/>
      <c r="L12" s="1852"/>
      <c r="M12" s="1852"/>
      <c r="N12" s="1852"/>
      <c r="O12" s="1852"/>
      <c r="P12" s="1852"/>
      <c r="Q12" s="1852"/>
      <c r="R12" s="1852"/>
      <c r="S12" s="1852"/>
      <c r="T12" s="1852"/>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c r="AP12" s="1852"/>
      <c r="AQ12" s="1852"/>
      <c r="AR12" s="1852"/>
      <c r="AS12" s="1852"/>
      <c r="AT12" s="1852"/>
      <c r="AU12" s="6"/>
      <c r="AV12" s="6"/>
      <c r="AW12" s="6"/>
      <c r="AX12" s="6"/>
      <c r="AY12" s="6"/>
      <c r="BD12" s="3" t="s">
        <v>2444</v>
      </c>
      <c r="BE12" s="1183">
        <f>SUMIF($AC$726:$AC$760,"&lt;=55%",$G$726:G$760)-SUM($BE$5:BE11)</f>
        <v>0</v>
      </c>
    </row>
    <row r="13" spans="1:58" ht="12.95" customHeight="1">
      <c r="A13" s="1278" t="s">
        <v>2035</v>
      </c>
      <c r="B13" s="1278"/>
      <c r="C13" s="1278"/>
      <c r="D13" s="1278"/>
      <c r="E13" s="1278"/>
      <c r="F13" s="1278"/>
      <c r="G13" s="1278"/>
      <c r="H13" s="1278"/>
      <c r="I13" s="1278"/>
      <c r="J13" s="1278"/>
      <c r="K13" s="1278"/>
      <c r="L13" s="1278"/>
      <c r="M13" s="1278"/>
      <c r="N13" s="1278"/>
      <c r="O13" s="1278"/>
      <c r="P13" s="1278"/>
      <c r="Q13" s="1278"/>
      <c r="R13" s="1278"/>
      <c r="S13" s="1278"/>
      <c r="T13" s="1278"/>
      <c r="U13" s="1278"/>
      <c r="V13" s="1278"/>
      <c r="W13" s="1278"/>
      <c r="X13" s="1278"/>
      <c r="Y13" s="1278"/>
      <c r="Z13" s="1278"/>
      <c r="AA13" s="1278"/>
      <c r="AB13" s="1278"/>
      <c r="AC13" s="1278"/>
      <c r="AD13" s="1278"/>
      <c r="AE13" s="1278"/>
      <c r="AF13" s="1278"/>
      <c r="AG13" s="1278"/>
      <c r="AH13" s="1278"/>
      <c r="AI13" s="1278"/>
      <c r="AJ13" s="1278"/>
      <c r="AK13" s="1278"/>
      <c r="AL13" s="1278"/>
      <c r="AM13" s="1278"/>
      <c r="AN13" s="1278"/>
      <c r="AO13" s="1278"/>
      <c r="AP13" s="1278"/>
      <c r="AQ13" s="1278"/>
      <c r="AR13" s="1278"/>
      <c r="AS13" s="1278"/>
      <c r="AT13" s="1278"/>
      <c r="AU13" s="895"/>
      <c r="AV13" s="895"/>
      <c r="AW13" s="895"/>
      <c r="AX13" s="895"/>
      <c r="AY13" s="895"/>
      <c r="BD13" s="1182" t="s">
        <v>2436</v>
      </c>
      <c r="BE13" s="1183">
        <f>SUMIF($AC$726:$AC$760,"&lt;=60%",$G$726:G$760)-SUM($BE$5:BE12)</f>
        <v>61</v>
      </c>
    </row>
    <row r="14" spans="1:58" ht="12.95" customHeight="1">
      <c r="A14" s="1278"/>
      <c r="B14" s="1278"/>
      <c r="C14" s="1278"/>
      <c r="D14" s="1278"/>
      <c r="E14" s="1278"/>
      <c r="F14" s="1278"/>
      <c r="G14" s="1278"/>
      <c r="H14" s="1278"/>
      <c r="I14" s="1278"/>
      <c r="J14" s="1278"/>
      <c r="K14" s="1278"/>
      <c r="L14" s="1278"/>
      <c r="M14" s="1278"/>
      <c r="N14" s="1278"/>
      <c r="O14" s="1278"/>
      <c r="P14" s="1278"/>
      <c r="Q14" s="1278"/>
      <c r="R14" s="1278"/>
      <c r="S14" s="1278"/>
      <c r="T14" s="1278"/>
      <c r="U14" s="1278"/>
      <c r="V14" s="1278"/>
      <c r="W14" s="1278"/>
      <c r="X14" s="1278"/>
      <c r="Y14" s="1278"/>
      <c r="Z14" s="1278"/>
      <c r="AA14" s="1278"/>
      <c r="AB14" s="1278"/>
      <c r="AC14" s="1278"/>
      <c r="AD14" s="1278"/>
      <c r="AE14" s="1278"/>
      <c r="AF14" s="1278"/>
      <c r="AG14" s="1278"/>
      <c r="AH14" s="1278"/>
      <c r="AI14" s="1278"/>
      <c r="AJ14" s="1278"/>
      <c r="AK14" s="1278"/>
      <c r="AL14" s="1278"/>
      <c r="AM14" s="1278"/>
      <c r="AN14" s="1278"/>
      <c r="AO14" s="1278"/>
      <c r="AP14" s="1278"/>
      <c r="AQ14" s="1278"/>
      <c r="AR14" s="1278"/>
      <c r="AS14" s="1278"/>
      <c r="AT14" s="1278"/>
      <c r="AU14" s="895"/>
      <c r="AV14" s="895"/>
      <c r="AW14" s="895"/>
      <c r="AX14" s="895"/>
      <c r="AY14" s="895"/>
      <c r="BD14" s="1181" t="s">
        <v>2437</v>
      </c>
      <c r="BE14" s="1183">
        <f>SUMIF($AC$726:$AC$760,"&lt;=70%",$G$726:G$760)-SUM($BE$5:BE13)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2438</v>
      </c>
      <c r="BE15" s="1183">
        <f>SUMIF($AC$726:$AC$760,"&lt;=80%",$G$726:G$760)-SUM($BE$5:BE14)</f>
        <v>0</v>
      </c>
    </row>
    <row r="16" spans="1:58" ht="12.95" customHeight="1">
      <c r="A16" s="57" t="s">
        <v>2036</v>
      </c>
      <c r="C16" s="4"/>
      <c r="D16" s="4"/>
      <c r="E16" s="4"/>
      <c r="F16" s="4"/>
      <c r="G16" s="4"/>
      <c r="H16" s="1552" t="s">
        <v>2644</v>
      </c>
      <c r="I16" s="1553"/>
      <c r="J16" s="1553"/>
      <c r="K16" s="1553"/>
      <c r="L16" s="1553"/>
      <c r="M16" s="1553"/>
      <c r="N16" s="1553"/>
      <c r="O16" s="1553"/>
      <c r="P16" s="1553"/>
      <c r="Q16" s="1553"/>
      <c r="R16" s="1553"/>
      <c r="S16" s="1553"/>
      <c r="T16" s="1553"/>
      <c r="U16" s="1553"/>
      <c r="V16" s="1553"/>
      <c r="W16" s="1553"/>
      <c r="X16" s="1553"/>
      <c r="Y16" s="1553"/>
      <c r="Z16" s="1553"/>
      <c r="AA16" s="1553"/>
      <c r="AB16" s="1553"/>
      <c r="AC16" s="1553"/>
      <c r="AD16" s="1553"/>
      <c r="AE16" s="1553"/>
      <c r="AF16" s="1553"/>
      <c r="AG16" s="1553"/>
      <c r="AH16" s="1553"/>
      <c r="AI16" s="1553"/>
      <c r="AJ16" s="1553"/>
      <c r="BD16" s="1182" t="s">
        <v>656</v>
      </c>
      <c r="BE16" s="1183" t="str">
        <f>Application!H18</f>
        <v xml:space="preserve">Mammoth Lakes Family Apartments </v>
      </c>
    </row>
    <row r="17" spans="1:58" ht="12.95" customHeight="1">
      <c r="BD17" s="1181" t="s">
        <v>2450</v>
      </c>
      <c r="BE17" s="1183">
        <f>Application!AA943</f>
        <v>0</v>
      </c>
    </row>
    <row r="18" spans="1:58" ht="12.95" customHeight="1">
      <c r="A18" s="57" t="s">
        <v>101</v>
      </c>
      <c r="C18" s="4"/>
      <c r="D18" s="4"/>
      <c r="E18" s="4"/>
      <c r="F18" s="4"/>
      <c r="G18" s="4"/>
      <c r="H18" s="1344" t="s">
        <v>2651</v>
      </c>
      <c r="I18" s="1545"/>
      <c r="J18" s="1545"/>
      <c r="K18" s="1545"/>
      <c r="L18" s="1545"/>
      <c r="M18" s="1545"/>
      <c r="N18" s="1545"/>
      <c r="O18" s="1545"/>
      <c r="P18" s="1545"/>
      <c r="Q18" s="1545"/>
      <c r="R18" s="1545"/>
      <c r="S18" s="1545"/>
      <c r="T18" s="1545"/>
      <c r="U18" s="1545"/>
      <c r="V18" s="1545"/>
      <c r="W18" s="1545"/>
      <c r="X18" s="1545"/>
      <c r="Y18" s="1545"/>
      <c r="Z18" s="1545"/>
      <c r="AA18" s="1545"/>
      <c r="AB18" s="1545"/>
      <c r="AC18" s="1545"/>
      <c r="AD18" s="1545"/>
      <c r="AE18" s="1545"/>
      <c r="AF18" s="1545"/>
      <c r="AG18" s="1545"/>
      <c r="AH18" s="1545"/>
      <c r="AI18" s="1545"/>
      <c r="AJ18" s="1545"/>
      <c r="BD18" s="1182" t="s">
        <v>2451</v>
      </c>
      <c r="BE18" s="1183">
        <f>AA943</f>
        <v>0</v>
      </c>
    </row>
    <row r="19" spans="1:58" ht="12.95" customHeight="1">
      <c r="BD19" s="1181" t="s">
        <v>2452</v>
      </c>
      <c r="BE19" s="1183">
        <f>Application!M26</f>
        <v>1424510</v>
      </c>
    </row>
    <row r="20" spans="1:58" ht="12.95" customHeight="1">
      <c r="A20" s="1853" t="s">
        <v>873</v>
      </c>
      <c r="B20" s="1853"/>
      <c r="C20" s="1853"/>
      <c r="D20" s="1853"/>
      <c r="E20" s="1853"/>
      <c r="F20" s="1853"/>
      <c r="G20" s="1853"/>
      <c r="H20" s="1853"/>
      <c r="I20" s="1853"/>
      <c r="J20" s="1853"/>
      <c r="K20" s="1853"/>
      <c r="L20" s="1853"/>
      <c r="M20" s="1853"/>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c r="AL20" s="1853"/>
      <c r="AM20" s="1853"/>
      <c r="AN20" s="1853"/>
      <c r="AO20" s="1853"/>
      <c r="AP20" s="1853"/>
      <c r="AQ20" s="1853"/>
      <c r="AR20" s="1853"/>
      <c r="AS20" s="1853"/>
      <c r="AT20" s="1853"/>
      <c r="AU20" s="896"/>
      <c r="AV20" s="896"/>
      <c r="AW20" s="896"/>
      <c r="AX20" s="896"/>
      <c r="AY20" s="896"/>
      <c r="BD20" s="1182" t="s">
        <v>2453</v>
      </c>
      <c r="BE20" s="1183">
        <f>Application!M27</f>
        <v>0</v>
      </c>
    </row>
    <row r="21" spans="1:58" ht="12.95" customHeight="1">
      <c r="A21" s="1856" t="s">
        <v>1009</v>
      </c>
      <c r="B21" s="1856"/>
      <c r="C21" s="1856"/>
      <c r="D21" s="1856"/>
      <c r="E21" s="1856"/>
      <c r="F21" s="1856"/>
      <c r="G21" s="1856"/>
      <c r="H21" s="1856"/>
      <c r="I21" s="1856"/>
      <c r="J21" s="1856"/>
      <c r="K21" s="1856"/>
      <c r="L21" s="1856"/>
      <c r="M21" s="1856"/>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c r="AL21" s="1856"/>
      <c r="AM21" s="897"/>
      <c r="AN21" s="897"/>
      <c r="AO21" s="897"/>
      <c r="AP21" s="897"/>
      <c r="AQ21" s="897"/>
      <c r="AR21" s="897"/>
      <c r="AS21" s="897"/>
      <c r="AT21" s="897"/>
      <c r="AU21" s="897"/>
      <c r="AV21" s="897"/>
      <c r="AW21" s="897"/>
      <c r="AX21" s="897"/>
      <c r="AY21" s="897"/>
      <c r="BD21" s="1181" t="s">
        <v>2454</v>
      </c>
      <c r="BE21" s="1183">
        <f>Application!AM562</f>
        <v>8700726</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33346227</v>
      </c>
      <c r="BF22" s="3" t="s">
        <v>2525</v>
      </c>
    </row>
    <row r="23" spans="1:58" ht="12.95" customHeight="1">
      <c r="A23" s="1334" t="s">
        <v>2102</v>
      </c>
      <c r="B23" s="1334"/>
      <c r="C23" s="1334"/>
      <c r="D23" s="1334"/>
      <c r="E23" s="1334"/>
      <c r="F23" s="1334"/>
      <c r="G23" s="1334"/>
      <c r="H23" s="1334"/>
      <c r="I23" s="1334"/>
      <c r="J23" s="1334"/>
      <c r="K23" s="1334"/>
      <c r="L23" s="1334"/>
      <c r="M23" s="1334"/>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c r="AL23" s="1334"/>
      <c r="AM23" s="1334"/>
      <c r="AN23" s="1334"/>
      <c r="AO23" s="1334"/>
      <c r="AP23" s="1334"/>
      <c r="AQ23" s="1334"/>
      <c r="AR23" s="1334"/>
      <c r="AS23" s="1334"/>
      <c r="AT23" s="1334"/>
      <c r="AU23" s="18"/>
      <c r="AV23" s="18"/>
      <c r="AW23" s="18"/>
      <c r="AX23" s="18"/>
      <c r="AY23" s="18"/>
      <c r="AZ23" s="18"/>
      <c r="BD23" s="1181" t="s">
        <v>2455</v>
      </c>
      <c r="BE23" s="1183">
        <f>'Sources and Uses Budget'!B4</f>
        <v>593000</v>
      </c>
    </row>
    <row r="24" spans="1:58" ht="12.95" customHeight="1">
      <c r="A24" s="1334"/>
      <c r="B24" s="1334"/>
      <c r="C24" s="1334"/>
      <c r="D24" s="1334"/>
      <c r="E24" s="1334"/>
      <c r="F24" s="1334"/>
      <c r="G24" s="1334"/>
      <c r="H24" s="1334"/>
      <c r="I24" s="1334"/>
      <c r="J24" s="1334"/>
      <c r="K24" s="1334"/>
      <c r="L24" s="1334"/>
      <c r="M24" s="1334"/>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c r="AL24" s="1334"/>
      <c r="AM24" s="1334"/>
      <c r="AN24" s="1334"/>
      <c r="AO24" s="1334"/>
      <c r="AP24" s="1334"/>
      <c r="AQ24" s="1334"/>
      <c r="AR24" s="1334"/>
      <c r="AS24" s="1334"/>
      <c r="AT24" s="1334"/>
      <c r="AU24" s="18"/>
      <c r="AV24" s="18"/>
      <c r="AW24" s="18"/>
      <c r="AX24" s="18"/>
      <c r="AY24" s="18"/>
      <c r="AZ24" s="18"/>
      <c r="BD24" s="1182" t="s">
        <v>2456</v>
      </c>
      <c r="BE24" s="1183">
        <f>Application!AG459</f>
        <v>87378</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2457</v>
      </c>
      <c r="BE25" s="1183" t="str">
        <f>Application!D208</f>
        <v>40%/60%</v>
      </c>
    </row>
    <row r="26" spans="1:58" ht="12.95" customHeight="1">
      <c r="A26" s="4"/>
      <c r="C26" s="4"/>
      <c r="D26" s="4"/>
      <c r="E26" s="4"/>
      <c r="F26" s="4"/>
      <c r="G26" s="4"/>
      <c r="H26" s="4"/>
      <c r="I26" s="4"/>
      <c r="J26" s="4"/>
      <c r="K26" s="4"/>
      <c r="L26" s="4"/>
      <c r="M26" s="1848">
        <f>'Basis &amp; Credits'!AB56</f>
        <v>1424510</v>
      </c>
      <c r="N26" s="1848"/>
      <c r="O26" s="1848"/>
      <c r="P26" s="1848"/>
      <c r="Q26" s="1848"/>
      <c r="R26" s="4" t="s">
        <v>759</v>
      </c>
      <c r="S26" s="4"/>
      <c r="T26" s="4"/>
      <c r="U26" s="4"/>
      <c r="V26" s="4"/>
      <c r="W26" s="4"/>
      <c r="X26" s="4"/>
      <c r="Y26" s="4"/>
      <c r="Z26" s="4"/>
      <c r="AF26" s="4"/>
      <c r="AG26" s="4"/>
      <c r="AH26" s="4"/>
      <c r="AI26" s="4"/>
      <c r="AJ26" s="4"/>
      <c r="AK26" s="4"/>
      <c r="BD26" s="1182" t="s">
        <v>1628</v>
      </c>
      <c r="BE26" s="1183" t="b">
        <f>Application!M365="Yes"</f>
        <v>0</v>
      </c>
    </row>
    <row r="27" spans="1:58" ht="12.95" customHeight="1">
      <c r="A27" s="4"/>
      <c r="C27" s="4"/>
      <c r="D27" s="4"/>
      <c r="E27" s="4"/>
      <c r="F27" s="4"/>
      <c r="G27" s="4"/>
      <c r="H27" s="4"/>
      <c r="I27" s="4"/>
      <c r="J27" s="4"/>
      <c r="K27" s="4"/>
      <c r="L27" s="4"/>
      <c r="M27" s="1384">
        <f>'Basis &amp; Credits'!AB78</f>
        <v>0</v>
      </c>
      <c r="N27" s="1384"/>
      <c r="O27" s="1384"/>
      <c r="P27" s="1384"/>
      <c r="Q27" s="1384"/>
      <c r="R27" s="3" t="s">
        <v>1267</v>
      </c>
      <c r="S27" s="4"/>
      <c r="T27" s="4"/>
      <c r="U27" s="4"/>
      <c r="V27" s="4"/>
      <c r="W27" s="4"/>
      <c r="X27" s="4"/>
      <c r="Y27" s="4"/>
      <c r="Z27" s="4"/>
      <c r="AF27" s="4"/>
      <c r="AG27" s="4"/>
      <c r="AH27" s="4"/>
      <c r="AI27" s="4"/>
      <c r="AJ27" s="4"/>
      <c r="AK27" s="4"/>
      <c r="BD27" s="1181" t="s">
        <v>2055</v>
      </c>
      <c r="BE27" s="1183" t="b">
        <f>Application!M364="Yes"</f>
        <v>0</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2458</v>
      </c>
      <c r="BE28" s="1183" t="b">
        <f>Application!M366="Yes"</f>
        <v>0</v>
      </c>
    </row>
    <row r="29" spans="1:58" ht="12.95" customHeight="1">
      <c r="A29" s="1549" t="s">
        <v>2103</v>
      </c>
      <c r="B29" s="1549"/>
      <c r="C29" s="1549"/>
      <c r="D29" s="1549"/>
      <c r="E29" s="1549"/>
      <c r="F29" s="1549"/>
      <c r="G29" s="1549"/>
      <c r="H29" s="1549"/>
      <c r="I29" s="1549"/>
      <c r="J29" s="1549"/>
      <c r="K29" s="1549"/>
      <c r="L29" s="1549"/>
      <c r="M29" s="1549"/>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c r="AL29" s="1549"/>
      <c r="AM29" s="1549"/>
      <c r="AN29" s="1549"/>
      <c r="AO29" s="1549"/>
      <c r="AP29" s="1549"/>
      <c r="AQ29" s="1549"/>
      <c r="AR29" s="1549"/>
      <c r="AS29" s="1549"/>
      <c r="AT29" s="1549"/>
      <c r="BD29" s="1181" t="s">
        <v>2459</v>
      </c>
      <c r="BE29" s="1183" t="b">
        <f>Application!M367="Yes"</f>
        <v>1</v>
      </c>
    </row>
    <row r="30" spans="1:58" ht="12.95" customHeight="1">
      <c r="A30" s="1549"/>
      <c r="B30" s="1549"/>
      <c r="C30" s="1549"/>
      <c r="D30" s="1549"/>
      <c r="E30" s="1549"/>
      <c r="F30" s="1549"/>
      <c r="G30" s="1549"/>
      <c r="H30" s="1549"/>
      <c r="I30" s="1549"/>
      <c r="J30" s="1549"/>
      <c r="K30" s="1549"/>
      <c r="L30" s="1549"/>
      <c r="M30" s="1549"/>
      <c r="N30" s="1549"/>
      <c r="O30" s="1549"/>
      <c r="P30" s="1549"/>
      <c r="Q30" s="1549"/>
      <c r="R30" s="1549"/>
      <c r="S30" s="1549"/>
      <c r="T30" s="1549"/>
      <c r="U30" s="1549"/>
      <c r="V30" s="1549"/>
      <c r="W30" s="1549"/>
      <c r="X30" s="1549"/>
      <c r="Y30" s="1549"/>
      <c r="Z30" s="1549"/>
      <c r="AA30" s="1549"/>
      <c r="AB30" s="1549"/>
      <c r="AC30" s="1549"/>
      <c r="AD30" s="1549"/>
      <c r="AE30" s="1549"/>
      <c r="AF30" s="1549"/>
      <c r="AG30" s="1549"/>
      <c r="AH30" s="1549"/>
      <c r="AI30" s="1549"/>
      <c r="AJ30" s="1549"/>
      <c r="AK30" s="1549"/>
      <c r="AL30" s="1549"/>
      <c r="AM30" s="1549"/>
      <c r="AN30" s="1549"/>
      <c r="AO30" s="1549"/>
      <c r="AP30" s="1549"/>
      <c r="AQ30" s="1549"/>
      <c r="AR30" s="1549"/>
      <c r="AS30" s="1549"/>
      <c r="AT30" s="1549"/>
      <c r="AZ30" s="20"/>
      <c r="BD30" s="1182" t="s">
        <v>28</v>
      </c>
      <c r="BE30" s="1183" t="b">
        <f>Application!AJ364="Yes"</f>
        <v>0</v>
      </c>
    </row>
    <row r="31" spans="1:58" ht="12.95" customHeight="1">
      <c r="A31" s="1549"/>
      <c r="B31" s="1549"/>
      <c r="C31" s="1549"/>
      <c r="D31" s="1549"/>
      <c r="E31" s="1549"/>
      <c r="F31" s="1549"/>
      <c r="G31" s="1549"/>
      <c r="H31" s="1549"/>
      <c r="I31" s="1549"/>
      <c r="J31" s="1549"/>
      <c r="K31" s="1549"/>
      <c r="L31" s="1549"/>
      <c r="M31" s="1549"/>
      <c r="N31" s="1549"/>
      <c r="O31" s="1549"/>
      <c r="P31" s="1549"/>
      <c r="Q31" s="1549"/>
      <c r="R31" s="1549"/>
      <c r="S31" s="1549"/>
      <c r="T31" s="1549"/>
      <c r="U31" s="1549"/>
      <c r="V31" s="1549"/>
      <c r="W31" s="1549"/>
      <c r="X31" s="1549"/>
      <c r="Y31" s="1549"/>
      <c r="Z31" s="1549"/>
      <c r="AA31" s="1549"/>
      <c r="AB31" s="1549"/>
      <c r="AC31" s="1549"/>
      <c r="AD31" s="1549"/>
      <c r="AE31" s="1549"/>
      <c r="AF31" s="1549"/>
      <c r="AG31" s="1549"/>
      <c r="AH31" s="1549"/>
      <c r="AI31" s="1549"/>
      <c r="AJ31" s="1549"/>
      <c r="AK31" s="1549"/>
      <c r="AL31" s="1549"/>
      <c r="AM31" s="1549"/>
      <c r="AN31" s="1549"/>
      <c r="AO31" s="1549"/>
      <c r="AP31" s="1549"/>
      <c r="AQ31" s="1549"/>
      <c r="AR31" s="1549"/>
      <c r="AS31" s="1549"/>
      <c r="AT31" s="1549"/>
      <c r="AU31" s="20"/>
      <c r="AV31" s="20"/>
      <c r="AW31" s="20"/>
      <c r="AX31" s="20"/>
      <c r="AY31" s="20"/>
      <c r="AZ31" s="20"/>
      <c r="BD31" s="1181" t="s">
        <v>2460</v>
      </c>
      <c r="BE31" s="1183"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2461</v>
      </c>
      <c r="BE32" s="1183">
        <f>IF(ISNUMBER(Application!W473),W473,0)</f>
        <v>0</v>
      </c>
    </row>
    <row r="33" spans="1:57" ht="12.95" hidden="1" customHeight="1">
      <c r="A33" s="519" t="s">
        <v>1278</v>
      </c>
      <c r="C33" s="519"/>
      <c r="D33" s="519"/>
      <c r="E33" s="519"/>
      <c r="F33" s="519"/>
      <c r="G33" s="519"/>
      <c r="H33" s="519"/>
      <c r="I33" s="519"/>
      <c r="J33" s="519"/>
      <c r="K33" s="519"/>
      <c r="L33" s="519"/>
      <c r="M33" s="519"/>
      <c r="N33" s="519"/>
      <c r="O33" s="1440" t="s">
        <v>669</v>
      </c>
      <c r="P33" s="1440"/>
      <c r="Q33" s="1854" t="s">
        <v>2104</v>
      </c>
      <c r="R33" s="1854"/>
      <c r="S33" s="1854"/>
      <c r="T33" s="1854"/>
      <c r="U33" s="1854"/>
      <c r="V33" s="1854"/>
      <c r="W33" s="1854"/>
      <c r="X33" s="1854"/>
      <c r="Y33" s="1854"/>
      <c r="Z33" s="1854"/>
      <c r="AA33" s="1854"/>
      <c r="AB33" s="1854"/>
      <c r="AC33" s="1854"/>
      <c r="AD33" s="1854"/>
      <c r="AE33" s="1854"/>
      <c r="AF33" s="1854"/>
      <c r="AG33" s="1854"/>
      <c r="AH33" s="1854"/>
      <c r="AI33" s="1854"/>
      <c r="AJ33" s="1854"/>
      <c r="AK33" s="1854"/>
      <c r="AL33" s="1854"/>
      <c r="AM33" s="1854"/>
      <c r="AN33" s="1854"/>
      <c r="AO33" s="1854"/>
      <c r="AP33" s="1854"/>
      <c r="AQ33" s="1854"/>
      <c r="AR33" s="1854"/>
      <c r="AS33" s="1854"/>
      <c r="AT33" s="1854"/>
      <c r="AU33" s="20"/>
      <c r="AV33" s="20"/>
      <c r="AW33" s="20"/>
      <c r="AX33" s="20"/>
      <c r="AY33" s="20"/>
      <c r="BD33" s="1181" t="s">
        <v>2526</v>
      </c>
      <c r="BE33" s="1183" t="str">
        <f>Application!D220</f>
        <v>Central Valley Region: Fresno, Kern, Kings, Madera, Merced, San Joaquin, Stanislaus, and Tulare Counties</v>
      </c>
    </row>
    <row r="34" spans="1:57" ht="12.95" hidden="1" customHeight="1">
      <c r="A34" s="1549" t="s">
        <v>2105</v>
      </c>
      <c r="B34" s="1549"/>
      <c r="C34" s="1549"/>
      <c r="D34" s="1549"/>
      <c r="E34" s="1549"/>
      <c r="F34" s="1549"/>
      <c r="G34" s="1549"/>
      <c r="H34" s="1549"/>
      <c r="I34" s="1549"/>
      <c r="J34" s="1549"/>
      <c r="K34" s="1549"/>
      <c r="L34" s="1549"/>
      <c r="M34" s="1549"/>
      <c r="N34" s="1549"/>
      <c r="O34" s="1549"/>
      <c r="P34" s="1549"/>
      <c r="Q34" s="1549"/>
      <c r="R34" s="1549"/>
      <c r="S34" s="1549"/>
      <c r="T34" s="1549"/>
      <c r="U34" s="1549"/>
      <c r="V34" s="1549"/>
      <c r="W34" s="1549"/>
      <c r="X34" s="1549"/>
      <c r="Y34" s="1549"/>
      <c r="Z34" s="1549"/>
      <c r="AA34" s="1549"/>
      <c r="AB34" s="1549"/>
      <c r="AC34" s="1549"/>
      <c r="AD34" s="1549"/>
      <c r="AE34" s="1549"/>
      <c r="AF34" s="1549"/>
      <c r="AG34" s="1549"/>
      <c r="AH34" s="1549"/>
      <c r="AI34" s="1549"/>
      <c r="AJ34" s="1549"/>
      <c r="AK34" s="1549"/>
      <c r="AL34" s="1549"/>
      <c r="AM34" s="1549"/>
      <c r="AN34" s="1549"/>
      <c r="AO34" s="1549"/>
      <c r="AP34" s="1549"/>
      <c r="AQ34" s="1549"/>
      <c r="AR34" s="1549"/>
      <c r="AS34" s="1549"/>
      <c r="AT34" s="1549"/>
      <c r="AU34" s="20"/>
      <c r="AV34" s="20"/>
      <c r="AW34" s="20"/>
      <c r="AX34" s="20"/>
      <c r="AY34" s="20"/>
      <c r="AZ34" s="20"/>
      <c r="BD34" s="1182" t="s">
        <v>2462</v>
      </c>
      <c r="BE34" s="1183" t="str">
        <f>Application!I185</f>
        <v>1700 Old Mammoth Road; 44 Manzanita Road; 312 Lupin Street; 129 Dorrance Drive</v>
      </c>
    </row>
    <row r="35" spans="1:57" ht="12.95" hidden="1" customHeight="1">
      <c r="A35" s="1549"/>
      <c r="B35" s="1549"/>
      <c r="C35" s="1549"/>
      <c r="D35" s="1549"/>
      <c r="E35" s="1549"/>
      <c r="F35" s="1549"/>
      <c r="G35" s="1549"/>
      <c r="H35" s="1549"/>
      <c r="I35" s="1549"/>
      <c r="J35" s="1549"/>
      <c r="K35" s="1549"/>
      <c r="L35" s="1549"/>
      <c r="M35" s="1549"/>
      <c r="N35" s="1549"/>
      <c r="O35" s="1549"/>
      <c r="P35" s="1549"/>
      <c r="Q35" s="1549"/>
      <c r="R35" s="1549"/>
      <c r="S35" s="1549"/>
      <c r="T35" s="1549"/>
      <c r="U35" s="1549"/>
      <c r="V35" s="1549"/>
      <c r="W35" s="1549"/>
      <c r="X35" s="1549"/>
      <c r="Y35" s="1549"/>
      <c r="Z35" s="1549"/>
      <c r="AA35" s="1549"/>
      <c r="AB35" s="1549"/>
      <c r="AC35" s="1549"/>
      <c r="AD35" s="1549"/>
      <c r="AE35" s="1549"/>
      <c r="AF35" s="1549"/>
      <c r="AG35" s="1549"/>
      <c r="AH35" s="1549"/>
      <c r="AI35" s="1549"/>
      <c r="AJ35" s="1549"/>
      <c r="AK35" s="1549"/>
      <c r="AL35" s="1549"/>
      <c r="AM35" s="1549"/>
      <c r="AN35" s="1549"/>
      <c r="AO35" s="1549"/>
      <c r="AP35" s="1549"/>
      <c r="AQ35" s="1549"/>
      <c r="AR35" s="1549"/>
      <c r="AS35" s="1549"/>
      <c r="AT35" s="1549"/>
      <c r="AU35" s="20"/>
      <c r="AV35" s="20"/>
      <c r="AW35" s="20"/>
      <c r="AX35" s="20"/>
      <c r="AY35" s="20"/>
      <c r="AZ35" s="20"/>
      <c r="BD35" s="1181" t="s">
        <v>2463</v>
      </c>
      <c r="BE35" s="1183" t="str">
        <f>IF(Application!E187="","",Application!E187)</f>
        <v/>
      </c>
    </row>
    <row r="36" spans="1:57" ht="12.95" hidden="1" customHeight="1">
      <c r="A36" s="1549"/>
      <c r="B36" s="1549"/>
      <c r="C36" s="1549"/>
      <c r="D36" s="1549"/>
      <c r="E36" s="1549"/>
      <c r="F36" s="1549"/>
      <c r="G36" s="1549"/>
      <c r="H36" s="1549"/>
      <c r="I36" s="1549"/>
      <c r="J36" s="1549"/>
      <c r="K36" s="1549"/>
      <c r="L36" s="1549"/>
      <c r="M36" s="1549"/>
      <c r="N36" s="1549"/>
      <c r="O36" s="1549"/>
      <c r="P36" s="1549"/>
      <c r="Q36" s="1549"/>
      <c r="R36" s="1549"/>
      <c r="S36" s="1549"/>
      <c r="T36" s="1549"/>
      <c r="U36" s="1549"/>
      <c r="V36" s="1549"/>
      <c r="W36" s="1549"/>
      <c r="X36" s="1549"/>
      <c r="Y36" s="1549"/>
      <c r="Z36" s="1549"/>
      <c r="AA36" s="1549"/>
      <c r="AB36" s="1549"/>
      <c r="AC36" s="1549"/>
      <c r="AD36" s="1549"/>
      <c r="AE36" s="1549"/>
      <c r="AF36" s="1549"/>
      <c r="AG36" s="1549"/>
      <c r="AH36" s="1549"/>
      <c r="AI36" s="1549"/>
      <c r="AJ36" s="1549"/>
      <c r="AK36" s="1549"/>
      <c r="AL36" s="1549"/>
      <c r="AM36" s="1549"/>
      <c r="AN36" s="1549"/>
      <c r="AO36" s="1549"/>
      <c r="AP36" s="1549"/>
      <c r="AQ36" s="1549"/>
      <c r="AR36" s="1549"/>
      <c r="AS36" s="1549"/>
      <c r="AT36" s="1549"/>
      <c r="AU36" s="20"/>
      <c r="AV36" s="20"/>
      <c r="AW36" s="20"/>
      <c r="AX36" s="20"/>
      <c r="AY36" s="20"/>
      <c r="AZ36" s="20"/>
      <c r="BD36" s="1182" t="s">
        <v>2464</v>
      </c>
      <c r="BE36" s="1183" t="str">
        <f>Application!I189</f>
        <v>Mammoth Lakes</v>
      </c>
    </row>
    <row r="37" spans="1:57" ht="12.95" hidden="1" customHeight="1">
      <c r="A37" s="1549"/>
      <c r="B37" s="1549"/>
      <c r="C37" s="1549"/>
      <c r="D37" s="1549"/>
      <c r="E37" s="1549"/>
      <c r="F37" s="1549"/>
      <c r="G37" s="1549"/>
      <c r="H37" s="1549"/>
      <c r="I37" s="1549"/>
      <c r="J37" s="1549"/>
      <c r="K37" s="1549"/>
      <c r="L37" s="1549"/>
      <c r="M37" s="1549"/>
      <c r="N37" s="1549"/>
      <c r="O37" s="1549"/>
      <c r="P37" s="1549"/>
      <c r="Q37" s="1549"/>
      <c r="R37" s="1549"/>
      <c r="S37" s="1549"/>
      <c r="T37" s="1549"/>
      <c r="U37" s="1549"/>
      <c r="V37" s="1549"/>
      <c r="W37" s="1549"/>
      <c r="X37" s="1549"/>
      <c r="Y37" s="1549"/>
      <c r="Z37" s="1549"/>
      <c r="AA37" s="1549"/>
      <c r="AB37" s="1549"/>
      <c r="AC37" s="1549"/>
      <c r="AD37" s="1549"/>
      <c r="AE37" s="1549"/>
      <c r="AF37" s="1549"/>
      <c r="AG37" s="1549"/>
      <c r="AH37" s="1549"/>
      <c r="AI37" s="1549"/>
      <c r="AJ37" s="1549"/>
      <c r="AK37" s="1549"/>
      <c r="AL37" s="1549"/>
      <c r="AM37" s="1549"/>
      <c r="AN37" s="1549"/>
      <c r="AO37" s="1549"/>
      <c r="AP37" s="1549"/>
      <c r="AQ37" s="1549"/>
      <c r="AR37" s="1549"/>
      <c r="AS37" s="1549"/>
      <c r="AT37" s="1549"/>
      <c r="AZ37" s="20"/>
      <c r="BD37" s="1181" t="s">
        <v>2465</v>
      </c>
      <c r="BE37" s="1183" t="str">
        <f>Application!T189</f>
        <v>Mono</v>
      </c>
    </row>
    <row r="38" spans="1:57" ht="12.95" hidden="1" customHeight="1">
      <c r="A38" s="3"/>
      <c r="AZ38" s="20"/>
      <c r="BD38" s="1182" t="s">
        <v>2466</v>
      </c>
      <c r="BE38" s="1183" t="str">
        <f>Application!I190</f>
        <v xml:space="preserve">93546 / 93541 </v>
      </c>
    </row>
    <row r="39" spans="1:57" ht="12.95" customHeight="1">
      <c r="A39" s="1268" t="s">
        <v>2106</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c r="BD39" s="1181" t="s">
        <v>2467</v>
      </c>
      <c r="BE39" s="1183">
        <f>Application!AG446</f>
        <v>78</v>
      </c>
    </row>
    <row r="40" spans="1:57" ht="12.95"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c r="BD40" s="1182" t="s">
        <v>384</v>
      </c>
      <c r="BE40" s="1183">
        <f>Application!AG449</f>
        <v>77</v>
      </c>
    </row>
    <row r="41" spans="1:57" ht="12.95"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c r="BD41" s="1181" t="s">
        <v>287</v>
      </c>
      <c r="BE41" s="1183">
        <f>Application!AG447</f>
        <v>0</v>
      </c>
    </row>
    <row r="42" spans="1:57" ht="12.95"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c r="BD42" s="1182" t="s">
        <v>2468</v>
      </c>
      <c r="BE42" s="1185">
        <f>Application!AC761</f>
        <v>0.55844155844155841</v>
      </c>
    </row>
    <row r="43" spans="1:57" ht="12.95"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c r="BD43" s="1181" t="s">
        <v>2469</v>
      </c>
      <c r="BE43" s="1185">
        <f>Application!AH761</f>
        <v>0.53463159060882015</v>
      </c>
    </row>
    <row r="44" spans="1:57" ht="12.95"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c r="BD44" s="1182" t="s">
        <v>2470</v>
      </c>
      <c r="BE44" s="1183">
        <f>Application!AC463</f>
        <v>427515.73076923075</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2471</v>
      </c>
      <c r="BE45" s="1183">
        <f>Application!AE433</f>
        <v>12</v>
      </c>
    </row>
    <row r="46" spans="1:57" ht="12.95" customHeight="1">
      <c r="A46" s="1334" t="s">
        <v>2107</v>
      </c>
      <c r="B46" s="1334"/>
      <c r="C46" s="1334"/>
      <c r="D46" s="1334"/>
      <c r="E46" s="1334"/>
      <c r="F46" s="1334"/>
      <c r="G46" s="1334"/>
      <c r="H46" s="1334"/>
      <c r="I46" s="1334"/>
      <c r="J46" s="1334"/>
      <c r="K46" s="1334"/>
      <c r="L46" s="1334"/>
      <c r="M46" s="1334"/>
      <c r="N46" s="1334"/>
      <c r="O46" s="1334"/>
      <c r="P46" s="1334"/>
      <c r="Q46" s="1334"/>
      <c r="R46" s="1334"/>
      <c r="S46" s="1334"/>
      <c r="T46" s="1334"/>
      <c r="U46" s="1334"/>
      <c r="V46" s="1334"/>
      <c r="W46" s="1334"/>
      <c r="X46" s="1334"/>
      <c r="Y46" s="1334"/>
      <c r="Z46" s="1334"/>
      <c r="AA46" s="1334"/>
      <c r="AB46" s="1334"/>
      <c r="AC46" s="1334"/>
      <c r="AD46" s="1334"/>
      <c r="AE46" s="1334"/>
      <c r="AF46" s="1334"/>
      <c r="AG46" s="1334"/>
      <c r="AH46" s="1334"/>
      <c r="AI46" s="1334"/>
      <c r="AJ46" s="1334"/>
      <c r="AK46" s="1334"/>
      <c r="AL46" s="1334"/>
      <c r="AM46" s="1334"/>
      <c r="AN46" s="1334"/>
      <c r="AO46" s="1334"/>
      <c r="AP46" s="1334"/>
      <c r="AQ46" s="1334"/>
      <c r="AR46" s="1334"/>
      <c r="AS46" s="1334"/>
      <c r="AT46" s="1334"/>
      <c r="AU46" s="20"/>
      <c r="AV46" s="20"/>
      <c r="AW46" s="20"/>
      <c r="AX46" s="20"/>
      <c r="AY46" s="20"/>
      <c r="AZ46" s="20"/>
      <c r="BD46" s="1182" t="s">
        <v>2472</v>
      </c>
      <c r="BE46" s="1183" t="b">
        <f>Application!T195="Yes"</f>
        <v>1</v>
      </c>
    </row>
    <row r="47" spans="1:57" ht="12.95" customHeight="1">
      <c r="A47" s="1334"/>
      <c r="B47" s="1334"/>
      <c r="C47" s="1334"/>
      <c r="D47" s="1334"/>
      <c r="E47" s="1334"/>
      <c r="F47" s="1334"/>
      <c r="G47" s="1334"/>
      <c r="H47" s="1334"/>
      <c r="I47" s="1334"/>
      <c r="J47" s="1334"/>
      <c r="K47" s="1334"/>
      <c r="L47" s="1334"/>
      <c r="M47" s="1334"/>
      <c r="N47" s="1334"/>
      <c r="O47" s="1334"/>
      <c r="P47" s="1334"/>
      <c r="Q47" s="1334"/>
      <c r="R47" s="1334"/>
      <c r="S47" s="1334"/>
      <c r="T47" s="1334"/>
      <c r="U47" s="1334"/>
      <c r="V47" s="1334"/>
      <c r="W47" s="1334"/>
      <c r="X47" s="1334"/>
      <c r="Y47" s="1334"/>
      <c r="Z47" s="1334"/>
      <c r="AA47" s="1334"/>
      <c r="AB47" s="1334"/>
      <c r="AC47" s="1334"/>
      <c r="AD47" s="1334"/>
      <c r="AE47" s="1334"/>
      <c r="AF47" s="1334"/>
      <c r="AG47" s="1334"/>
      <c r="AH47" s="1334"/>
      <c r="AI47" s="1334"/>
      <c r="AJ47" s="1334"/>
      <c r="AK47" s="1334"/>
      <c r="AL47" s="1334"/>
      <c r="AM47" s="1334"/>
      <c r="AN47" s="1334"/>
      <c r="AO47" s="1334"/>
      <c r="AP47" s="1334"/>
      <c r="AQ47" s="1334"/>
      <c r="AR47" s="1334"/>
      <c r="AS47" s="1334"/>
      <c r="AT47" s="1334"/>
      <c r="AU47" s="20"/>
      <c r="AV47" s="20"/>
      <c r="AW47" s="20"/>
      <c r="AX47" s="20"/>
      <c r="AY47" s="20"/>
      <c r="AZ47" s="20"/>
      <c r="BD47" s="1181" t="s">
        <v>2473</v>
      </c>
      <c r="BE47" s="1183" t="b">
        <f>Application!T196="Yes"</f>
        <v>0</v>
      </c>
    </row>
    <row r="48" spans="1:57" ht="12.95" customHeight="1">
      <c r="A48" s="1334"/>
      <c r="B48" s="1334"/>
      <c r="C48" s="1334"/>
      <c r="D48" s="1334"/>
      <c r="E48" s="1334"/>
      <c r="F48" s="1334"/>
      <c r="G48" s="1334"/>
      <c r="H48" s="1334"/>
      <c r="I48" s="1334"/>
      <c r="J48" s="1334"/>
      <c r="K48" s="1334"/>
      <c r="L48" s="1334"/>
      <c r="M48" s="1334"/>
      <c r="N48" s="1334"/>
      <c r="O48" s="1334"/>
      <c r="P48" s="1334"/>
      <c r="Q48" s="1334"/>
      <c r="R48" s="1334"/>
      <c r="S48" s="1334"/>
      <c r="T48" s="1334"/>
      <c r="U48" s="1334"/>
      <c r="V48" s="1334"/>
      <c r="W48" s="1334"/>
      <c r="X48" s="1334"/>
      <c r="Y48" s="1334"/>
      <c r="Z48" s="1334"/>
      <c r="AA48" s="1334"/>
      <c r="AB48" s="1334"/>
      <c r="AC48" s="1334"/>
      <c r="AD48" s="1334"/>
      <c r="AE48" s="1334"/>
      <c r="AF48" s="1334"/>
      <c r="AG48" s="1334"/>
      <c r="AH48" s="1334"/>
      <c r="AI48" s="1334"/>
      <c r="AJ48" s="1334"/>
      <c r="AK48" s="1334"/>
      <c r="AL48" s="1334"/>
      <c r="AM48" s="1334"/>
      <c r="AN48" s="1334"/>
      <c r="AO48" s="1334"/>
      <c r="AP48" s="1334"/>
      <c r="AQ48" s="1334"/>
      <c r="AR48" s="1334"/>
      <c r="AS48" s="1334"/>
      <c r="AT48" s="1334"/>
      <c r="AU48" s="20"/>
      <c r="AV48" s="20"/>
      <c r="AW48" s="20"/>
      <c r="AX48" s="20"/>
      <c r="AY48" s="20"/>
      <c r="AZ48" s="20"/>
      <c r="BD48" s="1182" t="s">
        <v>2474</v>
      </c>
      <c r="BE48" s="1183" t="str">
        <f>Application!M252</f>
        <v xml:space="preserve">West Development Ventures, LLC </v>
      </c>
    </row>
    <row r="49" spans="1:57" ht="12.95" customHeight="1">
      <c r="A49" s="1334"/>
      <c r="B49" s="1334"/>
      <c r="C49" s="1334"/>
      <c r="D49" s="1334"/>
      <c r="E49" s="1334"/>
      <c r="F49" s="1334"/>
      <c r="G49" s="1334"/>
      <c r="H49" s="1334"/>
      <c r="I49" s="1334"/>
      <c r="J49" s="1334"/>
      <c r="K49" s="1334"/>
      <c r="L49" s="1334"/>
      <c r="M49" s="1334"/>
      <c r="N49" s="1334"/>
      <c r="O49" s="1334"/>
      <c r="P49" s="1334"/>
      <c r="Q49" s="1334"/>
      <c r="R49" s="1334"/>
      <c r="S49" s="1334"/>
      <c r="T49" s="1334"/>
      <c r="U49" s="1334"/>
      <c r="V49" s="1334"/>
      <c r="W49" s="1334"/>
      <c r="X49" s="1334"/>
      <c r="Y49" s="1334"/>
      <c r="Z49" s="1334"/>
      <c r="AA49" s="1334"/>
      <c r="AB49" s="1334"/>
      <c r="AC49" s="1334"/>
      <c r="AD49" s="1334"/>
      <c r="AE49" s="1334"/>
      <c r="AF49" s="1334"/>
      <c r="AG49" s="1334"/>
      <c r="AH49" s="1334"/>
      <c r="AI49" s="1334"/>
      <c r="AJ49" s="1334"/>
      <c r="AK49" s="1334"/>
      <c r="AL49" s="1334"/>
      <c r="AM49" s="1334"/>
      <c r="AN49" s="1334"/>
      <c r="AO49" s="1334"/>
      <c r="AP49" s="1334"/>
      <c r="AQ49" s="1334"/>
      <c r="AR49" s="1334"/>
      <c r="AS49" s="1334"/>
      <c r="AT49" s="1334"/>
      <c r="AU49" s="20"/>
      <c r="AV49" s="20"/>
      <c r="AW49" s="20"/>
      <c r="AX49" s="20"/>
      <c r="AY49" s="20"/>
      <c r="AZ49" s="20"/>
      <c r="BD49" s="1181" t="s">
        <v>2475</v>
      </c>
      <c r="BE49" s="1183" t="str">
        <f>Application!M255</f>
        <v xml:space="preserve">Mike Kelley </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2476</v>
      </c>
      <c r="BE50" s="1183" t="str">
        <f>Application!AA258</f>
        <v>LIHTC Advisors, LLC / Mike Kelley</v>
      </c>
    </row>
    <row r="51" spans="1:57" ht="12.95" customHeight="1">
      <c r="A51" s="1268" t="s">
        <v>2108</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c r="BD51" s="1181" t="s">
        <v>2477</v>
      </c>
      <c r="BE51" s="1183" t="str">
        <f>Application!M260</f>
        <v>Central Valley Coalition for Affordable Housing</v>
      </c>
    </row>
    <row r="52" spans="1:57" ht="12.95"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c r="BD52" s="1182" t="s">
        <v>2478</v>
      </c>
      <c r="BE52" s="1183" t="str">
        <f>Application!M263</f>
        <v>Christina Alley</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2479</v>
      </c>
      <c r="BE53" s="1183">
        <f>Application!AA266</f>
        <v>0</v>
      </c>
    </row>
    <row r="54" spans="1:57" ht="12.95" customHeight="1">
      <c r="A54" s="1268" t="s">
        <v>2109</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c r="BD54" s="1182" t="s">
        <v>2480</v>
      </c>
      <c r="BE54" s="1183">
        <f>Application!M268</f>
        <v>0</v>
      </c>
    </row>
    <row r="55" spans="1:57" ht="12.95"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c r="BD55" s="1181" t="s">
        <v>2481</v>
      </c>
      <c r="BE55" s="1183">
        <f>Application!M271</f>
        <v>0</v>
      </c>
    </row>
    <row r="56" spans="1:57" ht="12.95"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c r="BD56" s="1182" t="s">
        <v>2482</v>
      </c>
      <c r="BE56" s="1183">
        <f>Application!AA274</f>
        <v>0</v>
      </c>
    </row>
    <row r="57" spans="1:57" ht="12.95"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c r="BD57" s="1181" t="s">
        <v>2483</v>
      </c>
      <c r="BE57" s="1183" t="str">
        <f>Application!H296</f>
        <v xml:space="preserve">West Development Ventures, LLC </v>
      </c>
    </row>
    <row r="58" spans="1:57" ht="12.95"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c r="BD58" s="1182" t="s">
        <v>2484</v>
      </c>
      <c r="BE58" s="1183" t="str">
        <f>Application!H297</f>
        <v>520 Capitol Mall, Suite 150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2485</v>
      </c>
      <c r="BE59" s="1183" t="str">
        <f>Application!H298</f>
        <v>Sacramento, CA 95814</v>
      </c>
    </row>
    <row r="60" spans="1:57" ht="12.95" customHeight="1">
      <c r="A60" s="1268" t="s">
        <v>2110</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c r="BD60" s="1182" t="s">
        <v>2486</v>
      </c>
      <c r="BE60" s="1183" t="str">
        <f>Application!H299</f>
        <v xml:space="preserve">Mike Kelley </v>
      </c>
    </row>
    <row r="61" spans="1:57" ht="12.95"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c r="BD61" s="1181" t="s">
        <v>2487</v>
      </c>
      <c r="BE61" s="1183" t="str">
        <f>Application!H302</f>
        <v>mikek@westdv.com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2488</v>
      </c>
      <c r="BE62" s="1186">
        <f>'Basis &amp; Credits'!AB50</f>
        <v>0.79</v>
      </c>
    </row>
    <row r="63" spans="1:57" ht="12.95" customHeight="1">
      <c r="A63" s="91" t="s">
        <v>2111</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1250</v>
      </c>
      <c r="BE63" s="1186">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2489</v>
      </c>
      <c r="BE64" s="1183" t="b">
        <f>Application!X180="Yes"</f>
        <v>1</v>
      </c>
    </row>
    <row r="65" spans="1:57" ht="12.95" customHeight="1">
      <c r="A65" s="1556" t="s">
        <v>2112</v>
      </c>
      <c r="B65" s="1556"/>
      <c r="C65" s="1556"/>
      <c r="D65" s="1556"/>
      <c r="E65" s="1556"/>
      <c r="F65" s="1556"/>
      <c r="G65" s="1556"/>
      <c r="H65" s="1556"/>
      <c r="I65" s="1556"/>
      <c r="J65" s="1556"/>
      <c r="K65" s="1556"/>
      <c r="L65" s="1556"/>
      <c r="M65" s="1556"/>
      <c r="N65" s="1556"/>
      <c r="O65" s="1556"/>
      <c r="P65" s="1556"/>
      <c r="Q65" s="1556"/>
      <c r="R65" s="1556"/>
      <c r="S65" s="1556"/>
      <c r="T65" s="1556"/>
      <c r="U65" s="1556"/>
      <c r="V65" s="1556"/>
      <c r="W65" s="1556"/>
      <c r="X65" s="1556"/>
      <c r="Y65" s="1556"/>
      <c r="Z65" s="1556"/>
      <c r="AA65" s="1556"/>
      <c r="AB65" s="1556"/>
      <c r="AC65" s="1556"/>
      <c r="AD65" s="1556"/>
      <c r="AE65" s="1556"/>
      <c r="AF65" s="1556"/>
      <c r="AG65" s="1556"/>
      <c r="AH65" s="1556"/>
      <c r="AI65" s="1556"/>
      <c r="AJ65" s="1556"/>
      <c r="AK65" s="1556"/>
      <c r="AL65" s="1556"/>
      <c r="AM65" s="1556"/>
      <c r="AN65" s="1556"/>
      <c r="AO65" s="1556"/>
      <c r="AP65" s="1556"/>
      <c r="AQ65" s="1556"/>
      <c r="AR65" s="1556"/>
      <c r="AS65" s="1556"/>
      <c r="AT65" s="1556"/>
      <c r="AU65" s="21"/>
      <c r="AV65" s="21"/>
      <c r="AW65" s="21"/>
      <c r="AX65" s="21"/>
      <c r="AY65" s="21"/>
      <c r="AZ65" s="20"/>
      <c r="BD65" s="1181" t="s">
        <v>2523</v>
      </c>
      <c r="BE65" s="1183" t="str">
        <f>Z205</f>
        <v>(select)</v>
      </c>
    </row>
    <row r="66" spans="1:57" ht="12.95" customHeight="1">
      <c r="A66" s="1556"/>
      <c r="B66" s="1556"/>
      <c r="C66" s="1556"/>
      <c r="D66" s="1556"/>
      <c r="E66" s="1556"/>
      <c r="F66" s="1556"/>
      <c r="G66" s="1556"/>
      <c r="H66" s="1556"/>
      <c r="I66" s="1556"/>
      <c r="J66" s="1556"/>
      <c r="K66" s="1556"/>
      <c r="L66" s="1556"/>
      <c r="M66" s="1556"/>
      <c r="N66" s="1556"/>
      <c r="O66" s="1556"/>
      <c r="P66" s="1556"/>
      <c r="Q66" s="1556"/>
      <c r="R66" s="1556"/>
      <c r="S66" s="1556"/>
      <c r="T66" s="1556"/>
      <c r="U66" s="1556"/>
      <c r="V66" s="1556"/>
      <c r="W66" s="1556"/>
      <c r="X66" s="1556"/>
      <c r="Y66" s="1556"/>
      <c r="Z66" s="1556"/>
      <c r="AA66" s="1556"/>
      <c r="AB66" s="1556"/>
      <c r="AC66" s="1556"/>
      <c r="AD66" s="1556"/>
      <c r="AE66" s="1556"/>
      <c r="AF66" s="1556"/>
      <c r="AG66" s="1556"/>
      <c r="AH66" s="1556"/>
      <c r="AI66" s="1556"/>
      <c r="AJ66" s="1556"/>
      <c r="AK66" s="1556"/>
      <c r="AL66" s="1556"/>
      <c r="AM66" s="1556"/>
      <c r="AN66" s="1556"/>
      <c r="AO66" s="1556"/>
      <c r="AP66" s="1556"/>
      <c r="AQ66" s="1556"/>
      <c r="AR66" s="1556"/>
      <c r="AS66" s="1556"/>
      <c r="AT66" s="1556"/>
      <c r="AU66" s="21"/>
      <c r="AV66" s="21"/>
      <c r="AW66" s="21"/>
      <c r="AX66" s="21"/>
      <c r="AY66" s="21"/>
      <c r="AZ66" s="20"/>
      <c r="BD66" s="1182" t="s">
        <v>2490</v>
      </c>
      <c r="BE66" s="1183" t="b">
        <f>Application!Z205="State Farmworker Credit"</f>
        <v>0</v>
      </c>
    </row>
    <row r="67" spans="1:57" ht="12.95" customHeight="1">
      <c r="A67" s="1556"/>
      <c r="B67" s="1556"/>
      <c r="C67" s="1556"/>
      <c r="D67" s="1556"/>
      <c r="E67" s="1556"/>
      <c r="F67" s="1556"/>
      <c r="G67" s="1556"/>
      <c r="H67" s="1556"/>
      <c r="I67" s="1556"/>
      <c r="J67" s="1556"/>
      <c r="K67" s="1556"/>
      <c r="L67" s="1556"/>
      <c r="M67" s="1556"/>
      <c r="N67" s="1556"/>
      <c r="O67" s="1556"/>
      <c r="P67" s="1556"/>
      <c r="Q67" s="1556"/>
      <c r="R67" s="1556"/>
      <c r="S67" s="1556"/>
      <c r="T67" s="1556"/>
      <c r="U67" s="1556"/>
      <c r="V67" s="1556"/>
      <c r="W67" s="1556"/>
      <c r="X67" s="1556"/>
      <c r="Y67" s="1556"/>
      <c r="Z67" s="1556"/>
      <c r="AA67" s="1556"/>
      <c r="AB67" s="1556"/>
      <c r="AC67" s="1556"/>
      <c r="AD67" s="1556"/>
      <c r="AE67" s="1556"/>
      <c r="AF67" s="1556"/>
      <c r="AG67" s="1556"/>
      <c r="AH67" s="1556"/>
      <c r="AI67" s="1556"/>
      <c r="AJ67" s="1556"/>
      <c r="AK67" s="1556"/>
      <c r="AL67" s="1556"/>
      <c r="AM67" s="1556"/>
      <c r="AN67" s="1556"/>
      <c r="AO67" s="1556"/>
      <c r="AP67" s="1556"/>
      <c r="AQ67" s="1556"/>
      <c r="AR67" s="1556"/>
      <c r="AS67" s="1556"/>
      <c r="AT67" s="1556"/>
      <c r="AZ67" s="20"/>
      <c r="BD67" s="1181" t="s">
        <v>2491</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2492</v>
      </c>
      <c r="BE68" s="1183">
        <f>'Sources and Uses Budget'!D105</f>
        <v>0</v>
      </c>
    </row>
    <row r="69" spans="1:57" ht="12.95" customHeight="1">
      <c r="A69" s="1556" t="s">
        <v>2113</v>
      </c>
      <c r="B69" s="1556"/>
      <c r="C69" s="1556"/>
      <c r="D69" s="1556"/>
      <c r="E69" s="1556"/>
      <c r="F69" s="1556"/>
      <c r="G69" s="1556"/>
      <c r="H69" s="1556"/>
      <c r="I69" s="1556"/>
      <c r="J69" s="1556"/>
      <c r="K69" s="1556"/>
      <c r="L69" s="1556"/>
      <c r="M69" s="1556"/>
      <c r="N69" s="1556"/>
      <c r="O69" s="1556"/>
      <c r="P69" s="1556"/>
      <c r="Q69" s="1556"/>
      <c r="R69" s="1556"/>
      <c r="S69" s="1556"/>
      <c r="T69" s="1556"/>
      <c r="U69" s="1556"/>
      <c r="V69" s="1556"/>
      <c r="W69" s="1556"/>
      <c r="X69" s="1556"/>
      <c r="Y69" s="1556"/>
      <c r="Z69" s="1556"/>
      <c r="AA69" s="1556"/>
      <c r="AB69" s="1556"/>
      <c r="AC69" s="1556"/>
      <c r="AD69" s="1556"/>
      <c r="AE69" s="1556"/>
      <c r="AF69" s="1556"/>
      <c r="AG69" s="1556"/>
      <c r="AH69" s="1556"/>
      <c r="AI69" s="1556"/>
      <c r="AJ69" s="1556"/>
      <c r="AK69" s="1556"/>
      <c r="AL69" s="1556"/>
      <c r="AM69" s="1556"/>
      <c r="AN69" s="1556"/>
      <c r="AO69" s="1556"/>
      <c r="AP69" s="1556"/>
      <c r="AQ69" s="1556"/>
      <c r="AR69" s="1556"/>
      <c r="AS69" s="1556"/>
      <c r="AT69" s="1556"/>
      <c r="AZ69" s="20"/>
      <c r="BD69" s="1181" t="s">
        <v>2493</v>
      </c>
      <c r="BE69" s="1183" t="str">
        <f>Application!W708</f>
        <v xml:space="preserve">California Munifical Finance Authority </v>
      </c>
    </row>
    <row r="70" spans="1:57" ht="12.95" customHeight="1">
      <c r="A70" s="1556"/>
      <c r="B70" s="1556"/>
      <c r="C70" s="1556"/>
      <c r="D70" s="1556"/>
      <c r="E70" s="1556"/>
      <c r="F70" s="1556"/>
      <c r="G70" s="1556"/>
      <c r="H70" s="1556"/>
      <c r="I70" s="1556"/>
      <c r="J70" s="1556"/>
      <c r="K70" s="1556"/>
      <c r="L70" s="1556"/>
      <c r="M70" s="1556"/>
      <c r="N70" s="1556"/>
      <c r="O70" s="1556"/>
      <c r="P70" s="1556"/>
      <c r="Q70" s="1556"/>
      <c r="R70" s="1556"/>
      <c r="S70" s="1556"/>
      <c r="T70" s="1556"/>
      <c r="U70" s="1556"/>
      <c r="V70" s="1556"/>
      <c r="W70" s="1556"/>
      <c r="X70" s="1556"/>
      <c r="Y70" s="1556"/>
      <c r="Z70" s="1556"/>
      <c r="AA70" s="1556"/>
      <c r="AB70" s="1556"/>
      <c r="AC70" s="1556"/>
      <c r="AD70" s="1556"/>
      <c r="AE70" s="1556"/>
      <c r="AF70" s="1556"/>
      <c r="AG70" s="1556"/>
      <c r="AH70" s="1556"/>
      <c r="AI70" s="1556"/>
      <c r="AJ70" s="1556"/>
      <c r="AK70" s="1556"/>
      <c r="AL70" s="1556"/>
      <c r="AM70" s="1556"/>
      <c r="AN70" s="1556"/>
      <c r="AO70" s="1556"/>
      <c r="AP70" s="1556"/>
      <c r="AQ70" s="1556"/>
      <c r="AR70" s="1556"/>
      <c r="AS70" s="1556"/>
      <c r="AT70" s="1556"/>
      <c r="AU70" s="20"/>
      <c r="AV70" s="20"/>
      <c r="AW70" s="20"/>
      <c r="AX70" s="20"/>
      <c r="AY70" s="20"/>
      <c r="AZ70" s="20"/>
      <c r="BD70" s="1182" t="s">
        <v>2494</v>
      </c>
      <c r="BE70" s="1183">
        <f ca="1">'Points System'!AF843</f>
        <v>100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2619</v>
      </c>
      <c r="BE71" s="1183">
        <f>'Points System'!AF826</f>
        <v>18</v>
      </c>
    </row>
    <row r="72" spans="1:57" ht="12.95" customHeight="1">
      <c r="A72" s="1549" t="s">
        <v>2114</v>
      </c>
      <c r="B72" s="1549"/>
      <c r="C72" s="1549"/>
      <c r="D72" s="1549"/>
      <c r="E72" s="1549"/>
      <c r="F72" s="1549"/>
      <c r="G72" s="1549"/>
      <c r="H72" s="1549"/>
      <c r="I72" s="1549"/>
      <c r="J72" s="1549"/>
      <c r="K72" s="1549"/>
      <c r="L72" s="1549"/>
      <c r="M72" s="1549"/>
      <c r="N72" s="1549"/>
      <c r="O72" s="1549"/>
      <c r="P72" s="1549"/>
      <c r="Q72" s="1549"/>
      <c r="R72" s="1549"/>
      <c r="S72" s="1549"/>
      <c r="T72" s="1549"/>
      <c r="U72" s="1549"/>
      <c r="V72" s="1549"/>
      <c r="W72" s="1549"/>
      <c r="X72" s="1549"/>
      <c r="Y72" s="1549"/>
      <c r="Z72" s="1549"/>
      <c r="AA72" s="1549"/>
      <c r="AB72" s="1549"/>
      <c r="AC72" s="1549"/>
      <c r="AD72" s="1549"/>
      <c r="AE72" s="1549"/>
      <c r="AF72" s="1549"/>
      <c r="AG72" s="1549"/>
      <c r="AH72" s="1549"/>
      <c r="AI72" s="1549"/>
      <c r="AJ72" s="1549"/>
      <c r="AK72" s="1549"/>
      <c r="AL72" s="1549"/>
      <c r="AM72" s="1549"/>
      <c r="AN72" s="1549"/>
      <c r="AO72" s="1549"/>
      <c r="AP72" s="1549"/>
      <c r="AQ72" s="1549"/>
      <c r="AR72" s="1549"/>
      <c r="AS72" s="1549"/>
      <c r="AT72" s="1549"/>
      <c r="AU72" s="20"/>
      <c r="AV72" s="20"/>
      <c r="AW72" s="20"/>
      <c r="AX72" s="20"/>
      <c r="AY72" s="20"/>
      <c r="AZ72" s="20"/>
      <c r="BD72" s="1182" t="s">
        <v>2495</v>
      </c>
      <c r="BE72" s="1183">
        <f>'Points System'!AF827</f>
        <v>0</v>
      </c>
    </row>
    <row r="73" spans="1:57" ht="12.95" customHeight="1">
      <c r="A73" s="1549"/>
      <c r="B73" s="1549"/>
      <c r="C73" s="1549"/>
      <c r="D73" s="1549"/>
      <c r="E73" s="1549"/>
      <c r="F73" s="1549"/>
      <c r="G73" s="1549"/>
      <c r="H73" s="1549"/>
      <c r="I73" s="1549"/>
      <c r="J73" s="1549"/>
      <c r="K73" s="1549"/>
      <c r="L73" s="1549"/>
      <c r="M73" s="1549"/>
      <c r="N73" s="1549"/>
      <c r="O73" s="1549"/>
      <c r="P73" s="1549"/>
      <c r="Q73" s="1549"/>
      <c r="R73" s="1549"/>
      <c r="S73" s="1549"/>
      <c r="T73" s="1549"/>
      <c r="U73" s="1549"/>
      <c r="V73" s="1549"/>
      <c r="W73" s="1549"/>
      <c r="X73" s="1549"/>
      <c r="Y73" s="1549"/>
      <c r="Z73" s="1549"/>
      <c r="AA73" s="1549"/>
      <c r="AB73" s="1549"/>
      <c r="AC73" s="1549"/>
      <c r="AD73" s="1549"/>
      <c r="AE73" s="1549"/>
      <c r="AF73" s="1549"/>
      <c r="AG73" s="1549"/>
      <c r="AH73" s="1549"/>
      <c r="AI73" s="1549"/>
      <c r="AJ73" s="1549"/>
      <c r="AK73" s="1549"/>
      <c r="AL73" s="1549"/>
      <c r="AM73" s="1549"/>
      <c r="AN73" s="1549"/>
      <c r="AO73" s="1549"/>
      <c r="AP73" s="1549"/>
      <c r="AQ73" s="1549"/>
      <c r="AR73" s="1549"/>
      <c r="AS73" s="1549"/>
      <c r="AT73" s="1549"/>
      <c r="AU73" s="20"/>
      <c r="AV73" s="20"/>
      <c r="AW73" s="20"/>
      <c r="AX73" s="20"/>
      <c r="AY73" s="20"/>
      <c r="AZ73" s="20"/>
      <c r="BD73" s="1181" t="s">
        <v>2496</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2497</v>
      </c>
      <c r="BE74" s="1183">
        <f>'Points System'!AF829</f>
        <v>10</v>
      </c>
    </row>
    <row r="75" spans="1:57" ht="12.95" customHeight="1">
      <c r="A75" s="1555" t="s">
        <v>2115</v>
      </c>
      <c r="B75" s="1555"/>
      <c r="C75" s="1555"/>
      <c r="D75" s="1555"/>
      <c r="E75" s="1555"/>
      <c r="F75" s="1555"/>
      <c r="G75" s="1555"/>
      <c r="H75" s="1555"/>
      <c r="I75" s="1555"/>
      <c r="J75" s="1555"/>
      <c r="K75" s="1555"/>
      <c r="L75" s="1555"/>
      <c r="M75" s="1555"/>
      <c r="N75" s="1555"/>
      <c r="O75" s="1555"/>
      <c r="P75" s="1555"/>
      <c r="Q75" s="1555"/>
      <c r="R75" s="1555"/>
      <c r="S75" s="1555"/>
      <c r="T75" s="1555"/>
      <c r="U75" s="1555"/>
      <c r="V75" s="1555"/>
      <c r="W75" s="1555"/>
      <c r="X75" s="1555"/>
      <c r="Y75" s="1555"/>
      <c r="Z75" s="1555"/>
      <c r="AA75" s="1555"/>
      <c r="AB75" s="1555"/>
      <c r="AC75" s="1555"/>
      <c r="AD75" s="1555"/>
      <c r="AE75" s="1555"/>
      <c r="AF75" s="1555"/>
      <c r="AG75" s="1555"/>
      <c r="AH75" s="1555"/>
      <c r="AI75" s="1555"/>
      <c r="AJ75" s="1555"/>
      <c r="AK75" s="1555"/>
      <c r="AL75" s="1555"/>
      <c r="AM75" s="1555"/>
      <c r="AN75" s="1555"/>
      <c r="AO75" s="1555"/>
      <c r="AP75" s="1555"/>
      <c r="AQ75" s="1555"/>
      <c r="AR75" s="1555"/>
      <c r="AS75" s="1555"/>
      <c r="AT75" s="1555"/>
      <c r="AU75" s="20"/>
      <c r="AV75" s="20"/>
      <c r="AW75" s="20"/>
      <c r="AX75" s="20"/>
      <c r="AY75" s="20"/>
      <c r="AZ75" s="20"/>
      <c r="BD75" s="1181" t="s">
        <v>2498</v>
      </c>
      <c r="BE75" s="1183">
        <f>'Points System'!AF830</f>
        <v>10</v>
      </c>
    </row>
    <row r="76" spans="1:57" ht="12.95" customHeight="1">
      <c r="A76" s="1555"/>
      <c r="B76" s="1555"/>
      <c r="C76" s="1555"/>
      <c r="D76" s="1555"/>
      <c r="E76" s="1555"/>
      <c r="F76" s="1555"/>
      <c r="G76" s="1555"/>
      <c r="H76" s="1555"/>
      <c r="I76" s="1555"/>
      <c r="J76" s="1555"/>
      <c r="K76" s="1555"/>
      <c r="L76" s="1555"/>
      <c r="M76" s="1555"/>
      <c r="N76" s="1555"/>
      <c r="O76" s="1555"/>
      <c r="P76" s="1555"/>
      <c r="Q76" s="1555"/>
      <c r="R76" s="1555"/>
      <c r="S76" s="1555"/>
      <c r="T76" s="1555"/>
      <c r="U76" s="1555"/>
      <c r="V76" s="1555"/>
      <c r="W76" s="1555"/>
      <c r="X76" s="1555"/>
      <c r="Y76" s="1555"/>
      <c r="Z76" s="1555"/>
      <c r="AA76" s="1555"/>
      <c r="AB76" s="1555"/>
      <c r="AC76" s="1555"/>
      <c r="AD76" s="1555"/>
      <c r="AE76" s="1555"/>
      <c r="AF76" s="1555"/>
      <c r="AG76" s="1555"/>
      <c r="AH76" s="1555"/>
      <c r="AI76" s="1555"/>
      <c r="AJ76" s="1555"/>
      <c r="AK76" s="1555"/>
      <c r="AL76" s="1555"/>
      <c r="AM76" s="1555"/>
      <c r="AN76" s="1555"/>
      <c r="AO76" s="1555"/>
      <c r="AP76" s="1555"/>
      <c r="AQ76" s="1555"/>
      <c r="AR76" s="1555"/>
      <c r="AS76" s="1555"/>
      <c r="AT76" s="1555"/>
      <c r="AU76" s="20"/>
      <c r="AV76" s="20"/>
      <c r="AW76" s="20"/>
      <c r="AX76" s="20"/>
      <c r="AY76" s="20"/>
      <c r="AZ76" s="17"/>
      <c r="BD76" s="1182" t="s">
        <v>2499</v>
      </c>
      <c r="BE76" s="1183">
        <f>'Points System'!AF833</f>
        <v>0</v>
      </c>
    </row>
    <row r="77" spans="1:57" ht="12.95" customHeight="1">
      <c r="A77" s="1555"/>
      <c r="B77" s="1555"/>
      <c r="C77" s="1555"/>
      <c r="D77" s="1555"/>
      <c r="E77" s="1555"/>
      <c r="F77" s="1555"/>
      <c r="G77" s="1555"/>
      <c r="H77" s="1555"/>
      <c r="I77" s="1555"/>
      <c r="J77" s="1555"/>
      <c r="K77" s="1555"/>
      <c r="L77" s="1555"/>
      <c r="M77" s="1555"/>
      <c r="N77" s="1555"/>
      <c r="O77" s="1555"/>
      <c r="P77" s="1555"/>
      <c r="Q77" s="1555"/>
      <c r="R77" s="1555"/>
      <c r="S77" s="1555"/>
      <c r="T77" s="1555"/>
      <c r="U77" s="1555"/>
      <c r="V77" s="1555"/>
      <c r="W77" s="1555"/>
      <c r="X77" s="1555"/>
      <c r="Y77" s="1555"/>
      <c r="Z77" s="1555"/>
      <c r="AA77" s="1555"/>
      <c r="AB77" s="1555"/>
      <c r="AC77" s="1555"/>
      <c r="AD77" s="1555"/>
      <c r="AE77" s="1555"/>
      <c r="AF77" s="1555"/>
      <c r="AG77" s="1555"/>
      <c r="AH77" s="1555"/>
      <c r="AI77" s="1555"/>
      <c r="AJ77" s="1555"/>
      <c r="AK77" s="1555"/>
      <c r="AL77" s="1555"/>
      <c r="AM77" s="1555"/>
      <c r="AN77" s="1555"/>
      <c r="AO77" s="1555"/>
      <c r="AP77" s="1555"/>
      <c r="AQ77" s="1555"/>
      <c r="AR77" s="1555"/>
      <c r="AS77" s="1555"/>
      <c r="AT77" s="1555"/>
      <c r="AU77" s="20"/>
      <c r="AV77" s="20"/>
      <c r="AW77" s="20"/>
      <c r="AX77" s="20"/>
      <c r="AY77" s="20"/>
      <c r="AZ77" s="17"/>
      <c r="BD77" s="1181" t="s">
        <v>2500</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2501</v>
      </c>
      <c r="BE78" s="1183">
        <f>'Points System'!AF836</f>
        <v>10</v>
      </c>
    </row>
    <row r="79" spans="1:57" ht="12.95" customHeight="1">
      <c r="A79" s="1556" t="s">
        <v>2116</v>
      </c>
      <c r="B79" s="1556"/>
      <c r="C79" s="1556"/>
      <c r="D79" s="1556"/>
      <c r="E79" s="1556"/>
      <c r="F79" s="1556"/>
      <c r="G79" s="1556"/>
      <c r="H79" s="1556"/>
      <c r="I79" s="1556"/>
      <c r="J79" s="1556"/>
      <c r="K79" s="1556"/>
      <c r="L79" s="1556"/>
      <c r="M79" s="1556"/>
      <c r="N79" s="1556"/>
      <c r="O79" s="1556"/>
      <c r="P79" s="1556"/>
      <c r="Q79" s="1556"/>
      <c r="R79" s="1556"/>
      <c r="S79" s="1556"/>
      <c r="T79" s="1556"/>
      <c r="U79" s="1556"/>
      <c r="V79" s="1556"/>
      <c r="W79" s="1556"/>
      <c r="X79" s="1556"/>
      <c r="Y79" s="1556"/>
      <c r="Z79" s="1556"/>
      <c r="AA79" s="1556"/>
      <c r="AB79" s="1556"/>
      <c r="AC79" s="1556"/>
      <c r="AD79" s="1556"/>
      <c r="AE79" s="1556"/>
      <c r="AF79" s="1556"/>
      <c r="AG79" s="1556"/>
      <c r="AH79" s="1556"/>
      <c r="AI79" s="1556"/>
      <c r="AJ79" s="1556"/>
      <c r="AK79" s="1556"/>
      <c r="AL79" s="1556"/>
      <c r="AM79" s="1556"/>
      <c r="AN79" s="1556"/>
      <c r="AO79" s="1556"/>
      <c r="AP79" s="1556"/>
      <c r="AQ79" s="1556"/>
      <c r="AR79" s="1556"/>
      <c r="AS79" s="1556"/>
      <c r="AT79" s="1556"/>
      <c r="AU79" s="20"/>
      <c r="AV79" s="20"/>
      <c r="AW79" s="20"/>
      <c r="AX79" s="20"/>
      <c r="AY79" s="20"/>
      <c r="AZ79" s="20"/>
      <c r="BD79" s="1181" t="s">
        <v>2620</v>
      </c>
      <c r="BE79" s="1183">
        <f>'Points System'!AF837</f>
        <v>0</v>
      </c>
    </row>
    <row r="80" spans="1:57" ht="12.95" customHeight="1">
      <c r="A80" s="1556"/>
      <c r="B80" s="1556"/>
      <c r="C80" s="1556"/>
      <c r="D80" s="1556"/>
      <c r="E80" s="1556"/>
      <c r="F80" s="1556"/>
      <c r="G80" s="1556"/>
      <c r="H80" s="1556"/>
      <c r="I80" s="1556"/>
      <c r="J80" s="1556"/>
      <c r="K80" s="1556"/>
      <c r="L80" s="1556"/>
      <c r="M80" s="1556"/>
      <c r="N80" s="1556"/>
      <c r="O80" s="1556"/>
      <c r="P80" s="1556"/>
      <c r="Q80" s="1556"/>
      <c r="R80" s="1556"/>
      <c r="S80" s="1556"/>
      <c r="T80" s="1556"/>
      <c r="U80" s="1556"/>
      <c r="V80" s="1556"/>
      <c r="W80" s="1556"/>
      <c r="X80" s="1556"/>
      <c r="Y80" s="1556"/>
      <c r="Z80" s="1556"/>
      <c r="AA80" s="1556"/>
      <c r="AB80" s="1556"/>
      <c r="AC80" s="1556"/>
      <c r="AD80" s="1556"/>
      <c r="AE80" s="1556"/>
      <c r="AF80" s="1556"/>
      <c r="AG80" s="1556"/>
      <c r="AH80" s="1556"/>
      <c r="AI80" s="1556"/>
      <c r="AJ80" s="1556"/>
      <c r="AK80" s="1556"/>
      <c r="AL80" s="1556"/>
      <c r="AM80" s="1556"/>
      <c r="AN80" s="1556"/>
      <c r="AO80" s="1556"/>
      <c r="AP80" s="1556"/>
      <c r="AQ80" s="1556"/>
      <c r="AR80" s="1556"/>
      <c r="AS80" s="1556"/>
      <c r="AT80" s="1556"/>
      <c r="AU80" s="20"/>
      <c r="AV80" s="20"/>
      <c r="AW80" s="20"/>
      <c r="AX80" s="20"/>
      <c r="AY80" s="20"/>
      <c r="AZ80" s="20"/>
      <c r="BD80" s="1182" t="s">
        <v>2502</v>
      </c>
      <c r="BE80" s="1183">
        <f>'Points System'!AF839</f>
        <v>10</v>
      </c>
    </row>
    <row r="81" spans="1:57" ht="12.95" customHeight="1">
      <c r="A81" s="1556"/>
      <c r="B81" s="1556"/>
      <c r="C81" s="1556"/>
      <c r="D81" s="1556"/>
      <c r="E81" s="1556"/>
      <c r="F81" s="1556"/>
      <c r="G81" s="1556"/>
      <c r="H81" s="1556"/>
      <c r="I81" s="1556"/>
      <c r="J81" s="1556"/>
      <c r="K81" s="1556"/>
      <c r="L81" s="1556"/>
      <c r="M81" s="1556"/>
      <c r="N81" s="1556"/>
      <c r="O81" s="1556"/>
      <c r="P81" s="1556"/>
      <c r="Q81" s="1556"/>
      <c r="R81" s="1556"/>
      <c r="S81" s="1556"/>
      <c r="T81" s="1556"/>
      <c r="U81" s="1556"/>
      <c r="V81" s="1556"/>
      <c r="W81" s="1556"/>
      <c r="X81" s="1556"/>
      <c r="Y81" s="1556"/>
      <c r="Z81" s="1556"/>
      <c r="AA81" s="1556"/>
      <c r="AB81" s="1556"/>
      <c r="AC81" s="1556"/>
      <c r="AD81" s="1556"/>
      <c r="AE81" s="1556"/>
      <c r="AF81" s="1556"/>
      <c r="AG81" s="1556"/>
      <c r="AH81" s="1556"/>
      <c r="AI81" s="1556"/>
      <c r="AJ81" s="1556"/>
      <c r="AK81" s="1556"/>
      <c r="AL81" s="1556"/>
      <c r="AM81" s="1556"/>
      <c r="AN81" s="1556"/>
      <c r="AO81" s="1556"/>
      <c r="AP81" s="1556"/>
      <c r="AQ81" s="1556"/>
      <c r="AR81" s="1556"/>
      <c r="AS81" s="1556"/>
      <c r="AT81" s="1556"/>
      <c r="AU81" s="20"/>
      <c r="AV81" s="20"/>
      <c r="AW81" s="20"/>
      <c r="AX81" s="20"/>
      <c r="AY81" s="20"/>
      <c r="AZ81" s="20"/>
      <c r="BD81" s="1181" t="s">
        <v>2503</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2504</v>
      </c>
      <c r="BE82" s="1183">
        <f>'Points System'!AF841</f>
        <v>10</v>
      </c>
    </row>
    <row r="83" spans="1:57" ht="12.95" customHeight="1">
      <c r="A83" s="1268" t="s">
        <v>2117</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c r="BD83" s="1181" t="s">
        <v>2505</v>
      </c>
      <c r="BE83" s="1187">
        <f>'Tie Breaker'!H5</f>
        <v>2.159519561930809</v>
      </c>
    </row>
    <row r="84" spans="1:57" ht="12.95"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c r="BD84" s="1182" t="s">
        <v>2506</v>
      </c>
      <c r="BE84" s="1183" t="str">
        <f>Application!O153</f>
        <v>Town of Mammoth Lakes</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2507</v>
      </c>
      <c r="BE85" s="1183" t="str">
        <f>Application!O154</f>
        <v>Mark Wardlaw</v>
      </c>
    </row>
    <row r="86" spans="1:57" ht="12.95" customHeight="1">
      <c r="A86" s="1268" t="s">
        <v>2118</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c r="BD86" s="1182" t="s">
        <v>2508</v>
      </c>
      <c r="BE86" s="1183" t="str">
        <f>Application!O155</f>
        <v>City Manager</v>
      </c>
    </row>
    <row r="87" spans="1:57" ht="12.95"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c r="BD87" s="1181" t="s">
        <v>2509</v>
      </c>
      <c r="BE87" s="1183" t="str">
        <f>Application!O156</f>
        <v>PO Box 1609</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2510</v>
      </c>
      <c r="BE88" s="1183" t="str">
        <f>Application!O157</f>
        <v xml:space="preserve">Mammoth Lakes </v>
      </c>
    </row>
    <row r="89" spans="1:57" ht="12.95" customHeight="1">
      <c r="A89" s="1572" t="s">
        <v>2119</v>
      </c>
      <c r="B89" s="1572"/>
      <c r="C89" s="1572"/>
      <c r="D89" s="1572"/>
      <c r="E89" s="1572"/>
      <c r="F89" s="1572"/>
      <c r="G89" s="1572"/>
      <c r="H89" s="1572"/>
      <c r="I89" s="1572"/>
      <c r="J89" s="1572"/>
      <c r="K89" s="1572"/>
      <c r="L89" s="1572"/>
      <c r="M89" s="1572"/>
      <c r="N89" s="1572"/>
      <c r="O89" s="1572"/>
      <c r="P89" s="1572"/>
      <c r="Q89" s="1572"/>
      <c r="R89" s="1572"/>
      <c r="S89" s="1572"/>
      <c r="T89" s="1572"/>
      <c r="U89" s="1572"/>
      <c r="V89" s="1572"/>
      <c r="W89" s="1572"/>
      <c r="X89" s="1572"/>
      <c r="Y89" s="1572"/>
      <c r="Z89" s="1572"/>
      <c r="AA89" s="1572"/>
      <c r="AB89" s="1572"/>
      <c r="AC89" s="1572"/>
      <c r="AD89" s="1572"/>
      <c r="AE89" s="1572"/>
      <c r="AF89" s="1572"/>
      <c r="AG89" s="1572"/>
      <c r="AH89" s="1572"/>
      <c r="AI89" s="1572"/>
      <c r="AJ89" s="1572"/>
      <c r="AK89" s="1572"/>
      <c r="AL89" s="1572"/>
      <c r="AM89" s="1572"/>
      <c r="AN89" s="1572"/>
      <c r="AO89" s="1572"/>
      <c r="AP89" s="1572"/>
      <c r="AQ89" s="1572"/>
      <c r="AR89" s="1572"/>
      <c r="AS89" s="1572"/>
      <c r="AT89" s="1572"/>
      <c r="AU89" s="17"/>
      <c r="AV89" s="17"/>
      <c r="AW89" s="17"/>
      <c r="AX89" s="17"/>
      <c r="AY89" s="17"/>
      <c r="AZ89" s="20"/>
      <c r="BD89" s="1181" t="s">
        <v>2511</v>
      </c>
      <c r="BE89" s="1183">
        <f>Application!O158</f>
        <v>93546</v>
      </c>
    </row>
    <row r="90" spans="1:57" ht="12.95" customHeight="1">
      <c r="A90" s="1572"/>
      <c r="B90" s="1572"/>
      <c r="C90" s="1572"/>
      <c r="D90" s="1572"/>
      <c r="E90" s="1572"/>
      <c r="F90" s="1572"/>
      <c r="G90" s="1572"/>
      <c r="H90" s="1572"/>
      <c r="I90" s="1572"/>
      <c r="J90" s="1572"/>
      <c r="K90" s="1572"/>
      <c r="L90" s="1572"/>
      <c r="M90" s="1572"/>
      <c r="N90" s="1572"/>
      <c r="O90" s="1572"/>
      <c r="P90" s="1572"/>
      <c r="Q90" s="1572"/>
      <c r="R90" s="1572"/>
      <c r="S90" s="1572"/>
      <c r="T90" s="1572"/>
      <c r="U90" s="1572"/>
      <c r="V90" s="1572"/>
      <c r="W90" s="1572"/>
      <c r="X90" s="1572"/>
      <c r="Y90" s="1572"/>
      <c r="Z90" s="1572"/>
      <c r="AA90" s="1572"/>
      <c r="AB90" s="1572"/>
      <c r="AC90" s="1572"/>
      <c r="AD90" s="1572"/>
      <c r="AE90" s="1572"/>
      <c r="AF90" s="1572"/>
      <c r="AG90" s="1572"/>
      <c r="AH90" s="1572"/>
      <c r="AI90" s="1572"/>
      <c r="AJ90" s="1572"/>
      <c r="AK90" s="1572"/>
      <c r="AL90" s="1572"/>
      <c r="AM90" s="1572"/>
      <c r="AN90" s="1572"/>
      <c r="AO90" s="1572"/>
      <c r="AP90" s="1572"/>
      <c r="AQ90" s="1572"/>
      <c r="AR90" s="1572"/>
      <c r="AS90" s="1572"/>
      <c r="AT90" s="1572"/>
      <c r="AU90" s="17"/>
      <c r="AV90" s="17"/>
      <c r="AW90" s="17"/>
      <c r="AX90" s="17"/>
      <c r="AY90" s="17"/>
      <c r="AZ90" s="20"/>
      <c r="BD90" s="1182" t="s">
        <v>2512</v>
      </c>
      <c r="BE90" s="1183" t="str">
        <f>Application!H16</f>
        <v xml:space="preserve">West Development Ventures, LLC </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2513</v>
      </c>
      <c r="BE91" s="1183" t="str">
        <f>Application!M242</f>
        <v>520 Capitol Mall, Suite 150</v>
      </c>
    </row>
    <row r="92" spans="1:57" ht="12.95" customHeight="1">
      <c r="A92" s="1555" t="s">
        <v>2120</v>
      </c>
      <c r="B92" s="1555"/>
      <c r="C92" s="1555"/>
      <c r="D92" s="1555"/>
      <c r="E92" s="1555"/>
      <c r="F92" s="1555"/>
      <c r="G92" s="1555"/>
      <c r="H92" s="1555"/>
      <c r="I92" s="1555"/>
      <c r="J92" s="1555"/>
      <c r="K92" s="1555"/>
      <c r="L92" s="1555"/>
      <c r="M92" s="1555"/>
      <c r="N92" s="1555"/>
      <c r="O92" s="1555"/>
      <c r="P92" s="1555"/>
      <c r="Q92" s="1555"/>
      <c r="R92" s="1555"/>
      <c r="S92" s="1555"/>
      <c r="T92" s="1555"/>
      <c r="U92" s="1555"/>
      <c r="V92" s="1555"/>
      <c r="W92" s="1555"/>
      <c r="X92" s="1555"/>
      <c r="Y92" s="1555"/>
      <c r="Z92" s="1555"/>
      <c r="AA92" s="1555"/>
      <c r="AB92" s="1555"/>
      <c r="AC92" s="1555"/>
      <c r="AD92" s="1555"/>
      <c r="AE92" s="1555"/>
      <c r="AF92" s="1555"/>
      <c r="AG92" s="1555"/>
      <c r="AH92" s="1555"/>
      <c r="AI92" s="1555"/>
      <c r="AJ92" s="1555"/>
      <c r="AK92" s="1555"/>
      <c r="AL92" s="1555"/>
      <c r="AM92" s="1555"/>
      <c r="AN92" s="1555"/>
      <c r="AO92" s="1555"/>
      <c r="AP92" s="1555"/>
      <c r="AQ92" s="1555"/>
      <c r="AR92" s="1555"/>
      <c r="AS92" s="1555"/>
      <c r="AT92" s="1555"/>
      <c r="AU92" s="20"/>
      <c r="AV92" s="20"/>
      <c r="AW92" s="20"/>
      <c r="AX92" s="20"/>
      <c r="AY92" s="20"/>
      <c r="AZ92" s="20"/>
      <c r="BD92" s="1182" t="s">
        <v>2514</v>
      </c>
      <c r="BE92" s="1183" t="str">
        <f>Application!M243</f>
        <v xml:space="preserve">Sacramento </v>
      </c>
    </row>
    <row r="93" spans="1:57" ht="12.95" customHeight="1">
      <c r="A93" s="1555"/>
      <c r="B93" s="1555"/>
      <c r="C93" s="1555"/>
      <c r="D93" s="1555"/>
      <c r="E93" s="1555"/>
      <c r="F93" s="1555"/>
      <c r="G93" s="1555"/>
      <c r="H93" s="1555"/>
      <c r="I93" s="1555"/>
      <c r="J93" s="1555"/>
      <c r="K93" s="1555"/>
      <c r="L93" s="1555"/>
      <c r="M93" s="1555"/>
      <c r="N93" s="1555"/>
      <c r="O93" s="1555"/>
      <c r="P93" s="1555"/>
      <c r="Q93" s="1555"/>
      <c r="R93" s="1555"/>
      <c r="S93" s="1555"/>
      <c r="T93" s="1555"/>
      <c r="U93" s="1555"/>
      <c r="V93" s="1555"/>
      <c r="W93" s="1555"/>
      <c r="X93" s="1555"/>
      <c r="Y93" s="1555"/>
      <c r="Z93" s="1555"/>
      <c r="AA93" s="1555"/>
      <c r="AB93" s="1555"/>
      <c r="AC93" s="1555"/>
      <c r="AD93" s="1555"/>
      <c r="AE93" s="1555"/>
      <c r="AF93" s="1555"/>
      <c r="AG93" s="1555"/>
      <c r="AH93" s="1555"/>
      <c r="AI93" s="1555"/>
      <c r="AJ93" s="1555"/>
      <c r="AK93" s="1555"/>
      <c r="AL93" s="1555"/>
      <c r="AM93" s="1555"/>
      <c r="AN93" s="1555"/>
      <c r="AO93" s="1555"/>
      <c r="AP93" s="1555"/>
      <c r="AQ93" s="1555"/>
      <c r="AR93" s="1555"/>
      <c r="AS93" s="1555"/>
      <c r="AT93" s="1555"/>
      <c r="AU93" s="20"/>
      <c r="AV93" s="20"/>
      <c r="AW93" s="20"/>
      <c r="AX93" s="20"/>
      <c r="AY93" s="20"/>
      <c r="AZ93" s="20"/>
      <c r="BD93" s="1181" t="s">
        <v>2515</v>
      </c>
      <c r="BE93" s="1183" t="str">
        <f>Application!W243</f>
        <v xml:space="preserve">CA </v>
      </c>
    </row>
    <row r="94" spans="1:57" ht="12.95" customHeight="1">
      <c r="A94" s="1555"/>
      <c r="B94" s="1555"/>
      <c r="C94" s="1555"/>
      <c r="D94" s="1555"/>
      <c r="E94" s="1555"/>
      <c r="F94" s="1555"/>
      <c r="G94" s="1555"/>
      <c r="H94" s="1555"/>
      <c r="I94" s="1555"/>
      <c r="J94" s="1555"/>
      <c r="K94" s="1555"/>
      <c r="L94" s="1555"/>
      <c r="M94" s="1555"/>
      <c r="N94" s="1555"/>
      <c r="O94" s="1555"/>
      <c r="P94" s="1555"/>
      <c r="Q94" s="1555"/>
      <c r="R94" s="1555"/>
      <c r="S94" s="1555"/>
      <c r="T94" s="1555"/>
      <c r="U94" s="1555"/>
      <c r="V94" s="1555"/>
      <c r="W94" s="1555"/>
      <c r="X94" s="1555"/>
      <c r="Y94" s="1555"/>
      <c r="Z94" s="1555"/>
      <c r="AA94" s="1555"/>
      <c r="AB94" s="1555"/>
      <c r="AC94" s="1555"/>
      <c r="AD94" s="1555"/>
      <c r="AE94" s="1555"/>
      <c r="AF94" s="1555"/>
      <c r="AG94" s="1555"/>
      <c r="AH94" s="1555"/>
      <c r="AI94" s="1555"/>
      <c r="AJ94" s="1555"/>
      <c r="AK94" s="1555"/>
      <c r="AL94" s="1555"/>
      <c r="AM94" s="1555"/>
      <c r="AN94" s="1555"/>
      <c r="AO94" s="1555"/>
      <c r="AP94" s="1555"/>
      <c r="AQ94" s="1555"/>
      <c r="AR94" s="1555"/>
      <c r="AS94" s="1555"/>
      <c r="AT94" s="1555"/>
      <c r="AU94" s="20"/>
      <c r="AV94" s="20"/>
      <c r="AW94" s="20"/>
      <c r="AX94" s="20"/>
      <c r="AY94" s="20"/>
      <c r="AZ94" s="20"/>
      <c r="BD94" s="1182" t="s">
        <v>2516</v>
      </c>
      <c r="BE94" s="1183">
        <f>Application!AC243</f>
        <v>95814</v>
      </c>
    </row>
    <row r="95" spans="1:57" ht="12.95" customHeight="1">
      <c r="A95" s="1555"/>
      <c r="B95" s="1555"/>
      <c r="C95" s="1555"/>
      <c r="D95" s="1555"/>
      <c r="E95" s="1555"/>
      <c r="F95" s="1555"/>
      <c r="G95" s="1555"/>
      <c r="H95" s="1555"/>
      <c r="I95" s="1555"/>
      <c r="J95" s="1555"/>
      <c r="K95" s="1555"/>
      <c r="L95" s="1555"/>
      <c r="M95" s="1555"/>
      <c r="N95" s="1555"/>
      <c r="O95" s="1555"/>
      <c r="P95" s="1555"/>
      <c r="Q95" s="1555"/>
      <c r="R95" s="1555"/>
      <c r="S95" s="1555"/>
      <c r="T95" s="1555"/>
      <c r="U95" s="1555"/>
      <c r="V95" s="1555"/>
      <c r="W95" s="1555"/>
      <c r="X95" s="1555"/>
      <c r="Y95" s="1555"/>
      <c r="Z95" s="1555"/>
      <c r="AA95" s="1555"/>
      <c r="AB95" s="1555"/>
      <c r="AC95" s="1555"/>
      <c r="AD95" s="1555"/>
      <c r="AE95" s="1555"/>
      <c r="AF95" s="1555"/>
      <c r="AG95" s="1555"/>
      <c r="AH95" s="1555"/>
      <c r="AI95" s="1555"/>
      <c r="AJ95" s="1555"/>
      <c r="AK95" s="1555"/>
      <c r="AL95" s="1555"/>
      <c r="AM95" s="1555"/>
      <c r="AN95" s="1555"/>
      <c r="AO95" s="1555"/>
      <c r="AP95" s="1555"/>
      <c r="AQ95" s="1555"/>
      <c r="AR95" s="1555"/>
      <c r="AS95" s="1555"/>
      <c r="AT95" s="1555"/>
      <c r="AU95" s="20"/>
      <c r="AV95" s="20"/>
      <c r="AW95" s="20"/>
      <c r="AX95" s="20"/>
      <c r="AY95" s="20"/>
      <c r="AZ95" s="20"/>
      <c r="BD95" s="1181" t="s">
        <v>2517</v>
      </c>
      <c r="BE95" s="1183" t="str">
        <f>Application!M244</f>
        <v xml:space="preserve">Mike Kelley </v>
      </c>
    </row>
    <row r="96" spans="1:57" ht="12.95" customHeight="1">
      <c r="A96" s="1555"/>
      <c r="B96" s="1555"/>
      <c r="C96" s="1555"/>
      <c r="D96" s="1555"/>
      <c r="E96" s="1555"/>
      <c r="F96" s="1555"/>
      <c r="G96" s="1555"/>
      <c r="H96" s="1555"/>
      <c r="I96" s="1555"/>
      <c r="J96" s="1555"/>
      <c r="K96" s="1555"/>
      <c r="L96" s="1555"/>
      <c r="M96" s="1555"/>
      <c r="N96" s="1555"/>
      <c r="O96" s="1555"/>
      <c r="P96" s="1555"/>
      <c r="Q96" s="1555"/>
      <c r="R96" s="1555"/>
      <c r="S96" s="1555"/>
      <c r="T96" s="1555"/>
      <c r="U96" s="1555"/>
      <c r="V96" s="1555"/>
      <c r="W96" s="1555"/>
      <c r="X96" s="1555"/>
      <c r="Y96" s="1555"/>
      <c r="Z96" s="1555"/>
      <c r="AA96" s="1555"/>
      <c r="AB96" s="1555"/>
      <c r="AC96" s="1555"/>
      <c r="AD96" s="1555"/>
      <c r="AE96" s="1555"/>
      <c r="AF96" s="1555"/>
      <c r="AG96" s="1555"/>
      <c r="AH96" s="1555"/>
      <c r="AI96" s="1555"/>
      <c r="AJ96" s="1555"/>
      <c r="AK96" s="1555"/>
      <c r="AL96" s="1555"/>
      <c r="AM96" s="1555"/>
      <c r="AN96" s="1555"/>
      <c r="AO96" s="1555"/>
      <c r="AP96" s="1555"/>
      <c r="AQ96" s="1555"/>
      <c r="AR96" s="1555"/>
      <c r="AS96" s="1555"/>
      <c r="AT96" s="1555"/>
      <c r="AU96" s="20"/>
      <c r="AV96" s="20"/>
      <c r="AW96" s="20"/>
      <c r="AX96" s="20"/>
      <c r="AY96" s="20"/>
      <c r="AZ96" s="20"/>
      <c r="BD96" s="1182" t="s">
        <v>2518</v>
      </c>
      <c r="BE96" s="1183" t="str">
        <f>Application!M246</f>
        <v>mikek@westdv.com</v>
      </c>
    </row>
    <row r="97" spans="1:57" ht="12.95" customHeight="1">
      <c r="A97" s="1555"/>
      <c r="B97" s="1555"/>
      <c r="C97" s="1555"/>
      <c r="D97" s="1555"/>
      <c r="E97" s="1555"/>
      <c r="F97" s="1555"/>
      <c r="G97" s="1555"/>
      <c r="H97" s="1555"/>
      <c r="I97" s="1555"/>
      <c r="J97" s="1555"/>
      <c r="K97" s="1555"/>
      <c r="L97" s="1555"/>
      <c r="M97" s="1555"/>
      <c r="N97" s="1555"/>
      <c r="O97" s="1555"/>
      <c r="P97" s="1555"/>
      <c r="Q97" s="1555"/>
      <c r="R97" s="1555"/>
      <c r="S97" s="1555"/>
      <c r="T97" s="1555"/>
      <c r="U97" s="1555"/>
      <c r="V97" s="1555"/>
      <c r="W97" s="1555"/>
      <c r="X97" s="1555"/>
      <c r="Y97" s="1555"/>
      <c r="Z97" s="1555"/>
      <c r="AA97" s="1555"/>
      <c r="AB97" s="1555"/>
      <c r="AC97" s="1555"/>
      <c r="AD97" s="1555"/>
      <c r="AE97" s="1555"/>
      <c r="AF97" s="1555"/>
      <c r="AG97" s="1555"/>
      <c r="AH97" s="1555"/>
      <c r="AI97" s="1555"/>
      <c r="AJ97" s="1555"/>
      <c r="AK97" s="1555"/>
      <c r="AL97" s="1555"/>
      <c r="AM97" s="1555"/>
      <c r="AN97" s="1555"/>
      <c r="AO97" s="1555"/>
      <c r="AP97" s="1555"/>
      <c r="AQ97" s="1555"/>
      <c r="AR97" s="1555"/>
      <c r="AS97" s="1555"/>
      <c r="AT97" s="1555"/>
      <c r="AU97" s="20"/>
      <c r="AV97" s="20"/>
      <c r="AW97" s="20"/>
      <c r="AX97" s="20"/>
      <c r="AY97" s="20"/>
      <c r="AZ97" s="20"/>
      <c r="BD97" s="1181" t="s">
        <v>2519</v>
      </c>
      <c r="BE97" s="1183" t="str">
        <f>Application!M257</f>
        <v>mikek@westdv.com</v>
      </c>
    </row>
    <row r="98" spans="1:57" ht="12.95" customHeight="1">
      <c r="A98" s="1555"/>
      <c r="B98" s="1555"/>
      <c r="C98" s="1555"/>
      <c r="D98" s="1555"/>
      <c r="E98" s="1555"/>
      <c r="F98" s="1555"/>
      <c r="G98" s="1555"/>
      <c r="H98" s="1555"/>
      <c r="I98" s="1555"/>
      <c r="J98" s="1555"/>
      <c r="K98" s="1555"/>
      <c r="L98" s="1555"/>
      <c r="M98" s="1555"/>
      <c r="N98" s="1555"/>
      <c r="O98" s="1555"/>
      <c r="P98" s="1555"/>
      <c r="Q98" s="1555"/>
      <c r="R98" s="1555"/>
      <c r="S98" s="1555"/>
      <c r="T98" s="1555"/>
      <c r="U98" s="1555"/>
      <c r="V98" s="1555"/>
      <c r="W98" s="1555"/>
      <c r="X98" s="1555"/>
      <c r="Y98" s="1555"/>
      <c r="Z98" s="1555"/>
      <c r="AA98" s="1555"/>
      <c r="AB98" s="1555"/>
      <c r="AC98" s="1555"/>
      <c r="AD98" s="1555"/>
      <c r="AE98" s="1555"/>
      <c r="AF98" s="1555"/>
      <c r="AG98" s="1555"/>
      <c r="AH98" s="1555"/>
      <c r="AI98" s="1555"/>
      <c r="AJ98" s="1555"/>
      <c r="AK98" s="1555"/>
      <c r="AL98" s="1555"/>
      <c r="AM98" s="1555"/>
      <c r="AN98" s="1555"/>
      <c r="AO98" s="1555"/>
      <c r="AP98" s="1555"/>
      <c r="AQ98" s="1555"/>
      <c r="AR98" s="1555"/>
      <c r="AS98" s="1555"/>
      <c r="AT98" s="1555"/>
      <c r="AU98" s="20"/>
      <c r="AV98" s="20"/>
      <c r="AW98" s="20"/>
      <c r="AX98" s="20"/>
      <c r="AY98" s="20"/>
      <c r="AZ98" s="20"/>
      <c r="BD98" s="1182" t="s">
        <v>2520</v>
      </c>
      <c r="BE98" s="1183" t="str">
        <f>Application!M265</f>
        <v>chris@centralvalleycoalition.com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2521</v>
      </c>
      <c r="BE99" s="1183">
        <f>Application!M273</f>
        <v>0</v>
      </c>
    </row>
    <row r="100" spans="1:57" ht="12.95" customHeight="1">
      <c r="A100" s="1573" t="s">
        <v>2121</v>
      </c>
      <c r="B100" s="1573"/>
      <c r="C100" s="1573"/>
      <c r="D100" s="1573"/>
      <c r="E100" s="1573"/>
      <c r="F100" s="1573"/>
      <c r="G100" s="1573"/>
      <c r="H100" s="1573"/>
      <c r="I100" s="1573"/>
      <c r="J100" s="1573"/>
      <c r="K100" s="1573"/>
      <c r="L100" s="1573"/>
      <c r="M100" s="1573"/>
      <c r="N100" s="1573"/>
      <c r="O100" s="1573"/>
      <c r="P100" s="1573"/>
      <c r="Q100" s="1573"/>
      <c r="R100" s="1573"/>
      <c r="S100" s="1573"/>
      <c r="T100" s="1573"/>
      <c r="U100" s="1573"/>
      <c r="V100" s="1573"/>
      <c r="W100" s="1573"/>
      <c r="X100" s="1573"/>
      <c r="Y100" s="1573"/>
      <c r="Z100" s="1573"/>
      <c r="AA100" s="1573"/>
      <c r="AB100" s="1573"/>
      <c r="AC100" s="1573"/>
      <c r="AD100" s="1573"/>
      <c r="AE100" s="1573"/>
      <c r="AF100" s="1573"/>
      <c r="AG100" s="1573"/>
      <c r="AH100" s="1573"/>
      <c r="AI100" s="1573"/>
      <c r="AJ100" s="1573"/>
      <c r="AK100" s="1573"/>
      <c r="AL100" s="1573"/>
      <c r="AM100" s="1573"/>
      <c r="AN100" s="1573"/>
      <c r="AO100" s="1573"/>
      <c r="AP100" s="1573"/>
      <c r="AQ100" s="1573"/>
      <c r="AR100" s="1573"/>
      <c r="AS100" s="1573"/>
      <c r="AT100" s="1573"/>
      <c r="AU100" s="20"/>
      <c r="AV100" s="20"/>
      <c r="AW100" s="20"/>
      <c r="AX100" s="20"/>
      <c r="AY100" s="20"/>
      <c r="AZ100" s="20"/>
      <c r="BD100" s="1182" t="s">
        <v>2522</v>
      </c>
      <c r="BE100" s="1183" t="str">
        <f>Application!L288</f>
        <v>sstrain@sabelhauslaw.com</v>
      </c>
    </row>
    <row r="101" spans="1:57" ht="12.95" customHeight="1">
      <c r="A101" s="1573"/>
      <c r="B101" s="1573"/>
      <c r="C101" s="1573"/>
      <c r="D101" s="1573"/>
      <c r="E101" s="1573"/>
      <c r="F101" s="1573"/>
      <c r="G101" s="1573"/>
      <c r="H101" s="1573"/>
      <c r="I101" s="1573"/>
      <c r="J101" s="1573"/>
      <c r="K101" s="1573"/>
      <c r="L101" s="1573"/>
      <c r="M101" s="1573"/>
      <c r="N101" s="1573"/>
      <c r="O101" s="1573"/>
      <c r="P101" s="1573"/>
      <c r="Q101" s="1573"/>
      <c r="R101" s="1573"/>
      <c r="S101" s="1573"/>
      <c r="T101" s="1573"/>
      <c r="U101" s="1573"/>
      <c r="V101" s="1573"/>
      <c r="W101" s="1573"/>
      <c r="X101" s="1573"/>
      <c r="Y101" s="1573"/>
      <c r="Z101" s="1573"/>
      <c r="AA101" s="1573"/>
      <c r="AB101" s="1573"/>
      <c r="AC101" s="1573"/>
      <c r="AD101" s="1573"/>
      <c r="AE101" s="1573"/>
      <c r="AF101" s="1573"/>
      <c r="AG101" s="1573"/>
      <c r="AH101" s="1573"/>
      <c r="AI101" s="1573"/>
      <c r="AJ101" s="1573"/>
      <c r="AK101" s="1573"/>
      <c r="AL101" s="1573"/>
      <c r="AM101" s="1573"/>
      <c r="AN101" s="1573"/>
      <c r="AO101" s="1573"/>
      <c r="AP101" s="1573"/>
      <c r="AQ101" s="1573"/>
      <c r="AR101" s="1573"/>
      <c r="AS101" s="1573"/>
      <c r="AT101" s="1573"/>
      <c r="AU101" s="20"/>
      <c r="AV101" s="20"/>
      <c r="AW101" s="20"/>
      <c r="AX101" s="20"/>
      <c r="AY101" s="20"/>
      <c r="AZ101" s="20"/>
      <c r="BD101" s="3" t="s">
        <v>2527</v>
      </c>
      <c r="BE101">
        <f>'Sources and Uses Budget'!C105</f>
        <v>33346227</v>
      </c>
    </row>
    <row r="102" spans="1:57" ht="12.95" customHeight="1">
      <c r="A102" s="1573"/>
      <c r="B102" s="1573"/>
      <c r="C102" s="1573"/>
      <c r="D102" s="1573"/>
      <c r="E102" s="1573"/>
      <c r="F102" s="1573"/>
      <c r="G102" s="1573"/>
      <c r="H102" s="1573"/>
      <c r="I102" s="1573"/>
      <c r="J102" s="1573"/>
      <c r="K102" s="1573"/>
      <c r="L102" s="1573"/>
      <c r="M102" s="1573"/>
      <c r="N102" s="1573"/>
      <c r="O102" s="1573"/>
      <c r="P102" s="1573"/>
      <c r="Q102" s="1573"/>
      <c r="R102" s="1573"/>
      <c r="S102" s="1573"/>
      <c r="T102" s="1573"/>
      <c r="U102" s="1573"/>
      <c r="V102" s="1573"/>
      <c r="W102" s="1573"/>
      <c r="X102" s="1573"/>
      <c r="Y102" s="1573"/>
      <c r="Z102" s="1573"/>
      <c r="AA102" s="1573"/>
      <c r="AB102" s="1573"/>
      <c r="AC102" s="1573"/>
      <c r="AD102" s="1573"/>
      <c r="AE102" s="1573"/>
      <c r="AF102" s="1573"/>
      <c r="AG102" s="1573"/>
      <c r="AH102" s="1573"/>
      <c r="AI102" s="1573"/>
      <c r="AJ102" s="1573"/>
      <c r="AK102" s="1573"/>
      <c r="AL102" s="1573"/>
      <c r="AM102" s="1573"/>
      <c r="AN102" s="1573"/>
      <c r="AO102" s="1573"/>
      <c r="AP102" s="1573"/>
      <c r="AQ102" s="1573"/>
      <c r="AR102" s="1573"/>
      <c r="AS102" s="1573"/>
      <c r="AT102" s="1573"/>
      <c r="AU102" s="20"/>
      <c r="AV102" s="20"/>
      <c r="AW102" s="20"/>
      <c r="AX102" s="20"/>
      <c r="AY102" s="20"/>
      <c r="AZ102" s="20"/>
      <c r="BD102" s="3" t="s">
        <v>2528</v>
      </c>
      <c r="BE102" t="b">
        <f>T197="Yes"</f>
        <v>1</v>
      </c>
    </row>
    <row r="103" spans="1:57" ht="12.95" customHeight="1">
      <c r="A103" s="1573"/>
      <c r="B103" s="1573"/>
      <c r="C103" s="1573"/>
      <c r="D103" s="1573"/>
      <c r="E103" s="1573"/>
      <c r="F103" s="1573"/>
      <c r="G103" s="1573"/>
      <c r="H103" s="1573"/>
      <c r="I103" s="1573"/>
      <c r="J103" s="1573"/>
      <c r="K103" s="1573"/>
      <c r="L103" s="1573"/>
      <c r="M103" s="1573"/>
      <c r="N103" s="1573"/>
      <c r="O103" s="1573"/>
      <c r="P103" s="1573"/>
      <c r="Q103" s="1573"/>
      <c r="R103" s="1573"/>
      <c r="S103" s="1573"/>
      <c r="T103" s="1573"/>
      <c r="U103" s="1573"/>
      <c r="V103" s="1573"/>
      <c r="W103" s="1573"/>
      <c r="X103" s="1573"/>
      <c r="Y103" s="1573"/>
      <c r="Z103" s="1573"/>
      <c r="AA103" s="1573"/>
      <c r="AB103" s="1573"/>
      <c r="AC103" s="1573"/>
      <c r="AD103" s="1573"/>
      <c r="AE103" s="1573"/>
      <c r="AF103" s="1573"/>
      <c r="AG103" s="1573"/>
      <c r="AH103" s="1573"/>
      <c r="AI103" s="1573"/>
      <c r="AJ103" s="1573"/>
      <c r="AK103" s="1573"/>
      <c r="AL103" s="1573"/>
      <c r="AM103" s="1573"/>
      <c r="AN103" s="1573"/>
      <c r="AO103" s="1573"/>
      <c r="AP103" s="1573"/>
      <c r="AQ103" s="1573"/>
      <c r="AR103" s="1573"/>
      <c r="AS103" s="1573"/>
      <c r="AT103" s="1573"/>
      <c r="AU103" s="20"/>
      <c r="AV103" s="20"/>
      <c r="AW103" s="20"/>
      <c r="AX103" s="20"/>
      <c r="AY103" s="20"/>
      <c r="BD103" t="s">
        <v>2131</v>
      </c>
      <c r="BE103" s="1183" t="b">
        <f>T199="Yes"</f>
        <v>1</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2539</v>
      </c>
      <c r="BE104" s="1183" t="b">
        <f>T200="Yes"</f>
        <v>0</v>
      </c>
    </row>
    <row r="105" spans="1:57" ht="12.95" customHeight="1">
      <c r="A105" s="1573" t="s">
        <v>2122</v>
      </c>
      <c r="B105" s="1573"/>
      <c r="C105" s="1573"/>
      <c r="D105" s="1573"/>
      <c r="E105" s="1573"/>
      <c r="F105" s="1573"/>
      <c r="G105" s="1573"/>
      <c r="H105" s="1573"/>
      <c r="I105" s="1573"/>
      <c r="J105" s="1573"/>
      <c r="K105" s="1573"/>
      <c r="L105" s="1573"/>
      <c r="M105" s="1573"/>
      <c r="N105" s="1573"/>
      <c r="O105" s="1573"/>
      <c r="P105" s="1573"/>
      <c r="Q105" s="1573"/>
      <c r="R105" s="1573"/>
      <c r="S105" s="1573"/>
      <c r="T105" s="1573"/>
      <c r="U105" s="1573"/>
      <c r="V105" s="1573"/>
      <c r="W105" s="1573"/>
      <c r="X105" s="1573"/>
      <c r="Y105" s="1573"/>
      <c r="Z105" s="1573"/>
      <c r="AA105" s="1573"/>
      <c r="AB105" s="1573"/>
      <c r="AC105" s="1573"/>
      <c r="AD105" s="1573"/>
      <c r="AE105" s="1573"/>
      <c r="AF105" s="1573"/>
      <c r="AG105" s="1573"/>
      <c r="AH105" s="1573"/>
      <c r="AI105" s="1573"/>
      <c r="AJ105" s="1573"/>
      <c r="AK105" s="1573"/>
      <c r="AL105" s="1573"/>
      <c r="AM105" s="1573"/>
      <c r="AN105" s="1573"/>
      <c r="AO105" s="1573"/>
      <c r="AP105" s="1573"/>
      <c r="AQ105" s="1573"/>
      <c r="AR105" s="1573"/>
      <c r="AS105" s="1573"/>
      <c r="AT105" s="1573"/>
      <c r="AU105" s="20"/>
      <c r="AV105" s="20"/>
      <c r="AW105" s="20"/>
      <c r="AX105" s="20"/>
      <c r="AY105" s="20"/>
      <c r="BD105" s="3" t="s">
        <v>2544</v>
      </c>
      <c r="BE105" s="1183" t="b">
        <f>V224="Yes"</f>
        <v>0</v>
      </c>
    </row>
    <row r="106" spans="1:57" ht="12.95" customHeight="1">
      <c r="A106" s="1573"/>
      <c r="B106" s="1573"/>
      <c r="C106" s="1573"/>
      <c r="D106" s="1573"/>
      <c r="E106" s="1573"/>
      <c r="F106" s="1573"/>
      <c r="G106" s="1573"/>
      <c r="H106" s="1573"/>
      <c r="I106" s="1573"/>
      <c r="J106" s="1573"/>
      <c r="K106" s="1573"/>
      <c r="L106" s="1573"/>
      <c r="M106" s="1573"/>
      <c r="N106" s="1573"/>
      <c r="O106" s="1573"/>
      <c r="P106" s="1573"/>
      <c r="Q106" s="1573"/>
      <c r="R106" s="1573"/>
      <c r="S106" s="1573"/>
      <c r="T106" s="1573"/>
      <c r="U106" s="1573"/>
      <c r="V106" s="1573"/>
      <c r="W106" s="1573"/>
      <c r="X106" s="1573"/>
      <c r="Y106" s="1573"/>
      <c r="Z106" s="1573"/>
      <c r="AA106" s="1573"/>
      <c r="AB106" s="1573"/>
      <c r="AC106" s="1573"/>
      <c r="AD106" s="1573"/>
      <c r="AE106" s="1573"/>
      <c r="AF106" s="1573"/>
      <c r="AG106" s="1573"/>
      <c r="AH106" s="1573"/>
      <c r="AI106" s="1573"/>
      <c r="AJ106" s="1573"/>
      <c r="AK106" s="1573"/>
      <c r="AL106" s="1573"/>
      <c r="AM106" s="1573"/>
      <c r="AN106" s="1573"/>
      <c r="AO106" s="1573"/>
      <c r="AP106" s="1573"/>
      <c r="AQ106" s="1573"/>
      <c r="AR106" s="1573"/>
      <c r="AS106" s="1573"/>
      <c r="AT106" s="1573"/>
      <c r="AU106" s="20"/>
      <c r="AV106" s="20"/>
      <c r="AW106" s="20"/>
      <c r="AX106" s="20"/>
      <c r="AY106" s="20"/>
      <c r="BD106" s="3" t="s">
        <v>2545</v>
      </c>
      <c r="BE106" s="1183" t="b">
        <f t="shared" ref="BE106:BE110" si="0">V225="Yes"</f>
        <v>1</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2546</v>
      </c>
      <c r="BE107" s="1183" t="b">
        <f t="shared" si="0"/>
        <v>0</v>
      </c>
    </row>
    <row r="108" spans="1:57" ht="12.95" customHeight="1">
      <c r="A108" s="517" t="s">
        <v>2123</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2547</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2548</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2549</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58"/>
      <c r="H113" s="1558"/>
      <c r="I113" s="3" t="s">
        <v>182</v>
      </c>
      <c r="L113" s="1558"/>
      <c r="M113" s="1558"/>
      <c r="N113" s="1558"/>
      <c r="O113" s="1558"/>
      <c r="P113" s="1579" t="s">
        <v>2612</v>
      </c>
      <c r="Q113" s="1579"/>
      <c r="R113" s="1579"/>
      <c r="S113" s="1579"/>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59"/>
      <c r="D115" s="1559"/>
      <c r="E115" s="1559"/>
      <c r="F115" s="1559"/>
      <c r="G115" s="1559"/>
      <c r="H115" s="1559"/>
      <c r="I115" s="1559"/>
      <c r="J115" s="1559"/>
      <c r="K115" s="1559"/>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558"/>
      <c r="Z117" s="1558"/>
      <c r="AA117" s="1558"/>
      <c r="AB117" s="1558"/>
      <c r="AC117" s="1558"/>
      <c r="AD117" s="1558"/>
      <c r="AE117" s="1558"/>
      <c r="AF117" s="1558"/>
      <c r="AG117" s="1558"/>
      <c r="AH117" s="1558"/>
      <c r="AI117" s="1558"/>
      <c r="AJ117" s="1558"/>
      <c r="AK117" s="1558"/>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58"/>
      <c r="Z120" s="1558"/>
      <c r="AA120" s="1558"/>
      <c r="AB120" s="1558"/>
      <c r="AC120" s="1558"/>
      <c r="AD120" s="1558"/>
      <c r="AE120" s="1558"/>
      <c r="AF120" s="1558"/>
      <c r="AG120" s="1558"/>
      <c r="AH120" s="1558"/>
      <c r="AI120" s="1558"/>
      <c r="AJ120" s="1558"/>
      <c r="AK120" s="1558"/>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709" t="s">
        <v>469</v>
      </c>
      <c r="CV122" s="1710"/>
      <c r="CW122" s="14"/>
      <c r="CX122" s="14" t="s">
        <v>634</v>
      </c>
      <c r="CY122" s="14"/>
      <c r="CZ122" s="14"/>
      <c r="DA122" s="14"/>
      <c r="DB122" s="14"/>
      <c r="DC122" s="14"/>
      <c r="DD122" s="14"/>
      <c r="DE122" s="14"/>
      <c r="DF122" s="14"/>
      <c r="DG122" s="1706" t="str">
        <f>T189</f>
        <v>Mono</v>
      </c>
      <c r="DH122" s="1707"/>
      <c r="DI122" s="1707"/>
      <c r="DJ122" s="1707"/>
      <c r="DK122" s="1707"/>
      <c r="DL122" s="1707"/>
      <c r="DM122" s="1708"/>
    </row>
    <row r="123" spans="1:117" ht="12.95" customHeight="1">
      <c r="A123" s="3"/>
      <c r="B123" s="3"/>
      <c r="T123" s="3"/>
      <c r="U123" s="3"/>
      <c r="V123" s="3"/>
      <c r="W123" s="3"/>
      <c r="X123" s="3"/>
      <c r="Y123" s="1558"/>
      <c r="Z123" s="1558"/>
      <c r="AA123" s="1558"/>
      <c r="AB123" s="1558"/>
      <c r="AC123" s="1558"/>
      <c r="AD123" s="1558"/>
      <c r="AE123" s="1558"/>
      <c r="AF123" s="1558"/>
      <c r="AG123" s="1558"/>
      <c r="AH123" s="1558"/>
      <c r="AI123" s="1558"/>
      <c r="AJ123" s="1558"/>
      <c r="AK123" s="1558"/>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464"/>
      <c r="G150" s="1464"/>
      <c r="H150" s="1464"/>
      <c r="I150" s="1464"/>
      <c r="J150" s="1464"/>
      <c r="K150" s="1464"/>
      <c r="L150" s="1464"/>
      <c r="M150" s="1464"/>
      <c r="N150" s="1464"/>
      <c r="O150" s="1464"/>
      <c r="P150" s="1464"/>
      <c r="Q150" s="1464"/>
      <c r="R150" s="1464"/>
      <c r="S150" s="1464"/>
      <c r="T150" s="146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2398</v>
      </c>
    </row>
    <row r="152" spans="1:108" ht="12.95" customHeight="1">
      <c r="BM152">
        <v>4</v>
      </c>
      <c r="BN152" s="3" t="s">
        <v>2397</v>
      </c>
    </row>
    <row r="153" spans="1:108" ht="12.95" customHeight="1">
      <c r="D153" t="s">
        <v>645</v>
      </c>
      <c r="O153" s="1344" t="s">
        <v>2645</v>
      </c>
      <c r="P153" s="1344"/>
      <c r="Q153" s="1344"/>
      <c r="R153" s="1344"/>
      <c r="S153" s="1344"/>
      <c r="T153" s="1344"/>
      <c r="U153" s="1344"/>
      <c r="V153" s="1344"/>
      <c r="W153" s="1344"/>
      <c r="X153" s="1344"/>
      <c r="Y153" s="1344"/>
      <c r="Z153" s="1344"/>
      <c r="AA153" s="1344"/>
      <c r="AB153" s="1344"/>
      <c r="AC153" s="1344"/>
      <c r="AD153" s="1344"/>
      <c r="AE153" s="1344"/>
      <c r="AF153" s="1344"/>
      <c r="AG153" s="1344"/>
      <c r="AH153" s="1344"/>
      <c r="BM153">
        <v>5</v>
      </c>
      <c r="BN153" s="3" t="s">
        <v>2399</v>
      </c>
      <c r="CR153" s="31" t="s">
        <v>2641</v>
      </c>
      <c r="CS153" s="32"/>
      <c r="CT153" s="32"/>
      <c r="CU153" s="32"/>
      <c r="CV153" s="32"/>
      <c r="CW153" s="32"/>
      <c r="CX153" s="14"/>
      <c r="CY153" s="31" t="s">
        <v>2642</v>
      </c>
      <c r="CZ153" s="14"/>
      <c r="DA153" s="14"/>
      <c r="DB153" s="14"/>
      <c r="DC153" s="14"/>
      <c r="DD153" s="14"/>
    </row>
    <row r="154" spans="1:108" ht="12.95" customHeight="1">
      <c r="D154" s="303" t="s">
        <v>439</v>
      </c>
      <c r="O154" s="1345" t="s">
        <v>2646</v>
      </c>
      <c r="P154" s="1345"/>
      <c r="Q154" s="1345"/>
      <c r="R154" s="1345"/>
      <c r="S154" s="1345"/>
      <c r="T154" s="1345"/>
      <c r="U154" s="1345"/>
      <c r="V154" s="1345"/>
      <c r="W154" s="1345"/>
      <c r="X154" s="1345"/>
      <c r="Y154" s="1345"/>
      <c r="Z154" s="1345"/>
      <c r="AA154" s="1345"/>
      <c r="AB154" s="1345"/>
      <c r="AC154" s="1345"/>
      <c r="AD154" s="1345"/>
      <c r="AE154" s="1345"/>
      <c r="AF154" s="1345"/>
      <c r="AG154" s="1345"/>
      <c r="AH154" s="1345"/>
      <c r="BM154">
        <v>6</v>
      </c>
      <c r="BN154" s="3" t="s">
        <v>2400</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569" t="s">
        <v>440</v>
      </c>
      <c r="P155" s="1569"/>
      <c r="Q155" s="1569"/>
      <c r="R155" s="1569"/>
      <c r="S155" s="1569"/>
      <c r="T155" s="1569"/>
      <c r="U155" s="1569"/>
      <c r="V155" s="1569"/>
      <c r="W155" s="1569"/>
      <c r="X155" s="1569"/>
      <c r="Y155" s="1569"/>
      <c r="Z155" s="1569"/>
      <c r="AA155" s="1569"/>
      <c r="AB155" s="1569"/>
      <c r="AC155" s="1569"/>
      <c r="AD155" s="1569"/>
      <c r="AE155" s="1569"/>
      <c r="AF155" s="1569"/>
      <c r="AG155" s="1569"/>
      <c r="AH155" s="1569"/>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484" t="s">
        <v>2647</v>
      </c>
      <c r="P156" s="1484"/>
      <c r="Q156" s="1484"/>
      <c r="R156" s="1484"/>
      <c r="S156" s="1484"/>
      <c r="T156" s="1484"/>
      <c r="U156" s="1484"/>
      <c r="V156" s="1484"/>
      <c r="W156" s="1484"/>
      <c r="X156" s="1484"/>
      <c r="Y156" s="1484"/>
      <c r="Z156" s="1484"/>
      <c r="AA156" s="1484"/>
      <c r="AB156" s="1484"/>
      <c r="AC156" s="1484"/>
      <c r="AD156" s="1484"/>
      <c r="AE156" s="1484"/>
      <c r="AF156" s="1484"/>
      <c r="AG156" s="1484"/>
      <c r="AH156" s="1484"/>
      <c r="BT156" t="s">
        <v>307</v>
      </c>
      <c r="CB156" s="195" t="s">
        <v>2537</v>
      </c>
      <c r="CC156" s="196"/>
      <c r="CD156" s="196"/>
      <c r="CE156" s="196"/>
      <c r="CF156" s="196"/>
      <c r="CG156" s="196"/>
      <c r="CH156" s="196"/>
      <c r="CI156" s="3"/>
      <c r="CJ156" s="195" t="s">
        <v>2535</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344" t="s">
        <v>2648</v>
      </c>
      <c r="P157" s="1545"/>
      <c r="Q157" s="1545"/>
      <c r="R157" s="1545"/>
      <c r="S157" s="1545"/>
      <c r="T157" s="1545"/>
      <c r="U157" s="1545"/>
      <c r="V157" s="1545"/>
      <c r="W157" s="1545"/>
      <c r="X157" s="1545"/>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1906</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76">
        <v>93546</v>
      </c>
      <c r="P158" s="1576"/>
      <c r="Q158" s="1576"/>
      <c r="R158" s="1576"/>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82" t="s">
        <v>2649</v>
      </c>
      <c r="P159" s="1582"/>
      <c r="Q159" s="1582"/>
      <c r="R159" s="1582"/>
      <c r="S159" s="1582"/>
      <c r="T159" s="1582"/>
      <c r="V159" s="97" t="s">
        <v>271</v>
      </c>
      <c r="W159" s="1577"/>
      <c r="X159" s="1577"/>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582" t="s">
        <v>2650</v>
      </c>
      <c r="P160" s="1582"/>
      <c r="Q160" s="1582"/>
      <c r="R160" s="1582"/>
      <c r="S160" s="1582"/>
      <c r="T160" s="1582"/>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2.95" customHeight="1">
      <c r="D161" t="s">
        <v>318</v>
      </c>
      <c r="O161" s="1551" t="s">
        <v>2739</v>
      </c>
      <c r="P161" s="1551"/>
      <c r="Q161" s="1551"/>
      <c r="R161" s="1551"/>
      <c r="S161" s="1551"/>
      <c r="T161" s="1551"/>
      <c r="U161" s="1551"/>
      <c r="V161" s="1551"/>
      <c r="W161" s="1551"/>
      <c r="X161" s="1551"/>
      <c r="Y161" s="1551"/>
      <c r="Z161" s="1551"/>
      <c r="AA161" s="1551"/>
      <c r="AB161" s="1551"/>
      <c r="AC161" s="1551"/>
      <c r="AD161" s="1551"/>
      <c r="AE161" s="1551"/>
      <c r="AF161" s="1551"/>
      <c r="AG161" s="1551"/>
      <c r="AH161" s="1551"/>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2.95" customHeight="1">
      <c r="C164" s="27"/>
      <c r="D164" s="1560" t="s">
        <v>2172</v>
      </c>
      <c r="E164" s="1560"/>
      <c r="F164" s="1560"/>
      <c r="G164" s="1560"/>
      <c r="H164" s="1560"/>
      <c r="I164" s="1560"/>
      <c r="J164" s="1560"/>
      <c r="K164" s="1560"/>
      <c r="L164" s="1560"/>
      <c r="M164" s="1560"/>
      <c r="N164" s="1560"/>
      <c r="O164" s="1560"/>
      <c r="P164" s="1560"/>
      <c r="Q164" s="1560"/>
      <c r="R164" s="1560"/>
      <c r="S164" s="1560"/>
      <c r="T164" s="1560"/>
      <c r="U164" s="1560"/>
      <c r="V164" s="1560"/>
      <c r="W164" s="1560"/>
      <c r="X164" s="1560"/>
      <c r="Y164" s="1560"/>
      <c r="Z164" s="1560"/>
      <c r="AA164" s="1560"/>
      <c r="AB164" s="1560"/>
      <c r="AC164" s="1560"/>
      <c r="AD164" s="1560"/>
      <c r="AE164" s="1560"/>
      <c r="AF164" s="1560"/>
      <c r="AG164" s="1560"/>
      <c r="AH164" s="1560"/>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2.95" customHeight="1">
      <c r="A169" s="1548" t="s">
        <v>539</v>
      </c>
      <c r="B169" s="1548"/>
      <c r="C169" s="1548"/>
      <c r="D169" s="1548"/>
      <c r="E169" s="1548"/>
      <c r="F169" s="1548"/>
      <c r="G169" s="1548"/>
      <c r="H169" s="1548"/>
      <c r="I169" s="1548"/>
      <c r="J169" s="1548"/>
      <c r="K169" s="1548"/>
      <c r="L169" s="1548"/>
      <c r="M169" s="1548"/>
      <c r="N169" s="1548"/>
      <c r="O169" s="1548"/>
      <c r="P169" s="1548"/>
      <c r="Q169" s="1548"/>
      <c r="R169" s="1548"/>
      <c r="S169" s="1548"/>
      <c r="T169" s="1548"/>
      <c r="U169" s="1548"/>
      <c r="V169" s="1548"/>
      <c r="W169" s="1548"/>
      <c r="X169" s="1548"/>
      <c r="Y169" s="1548"/>
      <c r="Z169" s="1548"/>
      <c r="AA169" s="1548"/>
      <c r="AB169" s="1548"/>
      <c r="AC169" s="1548"/>
      <c r="AD169" s="1548"/>
      <c r="AE169" s="1548"/>
      <c r="AF169" s="1548"/>
      <c r="AG169" s="1548"/>
      <c r="AH169" s="1548"/>
      <c r="AI169" s="1548"/>
      <c r="AJ169" s="1548"/>
      <c r="AK169" s="1548"/>
      <c r="AL169" s="1548"/>
      <c r="AM169" s="1548"/>
      <c r="AN169" s="1548"/>
      <c r="AO169" s="1548"/>
      <c r="AP169" s="1548"/>
      <c r="AQ169" s="1548"/>
      <c r="AR169" s="1548"/>
      <c r="AS169" s="1548"/>
      <c r="AT169" s="1548"/>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2.95" customHeight="1">
      <c r="A170" s="1548"/>
      <c r="B170" s="1548"/>
      <c r="C170" s="1548"/>
      <c r="D170" s="1548"/>
      <c r="E170" s="1548"/>
      <c r="F170" s="1548"/>
      <c r="G170" s="1548"/>
      <c r="H170" s="1548"/>
      <c r="I170" s="1548"/>
      <c r="J170" s="1548"/>
      <c r="K170" s="1548"/>
      <c r="L170" s="1548"/>
      <c r="M170" s="1548"/>
      <c r="N170" s="1548"/>
      <c r="O170" s="1548"/>
      <c r="P170" s="1548"/>
      <c r="Q170" s="1548"/>
      <c r="R170" s="1548"/>
      <c r="S170" s="1548"/>
      <c r="T170" s="1548"/>
      <c r="U170" s="1548"/>
      <c r="V170" s="1548"/>
      <c r="W170" s="1548"/>
      <c r="X170" s="1548"/>
      <c r="Y170" s="1548"/>
      <c r="Z170" s="1548"/>
      <c r="AA170" s="1548"/>
      <c r="AB170" s="1548"/>
      <c r="AC170" s="1548"/>
      <c r="AD170" s="1548"/>
      <c r="AE170" s="1548"/>
      <c r="AF170" s="1548"/>
      <c r="AG170" s="1548"/>
      <c r="AH170" s="1548"/>
      <c r="AI170" s="1548"/>
      <c r="AJ170" s="1548"/>
      <c r="AK170" s="1548"/>
      <c r="AL170" s="1548"/>
      <c r="AM170" s="1548"/>
      <c r="AN170" s="1548"/>
      <c r="AO170" s="1548"/>
      <c r="AP170" s="1548"/>
      <c r="AQ170" s="1548"/>
      <c r="AR170" s="1548"/>
      <c r="AS170" s="1548"/>
      <c r="AT170" s="1548"/>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2.95" customHeight="1">
      <c r="C173" s="24"/>
      <c r="D173" t="s">
        <v>321</v>
      </c>
      <c r="J173" s="1583" t="s">
        <v>371</v>
      </c>
      <c r="K173" s="1583"/>
      <c r="L173" s="1583"/>
      <c r="M173" s="1583"/>
      <c r="N173" s="1583"/>
      <c r="O173" s="1583"/>
      <c r="P173" s="1583"/>
      <c r="Q173" s="1583"/>
      <c r="R173" s="1583"/>
      <c r="S173" s="1583"/>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2.95" customHeight="1">
      <c r="C174" s="24"/>
      <c r="D174" s="3" t="s">
        <v>1202</v>
      </c>
      <c r="J174" s="1484" t="s">
        <v>2058</v>
      </c>
      <c r="K174" s="1484"/>
      <c r="L174" s="1484"/>
      <c r="M174" s="1484"/>
      <c r="N174" s="1484"/>
      <c r="O174" s="1484"/>
      <c r="P174" s="1484"/>
      <c r="Q174" s="1484"/>
      <c r="R174" s="1484"/>
      <c r="S174" s="1484"/>
      <c r="T174" s="1484"/>
      <c r="U174" s="1484"/>
      <c r="V174" s="1484"/>
      <c r="W174" s="1484"/>
      <c r="X174" s="1484"/>
      <c r="Y174" s="1484"/>
      <c r="Z174" s="1484"/>
      <c r="AA174" s="1484"/>
      <c r="AB174" s="1484"/>
      <c r="BB174" t="s">
        <v>1943</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440" t="s">
        <v>545</v>
      </c>
      <c r="V175" s="1440"/>
      <c r="BB175" t="s">
        <v>1911</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2037</v>
      </c>
      <c r="T176" s="27" t="s">
        <v>305</v>
      </c>
      <c r="U176" s="1489">
        <v>25</v>
      </c>
      <c r="V176" s="1489"/>
      <c r="W176" s="1" t="s">
        <v>306</v>
      </c>
      <c r="X176" s="1585">
        <v>783</v>
      </c>
      <c r="Y176" s="1585"/>
      <c r="BB176" t="s">
        <v>1944</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440" t="s">
        <v>669</v>
      </c>
      <c r="S177" s="1440"/>
      <c r="BB177" t="s">
        <v>2169</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1203</v>
      </c>
      <c r="AA178" t="s">
        <v>2037</v>
      </c>
      <c r="AE178" s="27" t="s">
        <v>305</v>
      </c>
      <c r="AF178" s="1584"/>
      <c r="AG178" s="1584"/>
      <c r="AH178" s="1" t="s">
        <v>306</v>
      </c>
      <c r="AI178" s="1442"/>
      <c r="AJ178" s="1442"/>
      <c r="AK178" s="1442"/>
      <c r="BB178" t="s">
        <v>2170</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2637</v>
      </c>
      <c r="X180" s="1440" t="s">
        <v>545</v>
      </c>
      <c r="Y180" s="1440"/>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578</v>
      </c>
      <c r="I184" s="1518" t="str">
        <f>H18</f>
        <v xml:space="preserve">Mammoth Lakes Family Apartments </v>
      </c>
      <c r="J184" s="1518"/>
      <c r="K184" s="1518"/>
      <c r="L184" s="1518"/>
      <c r="M184" s="1518"/>
      <c r="N184" s="1518"/>
      <c r="O184" s="1518"/>
      <c r="P184" s="1518"/>
      <c r="Q184" s="1518"/>
      <c r="R184" s="1518"/>
      <c r="S184" s="1518"/>
      <c r="T184" s="1518"/>
      <c r="U184" s="1518"/>
      <c r="V184" s="1518"/>
      <c r="W184" s="1518"/>
      <c r="X184" s="1518"/>
      <c r="Y184" s="1518"/>
      <c r="Z184" s="1518"/>
      <c r="AA184" s="1518"/>
      <c r="AB184" s="1518"/>
      <c r="AC184" s="1518"/>
      <c r="AD184" s="1518"/>
      <c r="AE184" s="1518"/>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579</v>
      </c>
      <c r="I185" s="1346" t="s">
        <v>2652</v>
      </c>
      <c r="J185" s="1346"/>
      <c r="K185" s="1346"/>
      <c r="L185" s="1346"/>
      <c r="M185" s="1346"/>
      <c r="N185" s="1346"/>
      <c r="O185" s="1346"/>
      <c r="P185" s="1346"/>
      <c r="Q185" s="1346"/>
      <c r="R185" s="1346"/>
      <c r="S185" s="1346"/>
      <c r="T185" s="1346"/>
      <c r="U185" s="1346"/>
      <c r="V185" s="1346"/>
      <c r="W185" s="1346"/>
      <c r="X185" s="1346"/>
      <c r="Y185" s="1346"/>
      <c r="Z185" s="1346"/>
      <c r="AA185" s="1346"/>
      <c r="AB185" s="1346"/>
      <c r="AC185" s="1346"/>
      <c r="AD185" s="1346"/>
      <c r="AE185" s="1346"/>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347"/>
      <c r="F187" s="1347"/>
      <c r="G187" s="1347"/>
      <c r="H187" s="1347"/>
      <c r="I187" s="1347"/>
      <c r="J187" s="1347"/>
      <c r="K187" s="1347"/>
      <c r="L187" s="1347"/>
      <c r="M187" s="1347"/>
      <c r="N187" s="1347"/>
      <c r="O187" s="1347"/>
      <c r="P187" s="1347"/>
      <c r="Q187" s="1347"/>
      <c r="R187" s="1347"/>
      <c r="S187" s="1347"/>
      <c r="T187" s="1347"/>
      <c r="U187" s="1347"/>
      <c r="V187" s="1347"/>
      <c r="W187" s="1347"/>
      <c r="X187" s="1347"/>
      <c r="Y187" s="1347"/>
      <c r="Z187" s="1347"/>
      <c r="AA187" s="1347"/>
      <c r="AB187" s="1347"/>
      <c r="AC187" s="1347"/>
      <c r="AD187" s="1347"/>
      <c r="AE187" s="1347"/>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348"/>
      <c r="F188" s="1348"/>
      <c r="G188" s="1348"/>
      <c r="H188" s="1348"/>
      <c r="I188" s="1348"/>
      <c r="J188" s="1348"/>
      <c r="K188" s="1348"/>
      <c r="L188" s="1348"/>
      <c r="M188" s="1348"/>
      <c r="N188" s="1348"/>
      <c r="O188" s="1348"/>
      <c r="P188" s="1348"/>
      <c r="Q188" s="1348"/>
      <c r="R188" s="1348"/>
      <c r="S188" s="1348"/>
      <c r="T188" s="1348"/>
      <c r="U188" s="1348"/>
      <c r="V188" s="1348"/>
      <c r="W188" s="1348"/>
      <c r="X188" s="1348"/>
      <c r="Y188" s="1348"/>
      <c r="Z188" s="1348"/>
      <c r="AA188" s="1348"/>
      <c r="AB188" s="1348"/>
      <c r="AC188" s="1348"/>
      <c r="AD188" s="1348"/>
      <c r="AE188" s="1348"/>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580</v>
      </c>
      <c r="I189" s="1344" t="s">
        <v>2653</v>
      </c>
      <c r="J189" s="1484"/>
      <c r="K189" s="1484"/>
      <c r="L189" s="1484"/>
      <c r="M189" s="1484"/>
      <c r="N189" s="1484"/>
      <c r="O189" s="1484"/>
      <c r="P189" s="1484"/>
      <c r="Q189" t="s">
        <v>582</v>
      </c>
      <c r="T189" s="1484" t="s">
        <v>60</v>
      </c>
      <c r="U189" s="1484"/>
      <c r="V189" s="1484"/>
      <c r="W189" s="1484"/>
      <c r="X189" s="1484"/>
      <c r="Y189" s="1484"/>
      <c r="Z189" s="1484"/>
      <c r="AA189" s="1484"/>
      <c r="AB189" s="1484"/>
      <c r="AC189" s="1484"/>
      <c r="AD189" s="1484"/>
      <c r="AE189" s="1484"/>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583</v>
      </c>
      <c r="I190" s="1346" t="s">
        <v>2654</v>
      </c>
      <c r="J190" s="1346"/>
      <c r="K190" s="1346"/>
      <c r="L190" s="1346"/>
      <c r="M190" s="1346"/>
      <c r="N190" s="1346"/>
      <c r="O190" t="s">
        <v>585</v>
      </c>
      <c r="T190" s="1574">
        <v>2.02</v>
      </c>
      <c r="U190" s="1574"/>
      <c r="V190" s="1574"/>
      <c r="W190" s="1574"/>
      <c r="X190" s="1574"/>
      <c r="Y190" s="1574"/>
      <c r="Z190" s="1574"/>
      <c r="AA190" s="1574"/>
      <c r="AB190" s="1574"/>
      <c r="AC190" s="1574"/>
      <c r="AD190" s="1574"/>
      <c r="AE190" s="1574"/>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462</v>
      </c>
      <c r="N191" s="1347" t="s">
        <v>2655</v>
      </c>
      <c r="O191" s="1347"/>
      <c r="P191" s="1347"/>
      <c r="Q191" s="1347"/>
      <c r="R191" s="1347"/>
      <c r="S191" s="1347"/>
      <c r="T191" s="1347"/>
      <c r="U191" s="1347"/>
      <c r="V191" s="1347"/>
      <c r="W191" s="1347"/>
      <c r="X191" s="1347"/>
      <c r="Y191" s="1347"/>
      <c r="Z191" s="1347"/>
      <c r="AA191" s="1347"/>
      <c r="AB191" s="1347"/>
      <c r="AC191" s="1347"/>
      <c r="AD191" s="1347"/>
      <c r="AE191" s="1347"/>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348"/>
      <c r="O192" s="1348"/>
      <c r="P192" s="1348"/>
      <c r="Q192" s="1348"/>
      <c r="R192" s="1348"/>
      <c r="S192" s="1348"/>
      <c r="T192" s="1348"/>
      <c r="U192" s="1348"/>
      <c r="V192" s="1348"/>
      <c r="W192" s="1348"/>
      <c r="X192" s="1348"/>
      <c r="Y192" s="1348"/>
      <c r="Z192" s="1348"/>
      <c r="AA192" s="1348"/>
      <c r="AB192" s="1348"/>
      <c r="AC192" s="1348"/>
      <c r="AD192" s="1348"/>
      <c r="AE192" s="1348"/>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2038</v>
      </c>
      <c r="M193" s="40"/>
      <c r="N193" s="890"/>
      <c r="O193" s="890"/>
      <c r="P193" s="890"/>
      <c r="Q193" s="890"/>
      <c r="R193" s="890"/>
      <c r="S193" s="890"/>
      <c r="T193" s="1578" t="s">
        <v>1911</v>
      </c>
      <c r="U193" s="1578"/>
      <c r="V193" s="1578"/>
      <c r="W193" s="1578"/>
      <c r="X193" s="1578"/>
      <c r="Y193" s="1578"/>
      <c r="Z193" s="1578"/>
      <c r="AA193" s="1578"/>
      <c r="AB193" s="1578"/>
      <c r="AC193" s="1578"/>
      <c r="AD193" s="1578"/>
      <c r="AE193" s="1578"/>
      <c r="AF193" s="1578"/>
      <c r="AG193" s="1578"/>
      <c r="AH193" s="1578"/>
      <c r="AI193" s="1578"/>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2.95" customHeight="1">
      <c r="C194" s="21"/>
      <c r="D194" s="3" t="s">
        <v>2171</v>
      </c>
      <c r="M194" s="40"/>
      <c r="N194" s="890"/>
      <c r="O194" s="890"/>
      <c r="P194" s="890"/>
      <c r="Q194" s="890"/>
      <c r="R194" s="890"/>
      <c r="S194" s="890"/>
      <c r="AH194" s="1440" t="s">
        <v>669</v>
      </c>
      <c r="AI194" s="1440"/>
      <c r="BC194" t="s">
        <v>1358</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2.95" customHeight="1">
      <c r="C195" s="21"/>
      <c r="D195" t="s">
        <v>331</v>
      </c>
      <c r="T195" s="1440" t="s">
        <v>545</v>
      </c>
      <c r="U195" s="1440"/>
      <c r="W195" t="s">
        <v>684</v>
      </c>
      <c r="AH195" s="1440">
        <v>3</v>
      </c>
      <c r="AI195" s="1440"/>
      <c r="BC195" t="s">
        <v>1832</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2.95" customHeight="1">
      <c r="C196" s="21"/>
      <c r="D196" t="s">
        <v>386</v>
      </c>
      <c r="T196" s="1417" t="s">
        <v>669</v>
      </c>
      <c r="U196" s="1417"/>
      <c r="W196" t="s">
        <v>685</v>
      </c>
      <c r="AH196" s="1440">
        <v>8</v>
      </c>
      <c r="AI196" s="1440"/>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2.95" customHeight="1">
      <c r="C197" s="21"/>
      <c r="D197" s="3" t="s">
        <v>169</v>
      </c>
      <c r="T197" s="1417" t="s">
        <v>545</v>
      </c>
      <c r="U197" s="1417"/>
      <c r="W197" t="s">
        <v>686</v>
      </c>
      <c r="AH197" s="1440">
        <v>4</v>
      </c>
      <c r="AI197" s="1440"/>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2.95" customHeight="1">
      <c r="A198"/>
      <c r="B198"/>
      <c r="C198" s="21"/>
      <c r="D198" s="3" t="s">
        <v>1641</v>
      </c>
      <c r="E198"/>
      <c r="F198"/>
      <c r="G198"/>
      <c r="H198"/>
      <c r="I198"/>
      <c r="J198"/>
      <c r="K198"/>
      <c r="L198"/>
      <c r="M198"/>
      <c r="N198"/>
      <c r="O198"/>
      <c r="P198"/>
      <c r="Q198"/>
      <c r="R198"/>
      <c r="S198"/>
      <c r="T198" s="1417">
        <v>3</v>
      </c>
      <c r="U198" s="1417"/>
      <c r="V198"/>
      <c r="X198" s="1549" t="s">
        <v>2446</v>
      </c>
      <c r="Y198" s="1549"/>
      <c r="Z198" s="1549"/>
      <c r="AA198" s="1549"/>
      <c r="AB198" s="1549"/>
      <c r="AC198" s="1549"/>
      <c r="AD198" s="1549"/>
      <c r="AE198" s="1549"/>
      <c r="AF198" s="1549"/>
      <c r="AG198" s="1549"/>
      <c r="AH198" s="1549"/>
      <c r="AI198" s="1549"/>
      <c r="AJ198" s="1549"/>
      <c r="AK198" s="1549"/>
      <c r="AL198" s="1549"/>
      <c r="AM198" s="1549"/>
      <c r="AN198" s="1549"/>
      <c r="AO198" s="1549"/>
      <c r="AP198" s="1549"/>
      <c r="AQ198" s="1549"/>
      <c r="AR198" s="1549"/>
      <c r="AS198" s="1549"/>
      <c r="AT198" s="1549"/>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2449</v>
      </c>
      <c r="E199"/>
      <c r="F199"/>
      <c r="G199"/>
      <c r="H199"/>
      <c r="I199"/>
      <c r="J199"/>
      <c r="K199"/>
      <c r="L199"/>
      <c r="M199"/>
      <c r="N199"/>
      <c r="O199"/>
      <c r="P199"/>
      <c r="Q199"/>
      <c r="R199"/>
      <c r="S199"/>
      <c r="T199" s="1440" t="s">
        <v>545</v>
      </c>
      <c r="U199" s="1440"/>
      <c r="V199"/>
      <c r="W199"/>
      <c r="X199" s="1549"/>
      <c r="Y199" s="1549"/>
      <c r="Z199" s="1549"/>
      <c r="AA199" s="1549"/>
      <c r="AB199" s="1549"/>
      <c r="AC199" s="1549"/>
      <c r="AD199" s="1549"/>
      <c r="AE199" s="1549"/>
      <c r="AF199" s="1549"/>
      <c r="AG199" s="1549"/>
      <c r="AH199" s="1549"/>
      <c r="AI199" s="1549"/>
      <c r="AJ199" s="1549"/>
      <c r="AK199" s="1549"/>
      <c r="AL199" s="1549"/>
      <c r="AM199" s="1549"/>
      <c r="AN199" s="1549"/>
      <c r="AO199" s="1549"/>
      <c r="AP199" s="1549"/>
      <c r="AQ199" s="1549"/>
      <c r="AR199" s="1549"/>
      <c r="AS199" s="1549"/>
      <c r="AT199" s="1549"/>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2447</v>
      </c>
      <c r="T200" s="1440" t="s">
        <v>669</v>
      </c>
      <c r="U200" s="1440"/>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2448</v>
      </c>
      <c r="V201"/>
      <c r="X201"/>
      <c r="Y201"/>
      <c r="Z201"/>
      <c r="AB201" s="1184"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2.95" customHeight="1">
      <c r="D204" s="1518" t="s">
        <v>385</v>
      </c>
      <c r="E204" s="1518"/>
      <c r="F204" s="1518"/>
      <c r="G204" s="1518"/>
      <c r="H204" s="1518"/>
      <c r="I204" s="1518"/>
      <c r="J204" s="1518"/>
      <c r="K204" s="1518"/>
      <c r="L204" s="1518"/>
      <c r="M204" s="1518"/>
      <c r="P204" s="1561">
        <f>M26</f>
        <v>1424510</v>
      </c>
      <c r="Q204" s="1562"/>
      <c r="R204" s="1562"/>
      <c r="S204" s="1562"/>
      <c r="T204" s="1562"/>
      <c r="U204" s="1562"/>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2.95" customHeight="1">
      <c r="C205" s="21"/>
      <c r="D205" s="1581" t="s">
        <v>1247</v>
      </c>
      <c r="E205" s="1518"/>
      <c r="F205" s="1518"/>
      <c r="G205" s="1518"/>
      <c r="H205" s="1518"/>
      <c r="I205" s="1518"/>
      <c r="J205" s="1518"/>
      <c r="K205" s="1518"/>
      <c r="L205" s="1518"/>
      <c r="M205" s="1518"/>
      <c r="P205" s="1562">
        <f>M27</f>
        <v>0</v>
      </c>
      <c r="Q205" s="1562"/>
      <c r="R205" s="1562"/>
      <c r="S205" s="1562"/>
      <c r="T205" s="1562"/>
      <c r="U205" s="1562"/>
      <c r="V205" s="28"/>
      <c r="W205" s="3" t="s">
        <v>1709</v>
      </c>
      <c r="Z205" s="1547" t="s">
        <v>1184</v>
      </c>
      <c r="AA205" s="1547"/>
      <c r="AB205" s="1547"/>
      <c r="AC205" s="1547"/>
      <c r="AD205" s="1547"/>
      <c r="AE205" s="1547"/>
      <c r="AF205" s="1547"/>
      <c r="AG205" s="1547"/>
      <c r="AH205" s="1547"/>
      <c r="AI205" s="1547"/>
      <c r="AJ205" s="1547"/>
      <c r="AK205" s="1547"/>
      <c r="AL205" s="1547"/>
      <c r="AM205" s="1547"/>
      <c r="AN205" s="1547"/>
      <c r="AP205" s="1464"/>
      <c r="AQ205" s="1464"/>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2.95"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2.95" customHeight="1">
      <c r="C208" s="21"/>
      <c r="D208" s="1545" t="s">
        <v>2656</v>
      </c>
      <c r="E208" s="1545"/>
      <c r="F208" s="1545"/>
      <c r="G208" s="1545"/>
      <c r="H208" s="1545"/>
      <c r="I208" s="1545"/>
      <c r="J208" s="1545"/>
      <c r="K208" s="1545"/>
      <c r="L208" s="1545"/>
      <c r="M208" s="1545"/>
      <c r="BC208" s="3" t="s">
        <v>2162</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545" t="s">
        <v>1832</v>
      </c>
      <c r="E211" s="1545"/>
      <c r="F211" s="1545"/>
      <c r="G211" s="1545"/>
      <c r="H211" s="1545"/>
      <c r="I211" s="1545"/>
      <c r="J211" s="1545"/>
      <c r="K211" s="1545"/>
      <c r="L211" s="1545"/>
      <c r="M211" s="1545"/>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2186</v>
      </c>
      <c r="Q212" s="1440"/>
      <c r="R212" s="1440"/>
      <c r="T212" s="1566">
        <f>IFERROR(Q212/AG449,0)</f>
        <v>0</v>
      </c>
      <c r="U212" s="1567"/>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2406</v>
      </c>
      <c r="BC213" t="s">
        <v>526</v>
      </c>
      <c r="BI213" s="3" t="s">
        <v>2183</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557" t="s">
        <v>591</v>
      </c>
      <c r="E214" s="1557"/>
      <c r="F214" s="1557"/>
      <c r="G214" s="1557"/>
      <c r="H214" s="1557"/>
      <c r="I214" s="1557"/>
      <c r="J214" s="1557"/>
      <c r="K214" s="1557"/>
      <c r="L214" s="1557"/>
      <c r="M214" s="1557"/>
      <c r="N214" s="1557"/>
      <c r="O214" s="1557"/>
      <c r="P214" s="1557"/>
      <c r="Q214" s="1557"/>
      <c r="R214" s="1557"/>
      <c r="S214" s="1557"/>
      <c r="T214" s="1557"/>
      <c r="U214" s="1557"/>
      <c r="V214" s="1557"/>
      <c r="W214" s="1557"/>
      <c r="X214" s="1557"/>
      <c r="Y214" s="1557"/>
      <c r="Z214" s="1557"/>
      <c r="AU214" s="21"/>
      <c r="AV214" s="21"/>
      <c r="AW214" s="21"/>
      <c r="AX214" s="21"/>
      <c r="AY214" s="21"/>
      <c r="BC214" t="s">
        <v>530</v>
      </c>
      <c r="BI214" s="3" t="s">
        <v>2176</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1642</v>
      </c>
      <c r="Z215" s="40"/>
      <c r="AB215" s="1543"/>
      <c r="AC215" s="1543"/>
      <c r="AD215" s="1543"/>
      <c r="AE215" s="1543"/>
      <c r="AF215" s="1543"/>
      <c r="AG215" s="1543"/>
      <c r="AH215" s="1543"/>
      <c r="AI215" s="1543"/>
      <c r="AJ215" s="1543"/>
      <c r="AK215" s="1543"/>
      <c r="AL215" s="1543"/>
      <c r="AM215" s="21"/>
      <c r="AN215" s="21"/>
      <c r="AO215" s="21"/>
      <c r="AP215" s="21"/>
      <c r="AQ215" s="21"/>
      <c r="AR215" s="21"/>
      <c r="AS215" s="21"/>
      <c r="AT215" s="21"/>
      <c r="AU215" s="21"/>
      <c r="AV215" s="21"/>
      <c r="AW215" s="21"/>
      <c r="AX215" s="21"/>
      <c r="AY215" s="21"/>
      <c r="BC215" t="s">
        <v>527</v>
      </c>
      <c r="BI215" s="3" t="s">
        <v>2177</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1640</v>
      </c>
      <c r="Z216" s="40"/>
      <c r="AB216" s="1543"/>
      <c r="AC216" s="1543"/>
      <c r="AD216" s="1543"/>
      <c r="AE216" s="1543"/>
      <c r="AF216" s="1543"/>
      <c r="AG216" s="1543"/>
      <c r="AH216" s="1543"/>
      <c r="AI216" s="1543"/>
      <c r="AJ216" s="1543"/>
      <c r="AK216" s="1543"/>
      <c r="AL216" s="1543"/>
      <c r="AM216" s="21"/>
      <c r="AN216" s="21"/>
      <c r="AO216" s="21"/>
      <c r="AP216" s="21"/>
      <c r="AQ216" s="21"/>
      <c r="AR216" s="21"/>
      <c r="AS216" s="21"/>
      <c r="AT216" s="21"/>
      <c r="AU216" s="21"/>
      <c r="AV216" s="21"/>
      <c r="AW216" s="21"/>
      <c r="AX216" s="21"/>
      <c r="AY216" s="21"/>
      <c r="BC216" t="s">
        <v>566</v>
      </c>
      <c r="BI216" t="s">
        <v>2175</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2179</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592</v>
      </c>
      <c r="C218" s="2" t="s">
        <v>2189</v>
      </c>
      <c r="D218" s="28"/>
      <c r="AC218" s="2" t="s">
        <v>2395</v>
      </c>
      <c r="BC218" t="s">
        <v>529</v>
      </c>
    </row>
    <row r="219" spans="1:108" ht="12.95" customHeight="1">
      <c r="A219" s="2"/>
      <c r="C219" s="2"/>
      <c r="D219" s="3" t="s">
        <v>2396</v>
      </c>
      <c r="AZ219" s="3"/>
      <c r="BA219" s="3"/>
      <c r="BC219" t="s">
        <v>377</v>
      </c>
    </row>
    <row r="220" spans="1:108" ht="12.95" customHeight="1">
      <c r="A220" s="2"/>
      <c r="C220" s="2"/>
      <c r="D220" s="1545" t="s">
        <v>1061</v>
      </c>
      <c r="E220" s="1545"/>
      <c r="F220" s="1545"/>
      <c r="G220" s="1545"/>
      <c r="H220" s="1545"/>
      <c r="I220" s="1545"/>
      <c r="J220" s="1545"/>
      <c r="K220" s="1545"/>
      <c r="L220" s="1545"/>
      <c r="M220" s="1545"/>
      <c r="N220" s="1545"/>
      <c r="O220" s="1545"/>
      <c r="P220" s="1545"/>
      <c r="Q220" s="1545"/>
      <c r="R220" s="1545"/>
      <c r="S220" s="1545"/>
      <c r="T220" s="1545"/>
      <c r="U220" s="1545"/>
      <c r="V220" s="1545"/>
      <c r="W220" s="1545"/>
      <c r="X220" s="1545"/>
      <c r="Y220" s="1545"/>
      <c r="Z220" s="1545"/>
      <c r="AC220" s="1580" t="s">
        <v>2399</v>
      </c>
      <c r="AD220" s="1580"/>
      <c r="AE220" s="1580"/>
      <c r="AF220" s="1580"/>
      <c r="AG220" s="1580"/>
      <c r="AH220" s="1580"/>
      <c r="AI220" s="1580"/>
      <c r="AJ220" s="1580"/>
      <c r="AK220" s="1580"/>
      <c r="AL220" s="1580"/>
      <c r="AM220" s="1580"/>
      <c r="AN220" s="1580"/>
      <c r="AO220" s="1580"/>
      <c r="AP220" s="1580"/>
      <c r="AQ220" s="1580"/>
      <c r="BA220" s="3"/>
      <c r="BC220" t="s">
        <v>300</v>
      </c>
    </row>
    <row r="221" spans="1:108" ht="12.95" customHeight="1">
      <c r="A221" s="2"/>
      <c r="B221" s="14"/>
      <c r="C221" s="2"/>
      <c r="BA221" s="3"/>
    </row>
    <row r="222" spans="1:108" ht="12.95" customHeight="1">
      <c r="A222" s="2" t="s">
        <v>2541</v>
      </c>
      <c r="B222" s="14"/>
      <c r="C222" s="2" t="s">
        <v>2542</v>
      </c>
      <c r="BA222" s="3"/>
    </row>
    <row r="223" spans="1:108" ht="12.95" customHeight="1">
      <c r="A223" s="2"/>
      <c r="B223" s="14"/>
      <c r="C223" s="2"/>
      <c r="D223" s="3" t="s">
        <v>2543</v>
      </c>
      <c r="BA223" s="3"/>
    </row>
    <row r="224" spans="1:108" ht="12.95" customHeight="1">
      <c r="A224" s="2"/>
      <c r="B224" s="14"/>
      <c r="C224" s="2"/>
      <c r="E224" s="3" t="s">
        <v>2544</v>
      </c>
      <c r="V224" s="1440" t="s">
        <v>669</v>
      </c>
      <c r="W224" s="1440"/>
      <c r="Y224" s="1193"/>
      <c r="BA224" s="3"/>
    </row>
    <row r="225" spans="1:69" ht="12.95" customHeight="1">
      <c r="A225" s="2"/>
      <c r="B225" s="14"/>
      <c r="C225" s="2"/>
      <c r="E225" s="3" t="s">
        <v>2545</v>
      </c>
      <c r="V225" s="1440" t="s">
        <v>545</v>
      </c>
      <c r="W225" s="1440"/>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2546</v>
      </c>
      <c r="V226" s="1417" t="s">
        <v>669</v>
      </c>
      <c r="W226" s="1417"/>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2547</v>
      </c>
      <c r="V227" s="1417" t="s">
        <v>669</v>
      </c>
      <c r="W227" s="1417"/>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2548</v>
      </c>
      <c r="V228" s="1417" t="s">
        <v>669</v>
      </c>
      <c r="W228" s="1417"/>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2549</v>
      </c>
      <c r="V229" s="1417" t="s">
        <v>669</v>
      </c>
      <c r="W229" s="1417"/>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548" t="s">
        <v>540</v>
      </c>
      <c r="B231" s="1548"/>
      <c r="C231" s="1548"/>
      <c r="D231" s="1548"/>
      <c r="E231" s="1548"/>
      <c r="F231" s="1548"/>
      <c r="G231" s="1548"/>
      <c r="H231" s="1548"/>
      <c r="I231" s="1548"/>
      <c r="J231" s="1548"/>
      <c r="K231" s="1548"/>
      <c r="L231" s="1548"/>
      <c r="M231" s="1548"/>
      <c r="N231" s="1548"/>
      <c r="O231" s="1548"/>
      <c r="P231" s="1548"/>
      <c r="Q231" s="1548"/>
      <c r="R231" s="1548"/>
      <c r="S231" s="1548"/>
      <c r="T231" s="1548"/>
      <c r="U231" s="1548"/>
      <c r="V231" s="1548"/>
      <c r="W231" s="1548"/>
      <c r="X231" s="1548"/>
      <c r="Y231" s="1548"/>
      <c r="Z231" s="1548"/>
      <c r="AA231" s="1548"/>
      <c r="AB231" s="1548"/>
      <c r="AC231" s="1548"/>
      <c r="AD231" s="1548"/>
      <c r="AE231" s="1548"/>
      <c r="AF231" s="1548"/>
      <c r="AG231" s="1548"/>
      <c r="AH231" s="1548"/>
      <c r="AI231" s="1548"/>
      <c r="AJ231" s="1548"/>
      <c r="AK231" s="1548"/>
      <c r="AL231" s="1548"/>
      <c r="AM231" s="1548"/>
      <c r="AN231" s="1548"/>
      <c r="AO231" s="1548"/>
      <c r="AP231" s="1548"/>
      <c r="AQ231" s="1548"/>
      <c r="AR231" s="1548"/>
      <c r="AS231" s="1548"/>
      <c r="AT231" s="1548"/>
      <c r="AU231" s="95"/>
      <c r="AV231" s="95"/>
      <c r="AW231" s="95"/>
      <c r="AX231" s="95"/>
      <c r="AY231" s="95"/>
      <c r="AZ231" s="3"/>
      <c r="BA231" s="3"/>
      <c r="BP231" s="34"/>
    </row>
    <row r="232" spans="1:69" ht="12.95" customHeight="1">
      <c r="A232" s="1548"/>
      <c r="B232" s="1548"/>
      <c r="C232" s="1548"/>
      <c r="D232" s="1548"/>
      <c r="E232" s="1548"/>
      <c r="F232" s="1548"/>
      <c r="G232" s="1548"/>
      <c r="H232" s="1548"/>
      <c r="I232" s="1548"/>
      <c r="J232" s="1548"/>
      <c r="K232" s="1548"/>
      <c r="L232" s="1548"/>
      <c r="M232" s="1548"/>
      <c r="N232" s="1548"/>
      <c r="O232" s="1548"/>
      <c r="P232" s="1548"/>
      <c r="Q232" s="1548"/>
      <c r="R232" s="1548"/>
      <c r="S232" s="1548"/>
      <c r="T232" s="1548"/>
      <c r="U232" s="1548"/>
      <c r="V232" s="1548"/>
      <c r="W232" s="1548"/>
      <c r="X232" s="1548"/>
      <c r="Y232" s="1548"/>
      <c r="Z232" s="1548"/>
      <c r="AA232" s="1548"/>
      <c r="AB232" s="1548"/>
      <c r="AC232" s="1548"/>
      <c r="AD232" s="1548"/>
      <c r="AE232" s="1548"/>
      <c r="AF232" s="1548"/>
      <c r="AG232" s="1548"/>
      <c r="AH232" s="1548"/>
      <c r="AI232" s="1548"/>
      <c r="AJ232" s="1548"/>
      <c r="AK232" s="1548"/>
      <c r="AL232" s="1548"/>
      <c r="AM232" s="1548"/>
      <c r="AN232" s="1548"/>
      <c r="AO232" s="1548"/>
      <c r="AP232" s="1548"/>
      <c r="AQ232" s="1548"/>
      <c r="AR232" s="1548"/>
      <c r="AS232" s="1548"/>
      <c r="AT232" s="1548"/>
      <c r="BA232" s="3"/>
      <c r="BB232" s="3"/>
      <c r="BQ232" s="34"/>
    </row>
    <row r="233" spans="1:69" ht="12.95" customHeight="1">
      <c r="AZ233" s="4"/>
      <c r="BA233" s="3"/>
      <c r="BB233" s="3"/>
      <c r="BQ233" s="34"/>
    </row>
    <row r="234" spans="1:69" ht="12.95" customHeight="1">
      <c r="A234" s="2" t="s">
        <v>319</v>
      </c>
      <c r="B234" s="2"/>
      <c r="C234" s="2" t="s">
        <v>2039</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440" t="s">
        <v>591</v>
      </c>
      <c r="AJ235" s="1440"/>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2.95"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440" t="s">
        <v>545</v>
      </c>
      <c r="AJ236" s="1440"/>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440" t="s">
        <v>545</v>
      </c>
      <c r="AJ237" s="1440"/>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440" t="s">
        <v>591</v>
      </c>
      <c r="AJ238" s="1440"/>
      <c r="AL238" s="3"/>
      <c r="AM238" s="3"/>
      <c r="AN238" s="3"/>
      <c r="AO238" s="3"/>
      <c r="AP238" s="3"/>
      <c r="AQ238" s="3"/>
      <c r="AR238" s="3"/>
      <c r="AS238" s="3"/>
      <c r="AT238" s="3"/>
      <c r="AU238" s="3"/>
      <c r="AV238" s="3"/>
      <c r="AW238" s="3"/>
      <c r="AX238" s="3"/>
      <c r="AY238" s="3"/>
      <c r="BA238" s="3"/>
      <c r="BB238" s="204" t="s">
        <v>538</v>
      </c>
      <c r="BG238" s="241">
        <f>IF(AND(AND($M$258="for profit",$M$266="nonprofit",$M$274="(select one)")),2,0)</f>
        <v>2</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2.95" customHeight="1">
      <c r="A240" s="2" t="s">
        <v>576</v>
      </c>
      <c r="B240" s="4"/>
      <c r="C240" s="2" t="s">
        <v>2040</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470</v>
      </c>
      <c r="E241" s="4"/>
      <c r="F241" s="4"/>
      <c r="G241" s="4"/>
      <c r="H241" s="4"/>
      <c r="I241" s="4"/>
      <c r="J241" s="4"/>
      <c r="K241" s="4"/>
      <c r="M241" s="1575" t="str">
        <f>H16</f>
        <v xml:space="preserve">West Development Ventures, LLC </v>
      </c>
      <c r="N241" s="1575"/>
      <c r="O241" s="1575"/>
      <c r="P241" s="1575"/>
      <c r="Q241" s="1575"/>
      <c r="R241" s="1575"/>
      <c r="S241" s="1575"/>
      <c r="T241" s="1575"/>
      <c r="U241" s="1575"/>
      <c r="V241" s="1575"/>
      <c r="W241" s="1575"/>
      <c r="X241" s="1575"/>
      <c r="Y241" s="1575"/>
      <c r="Z241" s="1575"/>
      <c r="AA241" s="1575"/>
      <c r="AB241" s="1575"/>
      <c r="AC241" s="1575"/>
      <c r="AD241" s="1575"/>
      <c r="AE241" s="1575"/>
      <c r="AF241" s="1575"/>
      <c r="AG241" s="1575"/>
      <c r="AH241" s="1575"/>
      <c r="AI241" s="1575"/>
      <c r="AJ241" s="1575"/>
      <c r="AK241" s="1575"/>
      <c r="AZ241" s="4"/>
      <c r="BA241" s="3"/>
      <c r="BB241" s="205" t="s">
        <v>538</v>
      </c>
      <c r="BG241" s="241">
        <f>IF(AND(AND($M$258="nonprofit",$M$266="nonprofit",$M$274="for profit")),2,0)</f>
        <v>0</v>
      </c>
    </row>
    <row r="242" spans="1:67" ht="12.95" customHeight="1">
      <c r="D242" s="4" t="s">
        <v>85</v>
      </c>
      <c r="E242" s="4"/>
      <c r="F242" s="4"/>
      <c r="G242" s="4"/>
      <c r="H242" s="4"/>
      <c r="I242" s="4"/>
      <c r="J242" s="4"/>
      <c r="K242" s="4"/>
      <c r="M242" s="1344" t="s">
        <v>2657</v>
      </c>
      <c r="N242" s="1545"/>
      <c r="O242" s="1545"/>
      <c r="P242" s="1545"/>
      <c r="Q242" s="1545"/>
      <c r="R242" s="1545"/>
      <c r="S242" s="1545"/>
      <c r="T242" s="1545"/>
      <c r="U242" s="1545"/>
      <c r="V242" s="1545"/>
      <c r="W242" s="1545"/>
      <c r="X242" s="1545"/>
      <c r="Y242" s="1545"/>
      <c r="Z242" s="1545"/>
      <c r="AA242" s="1545"/>
      <c r="AB242" s="1545"/>
      <c r="AC242" s="1545"/>
      <c r="AD242" s="1545"/>
      <c r="AE242" s="1545"/>
      <c r="BB242" s="205" t="s">
        <v>538</v>
      </c>
      <c r="BG242" s="241">
        <f>IF(AND(AND($M$258="nonprofit",$M$266="for profit",$M$274="nonprofit")),2,0)</f>
        <v>0</v>
      </c>
    </row>
    <row r="243" spans="1:67" ht="12.95" customHeight="1">
      <c r="D243" s="4" t="s">
        <v>580</v>
      </c>
      <c r="E243" s="4"/>
      <c r="M243" s="1344" t="s">
        <v>2658</v>
      </c>
      <c r="N243" s="1545"/>
      <c r="O243" s="1545"/>
      <c r="P243" s="1545"/>
      <c r="Q243" s="1545"/>
      <c r="R243" s="1545"/>
      <c r="S243" s="1545"/>
      <c r="T243" s="1545"/>
      <c r="V243" s="33" t="s">
        <v>86</v>
      </c>
      <c r="W243" s="1345" t="s">
        <v>2659</v>
      </c>
      <c r="X243" s="1474"/>
      <c r="Y243" s="4" t="s">
        <v>583</v>
      </c>
      <c r="AC243" s="1545">
        <v>95814</v>
      </c>
      <c r="AD243" s="1545"/>
      <c r="AE243" s="1545"/>
      <c r="AU243" s="4"/>
      <c r="AV243" s="4"/>
      <c r="AW243" s="4"/>
      <c r="AX243" s="4"/>
      <c r="AY243" s="4"/>
      <c r="AZ243" s="4"/>
      <c r="BB243" s="205" t="s">
        <v>538</v>
      </c>
      <c r="BG243" s="240">
        <f>IF(AND(AND($M$258="for profit",$M$266="nonprofit",$M$274="nonprofit")),2,0)</f>
        <v>0</v>
      </c>
    </row>
    <row r="244" spans="1:67" ht="12.95" customHeight="1">
      <c r="D244" s="4" t="s">
        <v>87</v>
      </c>
      <c r="E244" s="4"/>
      <c r="F244" s="4"/>
      <c r="G244" s="4"/>
      <c r="H244" s="4"/>
      <c r="I244" s="4"/>
      <c r="J244" s="4"/>
      <c r="K244" s="19"/>
      <c r="M244" s="1344" t="s">
        <v>2660</v>
      </c>
      <c r="N244" s="1545"/>
      <c r="O244" s="1545"/>
      <c r="P244" s="1545"/>
      <c r="Q244" s="1545"/>
      <c r="R244" s="1545"/>
      <c r="S244" s="1545"/>
      <c r="T244" s="1545"/>
      <c r="U244" s="1545"/>
      <c r="V244" s="1545"/>
      <c r="W244" s="1545"/>
      <c r="X244" s="1545"/>
      <c r="Y244" s="1545"/>
      <c r="Z244" s="1545"/>
      <c r="AA244" s="1545"/>
      <c r="AB244" s="1545"/>
      <c r="AC244" s="1545"/>
      <c r="AD244" s="1545"/>
      <c r="AE244" s="1545"/>
      <c r="AI244" s="4"/>
      <c r="AJ244" s="4"/>
      <c r="AK244" s="4"/>
      <c r="AL244" s="4"/>
      <c r="AM244" s="4"/>
      <c r="AN244" s="4"/>
      <c r="AO244" s="4"/>
      <c r="AP244" s="4"/>
      <c r="AQ244" s="4"/>
      <c r="AR244" s="4"/>
      <c r="AS244" s="4"/>
      <c r="AT244" s="4"/>
      <c r="BB244" s="205"/>
      <c r="BG244" s="204"/>
    </row>
    <row r="245" spans="1:67" ht="12.95" customHeight="1">
      <c r="D245" s="4" t="s">
        <v>88</v>
      </c>
      <c r="E245" s="4"/>
      <c r="F245" s="4"/>
      <c r="M245" s="1546" t="s">
        <v>2661</v>
      </c>
      <c r="N245" s="1535"/>
      <c r="O245" s="1535"/>
      <c r="P245" s="1535"/>
      <c r="Q245" s="1535"/>
      <c r="R245" s="1535"/>
      <c r="S245" s="4" t="s">
        <v>206</v>
      </c>
      <c r="T245" s="4"/>
      <c r="U245" s="1474"/>
      <c r="V245" s="1474"/>
      <c r="W245" s="1474"/>
      <c r="X245" s="4" t="s">
        <v>89</v>
      </c>
      <c r="Z245" s="1535"/>
      <c r="AA245" s="1535"/>
      <c r="AB245" s="1535"/>
      <c r="AC245" s="1535"/>
      <c r="AD245" s="1535"/>
      <c r="AE245" s="1535"/>
      <c r="AU245" s="4"/>
      <c r="AV245" s="4"/>
      <c r="AW245" s="4"/>
      <c r="AX245" s="4"/>
      <c r="AY245" s="4"/>
      <c r="AZ245" s="4"/>
      <c r="BB245" s="204" t="s">
        <v>537</v>
      </c>
      <c r="BG245" s="241">
        <f>IF(AND(AND($M$258="nonprofit",$M$266="nonprofit",$M$274="(select one)")),1,0)</f>
        <v>0</v>
      </c>
    </row>
    <row r="246" spans="1:67" ht="12.95" customHeight="1">
      <c r="D246" s="4" t="s">
        <v>90</v>
      </c>
      <c r="E246" s="4"/>
      <c r="F246" s="4"/>
      <c r="M246" s="1551" t="s">
        <v>2662</v>
      </c>
      <c r="N246" s="1551"/>
      <c r="O246" s="1551"/>
      <c r="P246" s="1551"/>
      <c r="Q246" s="1551"/>
      <c r="R246" s="1551"/>
      <c r="S246" s="1551"/>
      <c r="T246" s="1551"/>
      <c r="U246" s="1551"/>
      <c r="V246" s="1551"/>
      <c r="W246" s="1551"/>
      <c r="X246" s="1551"/>
      <c r="Y246" s="1551"/>
      <c r="Z246" s="1551"/>
      <c r="AA246" s="1551"/>
      <c r="AB246" s="1551"/>
      <c r="AC246" s="1551"/>
      <c r="AD246" s="1551"/>
      <c r="AE246" s="1551"/>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2.95" customHeight="1">
      <c r="A247" s="2" t="s">
        <v>586</v>
      </c>
      <c r="C247" s="2" t="s">
        <v>525</v>
      </c>
      <c r="M247" s="1346" t="s">
        <v>300</v>
      </c>
      <c r="N247" s="1346"/>
      <c r="O247" s="1346"/>
      <c r="P247" s="1346"/>
      <c r="Q247" s="1346"/>
      <c r="R247" s="1346"/>
      <c r="S247" s="1346"/>
      <c r="T247" s="1346"/>
      <c r="U247" s="204" t="s">
        <v>906</v>
      </c>
      <c r="V247" s="204"/>
      <c r="W247" s="204"/>
      <c r="X247" s="204"/>
      <c r="Y247" s="204"/>
      <c r="Z247" s="204"/>
      <c r="AA247" s="1564" t="s">
        <v>2663</v>
      </c>
      <c r="AB247" s="1565"/>
      <c r="AC247" s="1565"/>
      <c r="AD247" s="1565"/>
      <c r="AE247" s="1565"/>
      <c r="AF247" s="1565"/>
      <c r="AG247" s="1565"/>
      <c r="AH247" s="1565"/>
      <c r="AI247" s="1565"/>
      <c r="AJ247" s="1565"/>
      <c r="AK247" s="1565"/>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2.95" customHeight="1">
      <c r="D248" t="s">
        <v>531</v>
      </c>
      <c r="M248" s="1484"/>
      <c r="N248" s="1484"/>
      <c r="O248" s="1484"/>
      <c r="P248" s="1484"/>
      <c r="Q248" s="1484"/>
      <c r="R248" s="1484"/>
      <c r="S248" s="1484"/>
      <c r="T248" s="1484"/>
      <c r="U248" s="1484"/>
      <c r="V248" s="1484"/>
      <c r="W248" s="1484"/>
      <c r="X248" s="1484"/>
      <c r="Y248" s="1484"/>
      <c r="Z248" s="1484"/>
      <c r="AA248" s="1484"/>
      <c r="AB248" s="1484"/>
      <c r="AC248" s="1484"/>
      <c r="AD248" s="1484"/>
      <c r="AE248" s="1484"/>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2.95" customHeight="1">
      <c r="D249" s="4"/>
      <c r="BB249" s="204" t="s">
        <v>877</v>
      </c>
      <c r="BG249" s="241">
        <f>IF(AND(AND($M$258="for profit",$M$266="for profit",$M$274="for profit")),3,0)</f>
        <v>0</v>
      </c>
    </row>
    <row r="250" spans="1:67" ht="12.95"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473</v>
      </c>
      <c r="D252" s="4" t="s">
        <v>532</v>
      </c>
      <c r="E252" s="4"/>
      <c r="F252" s="4"/>
      <c r="G252" s="4"/>
      <c r="H252" s="4"/>
      <c r="I252" s="4"/>
      <c r="J252" s="4"/>
      <c r="K252" s="4"/>
      <c r="L252" s="4"/>
      <c r="M252" s="1552" t="s">
        <v>2644</v>
      </c>
      <c r="N252" s="1553"/>
      <c r="O252" s="1553"/>
      <c r="P252" s="1553"/>
      <c r="Q252" s="1553"/>
      <c r="R252" s="1553"/>
      <c r="S252" s="1553"/>
      <c r="T252" s="1553"/>
      <c r="U252" s="1553"/>
      <c r="V252" s="1553"/>
      <c r="W252" s="1553"/>
      <c r="X252" s="1553"/>
      <c r="Y252" s="1553"/>
      <c r="Z252" s="1553"/>
      <c r="AA252" s="1553"/>
      <c r="AB252" s="1553"/>
      <c r="AC252" s="1553"/>
      <c r="AD252" s="1553"/>
      <c r="AE252" s="1553"/>
      <c r="AF252" s="1553" t="s">
        <v>2664</v>
      </c>
      <c r="AG252" s="1553"/>
      <c r="AH252" s="1553"/>
      <c r="AI252" s="1553"/>
      <c r="AJ252" s="1553"/>
      <c r="AK252" s="1553"/>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344" t="s">
        <v>2665</v>
      </c>
      <c r="N253" s="1545"/>
      <c r="O253" s="1545"/>
      <c r="P253" s="1545"/>
      <c r="Q253" s="1545"/>
      <c r="R253" s="1545"/>
      <c r="S253" s="1545"/>
      <c r="T253" s="1545"/>
      <c r="U253" s="1545"/>
      <c r="V253" s="1545"/>
      <c r="W253" s="1545"/>
      <c r="X253" s="1545"/>
      <c r="Y253" s="1545"/>
      <c r="Z253" s="1545"/>
      <c r="AA253" s="1545"/>
      <c r="AB253" s="1545"/>
      <c r="AC253" s="1545"/>
      <c r="AD253" s="1545"/>
      <c r="AE253" s="1545"/>
      <c r="AF253" s="3" t="s">
        <v>1179</v>
      </c>
      <c r="AL253" s="4"/>
      <c r="AM253" s="4"/>
      <c r="AN253" s="4"/>
      <c r="AO253" s="4"/>
      <c r="AP253" s="4"/>
      <c r="AQ253" s="4"/>
      <c r="AR253" s="4"/>
      <c r="AS253" s="4"/>
      <c r="AT253" s="4"/>
      <c r="BB253" t="s">
        <v>307</v>
      </c>
      <c r="BG253">
        <v>1</v>
      </c>
      <c r="BH253" t="s">
        <v>534</v>
      </c>
    </row>
    <row r="254" spans="1:67" ht="12.95" customHeight="1">
      <c r="A254" s="19"/>
      <c r="B254" s="4"/>
      <c r="C254" s="4"/>
      <c r="D254" s="4" t="s">
        <v>580</v>
      </c>
      <c r="E254" s="4"/>
      <c r="M254" s="1344" t="s">
        <v>68</v>
      </c>
      <c r="N254" s="1545"/>
      <c r="O254" s="1545"/>
      <c r="P254" s="1545"/>
      <c r="Q254" s="1545"/>
      <c r="R254" s="1545"/>
      <c r="S254" s="1545"/>
      <c r="T254" s="1545"/>
      <c r="V254" s="33" t="s">
        <v>86</v>
      </c>
      <c r="W254" s="1345" t="s">
        <v>2666</v>
      </c>
      <c r="X254" s="1474"/>
      <c r="Y254" s="4" t="s">
        <v>583</v>
      </c>
      <c r="AC254" s="1545">
        <v>95814</v>
      </c>
      <c r="AD254" s="1545"/>
      <c r="AE254" s="1545"/>
      <c r="AF254" s="3" t="s">
        <v>1180</v>
      </c>
      <c r="AU254" s="4"/>
      <c r="AV254" s="4"/>
      <c r="AW254" s="4"/>
      <c r="AX254" s="4"/>
      <c r="AY254" s="4"/>
      <c r="BB254" s="4" t="s">
        <v>280</v>
      </c>
      <c r="BG254">
        <v>2</v>
      </c>
      <c r="BH254" t="s">
        <v>566</v>
      </c>
      <c r="BO254" s="239" t="str">
        <f>VLOOKUP(BG252,BG253:BH256,2,FALSE)</f>
        <v>Joint Venture</v>
      </c>
    </row>
    <row r="255" spans="1:67" ht="12.95" customHeight="1">
      <c r="A255" s="19"/>
      <c r="B255" s="4"/>
      <c r="C255" s="4"/>
      <c r="D255" s="4" t="s">
        <v>87</v>
      </c>
      <c r="E255" s="4"/>
      <c r="F255" s="4"/>
      <c r="G255" s="4"/>
      <c r="H255" s="4"/>
      <c r="I255" s="4"/>
      <c r="J255" s="4"/>
      <c r="K255" s="4"/>
      <c r="L255" s="19"/>
      <c r="M255" s="1344" t="s">
        <v>2660</v>
      </c>
      <c r="N255" s="1545"/>
      <c r="O255" s="1545"/>
      <c r="P255" s="1545"/>
      <c r="Q255" s="1545"/>
      <c r="R255" s="1545"/>
      <c r="S255" s="1545"/>
      <c r="T255" s="1545"/>
      <c r="U255" s="1545"/>
      <c r="V255" s="1545"/>
      <c r="W255" s="1545"/>
      <c r="X255" s="1545"/>
      <c r="Y255" s="1545"/>
      <c r="Z255" s="1545"/>
      <c r="AA255" s="1545"/>
      <c r="AB255" s="1545"/>
      <c r="AC255" s="1545"/>
      <c r="AD255" s="1545"/>
      <c r="AE255" s="1545"/>
      <c r="AH255" s="1563">
        <v>5.1000000000000004E-3</v>
      </c>
      <c r="AI255" s="1563"/>
      <c r="AJ255" s="1563"/>
      <c r="AK255" s="1563"/>
      <c r="AL255" s="4"/>
      <c r="AM255" s="4"/>
      <c r="AN255" s="4"/>
      <c r="AO255" s="4"/>
      <c r="AP255" s="4"/>
      <c r="AQ255" s="4"/>
      <c r="AR255" s="4"/>
      <c r="AS255" s="4"/>
      <c r="AT255" s="4"/>
      <c r="BB255" s="4" t="s">
        <v>173</v>
      </c>
      <c r="BG255">
        <v>3</v>
      </c>
      <c r="BH255" t="s">
        <v>536</v>
      </c>
      <c r="BN255" s="34"/>
    </row>
    <row r="256" spans="1:67" ht="12.95" customHeight="1">
      <c r="A256" s="19"/>
      <c r="B256" s="4"/>
      <c r="C256" s="4"/>
      <c r="D256" s="4" t="s">
        <v>88</v>
      </c>
      <c r="E256" s="4"/>
      <c r="F256" s="4"/>
      <c r="M256" s="1546" t="s">
        <v>2661</v>
      </c>
      <c r="N256" s="1535"/>
      <c r="O256" s="1535"/>
      <c r="P256" s="1535"/>
      <c r="Q256" s="1535"/>
      <c r="R256" s="1535"/>
      <c r="S256" s="4" t="s">
        <v>206</v>
      </c>
      <c r="T256" s="4"/>
      <c r="U256" s="1474"/>
      <c r="V256" s="1474"/>
      <c r="W256" s="1474"/>
      <c r="X256" s="4" t="s">
        <v>89</v>
      </c>
      <c r="Z256" s="1535"/>
      <c r="AA256" s="1535"/>
      <c r="AB256" s="1535"/>
      <c r="AC256" s="1535"/>
      <c r="AD256" s="1535"/>
      <c r="AE256" s="1535"/>
      <c r="AU256" s="4"/>
      <c r="AV256" s="4"/>
      <c r="AW256" s="4"/>
      <c r="AX256" s="4"/>
      <c r="AY256" s="4"/>
      <c r="BG256">
        <v>0</v>
      </c>
      <c r="BH256" s="3" t="str">
        <f>""</f>
        <v/>
      </c>
      <c r="BN256" s="34"/>
    </row>
    <row r="257" spans="1:66" ht="12.95" customHeight="1">
      <c r="A257" s="19"/>
      <c r="B257" s="4"/>
      <c r="C257" s="4"/>
      <c r="D257" s="4" t="s">
        <v>90</v>
      </c>
      <c r="E257" s="4"/>
      <c r="F257" s="4"/>
      <c r="M257" s="1551" t="s">
        <v>2662</v>
      </c>
      <c r="N257" s="1551"/>
      <c r="O257" s="1551"/>
      <c r="P257" s="1551"/>
      <c r="Q257" s="1551"/>
      <c r="R257" s="1551"/>
      <c r="S257" s="1551"/>
      <c r="T257" s="1551"/>
      <c r="U257" s="1551"/>
      <c r="V257" s="1551"/>
      <c r="W257" s="1551"/>
      <c r="X257" s="1551"/>
      <c r="Y257" s="1551"/>
      <c r="Z257" s="1551"/>
      <c r="AA257" s="1551"/>
      <c r="AB257" s="1551"/>
      <c r="AC257" s="1551"/>
      <c r="AD257" s="1551"/>
      <c r="AE257" s="1551"/>
      <c r="AG257" s="4"/>
      <c r="AH257" s="4"/>
      <c r="AI257" s="4"/>
      <c r="AJ257" s="4"/>
      <c r="AK257" s="4"/>
      <c r="AL257" s="4"/>
      <c r="AM257" s="4"/>
      <c r="AN257" s="4"/>
      <c r="AO257" s="4"/>
      <c r="AP257" s="4"/>
      <c r="AQ257" s="4"/>
      <c r="AR257" s="4"/>
      <c r="AS257" s="4"/>
      <c r="AT257" s="4"/>
      <c r="BN257" s="34"/>
    </row>
    <row r="258" spans="1:66" ht="12.95" customHeight="1">
      <c r="A258" s="13"/>
      <c r="B258" s="4"/>
      <c r="C258" s="56"/>
      <c r="D258" s="4" t="s">
        <v>535</v>
      </c>
      <c r="E258" s="4"/>
      <c r="F258" s="4"/>
      <c r="G258" s="4"/>
      <c r="H258" s="4"/>
      <c r="I258" s="4"/>
      <c r="J258" s="4"/>
      <c r="K258" s="4"/>
      <c r="L258" s="4"/>
      <c r="M258" s="1346" t="s">
        <v>536</v>
      </c>
      <c r="N258" s="1346"/>
      <c r="O258" s="1346"/>
      <c r="P258" s="1346"/>
      <c r="Q258" s="1346"/>
      <c r="R258" s="1346"/>
      <c r="S258" s="1346"/>
      <c r="T258" s="1346"/>
      <c r="U258" s="204" t="s">
        <v>906</v>
      </c>
      <c r="V258" s="204"/>
      <c r="W258" s="204"/>
      <c r="X258" s="204"/>
      <c r="Y258" s="204"/>
      <c r="Z258" s="204"/>
      <c r="AA258" s="1564" t="s">
        <v>2667</v>
      </c>
      <c r="AB258" s="1565"/>
      <c r="AC258" s="1565"/>
      <c r="AD258" s="1565"/>
      <c r="AE258" s="1565"/>
      <c r="AF258" s="1565"/>
      <c r="AG258" s="1565"/>
      <c r="AH258" s="1565"/>
      <c r="AI258" s="1565"/>
      <c r="AJ258" s="1565"/>
      <c r="AK258" s="1565"/>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955</v>
      </c>
      <c r="E260" s="4"/>
      <c r="F260" s="4"/>
      <c r="G260" s="4"/>
      <c r="H260" s="4"/>
      <c r="I260" s="4"/>
      <c r="J260" s="4"/>
      <c r="K260" s="4"/>
      <c r="L260" s="4"/>
      <c r="M260" s="1552" t="s">
        <v>2668</v>
      </c>
      <c r="N260" s="1553"/>
      <c r="O260" s="1553"/>
      <c r="P260" s="1553"/>
      <c r="Q260" s="1553"/>
      <c r="R260" s="1553"/>
      <c r="S260" s="1553"/>
      <c r="T260" s="1553"/>
      <c r="U260" s="1553"/>
      <c r="V260" s="1553"/>
      <c r="W260" s="1553"/>
      <c r="X260" s="1553"/>
      <c r="Y260" s="1553"/>
      <c r="Z260" s="1553"/>
      <c r="AA260" s="1553"/>
      <c r="AB260" s="1553"/>
      <c r="AC260" s="1553"/>
      <c r="AD260" s="1553"/>
      <c r="AE260" s="1553"/>
      <c r="AF260" s="1553" t="s">
        <v>2669</v>
      </c>
      <c r="AG260" s="1553"/>
      <c r="AH260" s="1553"/>
      <c r="AI260" s="1553"/>
      <c r="AJ260" s="1553"/>
      <c r="AK260" s="1553"/>
      <c r="AU260" s="4"/>
      <c r="AV260" s="4"/>
      <c r="AW260" s="4"/>
      <c r="AX260" s="4"/>
      <c r="AY260" s="4"/>
      <c r="BN260" s="34"/>
    </row>
    <row r="261" spans="1:66" ht="12.95" customHeight="1">
      <c r="A261" s="19"/>
      <c r="B261" s="4"/>
      <c r="C261" s="4"/>
      <c r="D261" s="4" t="s">
        <v>85</v>
      </c>
      <c r="E261" s="4"/>
      <c r="F261" s="4"/>
      <c r="G261" s="4"/>
      <c r="H261" s="4"/>
      <c r="I261" s="4"/>
      <c r="J261" s="4"/>
      <c r="K261" s="4"/>
      <c r="L261" s="4"/>
      <c r="M261" s="1344" t="s">
        <v>2670</v>
      </c>
      <c r="N261" s="1545"/>
      <c r="O261" s="1545"/>
      <c r="P261" s="1545"/>
      <c r="Q261" s="1545"/>
      <c r="R261" s="1545"/>
      <c r="S261" s="1545"/>
      <c r="T261" s="1545"/>
      <c r="U261" s="1545"/>
      <c r="V261" s="1545"/>
      <c r="W261" s="1545"/>
      <c r="X261" s="1545"/>
      <c r="Y261" s="1545"/>
      <c r="Z261" s="1545"/>
      <c r="AA261" s="1545"/>
      <c r="AB261" s="1545"/>
      <c r="AC261" s="1545"/>
      <c r="AD261" s="1545"/>
      <c r="AE261" s="1545"/>
      <c r="AF261" s="3" t="s">
        <v>1179</v>
      </c>
      <c r="AL261" s="4"/>
      <c r="AM261" s="4"/>
      <c r="AN261" s="4"/>
      <c r="AO261" s="4"/>
      <c r="AP261" s="4"/>
      <c r="AQ261" s="4"/>
      <c r="AR261" s="4"/>
      <c r="AS261" s="4"/>
      <c r="AT261" s="4"/>
      <c r="BN261" s="34"/>
    </row>
    <row r="262" spans="1:66" ht="12.95" customHeight="1">
      <c r="A262" s="19"/>
      <c r="B262" s="4"/>
      <c r="C262" s="4"/>
      <c r="D262" s="4" t="s">
        <v>580</v>
      </c>
      <c r="E262" s="4"/>
      <c r="M262" s="1344" t="s">
        <v>2671</v>
      </c>
      <c r="N262" s="1545"/>
      <c r="O262" s="1545"/>
      <c r="P262" s="1545"/>
      <c r="Q262" s="1545"/>
      <c r="R262" s="1545"/>
      <c r="S262" s="1545"/>
      <c r="T262" s="1545"/>
      <c r="V262" s="33" t="s">
        <v>86</v>
      </c>
      <c r="W262" s="1345" t="s">
        <v>2666</v>
      </c>
      <c r="X262" s="1474"/>
      <c r="Y262" s="4" t="s">
        <v>583</v>
      </c>
      <c r="AC262" s="1545">
        <v>95348</v>
      </c>
      <c r="AD262" s="1545"/>
      <c r="AE262" s="1545"/>
      <c r="AF262" s="3" t="s">
        <v>1180</v>
      </c>
      <c r="AU262" s="4"/>
      <c r="AV262" s="4"/>
      <c r="AW262" s="4"/>
      <c r="AX262" s="4"/>
      <c r="AY262" s="4"/>
      <c r="BN262" s="34"/>
    </row>
    <row r="263" spans="1:66" ht="12.95" customHeight="1">
      <c r="A263" s="19"/>
      <c r="B263" s="4"/>
      <c r="C263" s="4"/>
      <c r="D263" s="4" t="s">
        <v>87</v>
      </c>
      <c r="E263" s="4"/>
      <c r="F263" s="4"/>
      <c r="G263" s="4"/>
      <c r="H263" s="4"/>
      <c r="I263" s="4"/>
      <c r="J263" s="4"/>
      <c r="K263" s="4"/>
      <c r="L263" s="19"/>
      <c r="M263" s="1344" t="s">
        <v>2672</v>
      </c>
      <c r="N263" s="1545"/>
      <c r="O263" s="1545"/>
      <c r="P263" s="1545"/>
      <c r="Q263" s="1545"/>
      <c r="R263" s="1545"/>
      <c r="S263" s="1545"/>
      <c r="T263" s="1545"/>
      <c r="U263" s="1545"/>
      <c r="V263" s="1545"/>
      <c r="W263" s="1545"/>
      <c r="X263" s="1545"/>
      <c r="Y263" s="1545"/>
      <c r="Z263" s="1545"/>
      <c r="AA263" s="1545"/>
      <c r="AB263" s="1545"/>
      <c r="AC263" s="1545"/>
      <c r="AD263" s="1545"/>
      <c r="AE263" s="1545"/>
      <c r="AH263" s="1563">
        <v>4.8999999999999998E-3</v>
      </c>
      <c r="AI263" s="1563"/>
      <c r="AJ263" s="1563"/>
      <c r="AK263" s="1563"/>
      <c r="AL263" s="4"/>
      <c r="AM263" s="4"/>
      <c r="AN263" s="4"/>
      <c r="AO263" s="4"/>
      <c r="AP263" s="4"/>
      <c r="AQ263" s="4"/>
      <c r="AR263" s="4"/>
      <c r="AS263" s="4"/>
      <c r="AT263" s="4"/>
    </row>
    <row r="264" spans="1:66" ht="12.95" customHeight="1">
      <c r="A264" s="19"/>
      <c r="B264" s="4"/>
      <c r="C264" s="4"/>
      <c r="D264" s="4" t="s">
        <v>88</v>
      </c>
      <c r="E264" s="4"/>
      <c r="F264" s="4"/>
      <c r="M264" s="1546" t="s">
        <v>2673</v>
      </c>
      <c r="N264" s="1535"/>
      <c r="O264" s="1535"/>
      <c r="P264" s="1535"/>
      <c r="Q264" s="1535"/>
      <c r="R264" s="1535"/>
      <c r="S264" s="4" t="s">
        <v>206</v>
      </c>
      <c r="T264" s="4"/>
      <c r="U264" s="1474"/>
      <c r="V264" s="1474"/>
      <c r="W264" s="1474"/>
      <c r="X264" s="4" t="s">
        <v>89</v>
      </c>
      <c r="Z264" s="1535"/>
      <c r="AA264" s="1535"/>
      <c r="AB264" s="1535"/>
      <c r="AC264" s="1535"/>
      <c r="AD264" s="1535"/>
      <c r="AE264" s="1535"/>
      <c r="AU264" s="4"/>
      <c r="AV264" s="4"/>
      <c r="AW264" s="4"/>
      <c r="AX264" s="4"/>
      <c r="AY264" s="4"/>
      <c r="BN264" s="34"/>
    </row>
    <row r="265" spans="1:66" ht="12.95" customHeight="1">
      <c r="A265" s="19"/>
      <c r="B265" s="4"/>
      <c r="C265" s="4"/>
      <c r="D265" s="4" t="s">
        <v>90</v>
      </c>
      <c r="E265" s="4"/>
      <c r="F265" s="4"/>
      <c r="M265" s="1551" t="s">
        <v>2674</v>
      </c>
      <c r="N265" s="1551"/>
      <c r="O265" s="1551"/>
      <c r="P265" s="1551"/>
      <c r="Q265" s="1551"/>
      <c r="R265" s="1551"/>
      <c r="S265" s="1551"/>
      <c r="T265" s="1551"/>
      <c r="U265" s="1551"/>
      <c r="V265" s="1551"/>
      <c r="W265" s="1551"/>
      <c r="X265" s="1551"/>
      <c r="Y265" s="1551"/>
      <c r="Z265" s="1551"/>
      <c r="AA265" s="1551"/>
      <c r="AB265" s="1551"/>
      <c r="AC265" s="1551"/>
      <c r="AD265" s="1551"/>
      <c r="AE265" s="1551"/>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535</v>
      </c>
      <c r="E266" s="4"/>
      <c r="F266" s="4"/>
      <c r="G266" s="4"/>
      <c r="H266" s="4"/>
      <c r="I266" s="4"/>
      <c r="J266" s="4"/>
      <c r="K266" s="4"/>
      <c r="L266" s="4"/>
      <c r="M266" s="1346" t="s">
        <v>534</v>
      </c>
      <c r="N266" s="1346"/>
      <c r="O266" s="1346"/>
      <c r="P266" s="1346"/>
      <c r="Q266" s="1346"/>
      <c r="R266" s="1346"/>
      <c r="S266" s="1346"/>
      <c r="T266" s="1346"/>
      <c r="U266" s="204" t="s">
        <v>906</v>
      </c>
      <c r="V266" s="204"/>
      <c r="W266" s="204"/>
      <c r="X266" s="204"/>
      <c r="Y266" s="204"/>
      <c r="Z266" s="204"/>
      <c r="AA266" s="1565"/>
      <c r="AB266" s="1565"/>
      <c r="AC266" s="1565"/>
      <c r="AD266" s="1565"/>
      <c r="AE266" s="1565"/>
      <c r="AF266" s="1565"/>
      <c r="AG266" s="1565"/>
      <c r="AH266" s="1565"/>
      <c r="AI266" s="1565"/>
      <c r="AJ266" s="1565"/>
      <c r="AK266" s="1565"/>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876</v>
      </c>
      <c r="D268" s="4" t="s">
        <v>532</v>
      </c>
      <c r="E268" s="4"/>
      <c r="F268" s="4"/>
      <c r="G268" s="4"/>
      <c r="H268" s="4"/>
      <c r="I268" s="4"/>
      <c r="J268" s="4"/>
      <c r="K268" s="4"/>
      <c r="L268" s="4"/>
      <c r="M268" s="1553"/>
      <c r="N268" s="1553"/>
      <c r="O268" s="1553"/>
      <c r="P268" s="1553"/>
      <c r="Q268" s="1553"/>
      <c r="R268" s="1553"/>
      <c r="S268" s="1553"/>
      <c r="T268" s="1553"/>
      <c r="U268" s="1553"/>
      <c r="V268" s="1553"/>
      <c r="W268" s="1553"/>
      <c r="X268" s="1553"/>
      <c r="Y268" s="1553"/>
      <c r="Z268" s="1553"/>
      <c r="AA268" s="1553"/>
      <c r="AB268" s="1553"/>
      <c r="AC268" s="1553"/>
      <c r="AD268" s="1553"/>
      <c r="AE268" s="1553"/>
      <c r="AF268" s="1553" t="s">
        <v>307</v>
      </c>
      <c r="AG268" s="1553"/>
      <c r="AH268" s="1553"/>
      <c r="AI268" s="1553"/>
      <c r="AJ268" s="1553"/>
      <c r="AK268" s="1553"/>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545"/>
      <c r="N269" s="1545"/>
      <c r="O269" s="1545"/>
      <c r="P269" s="1545"/>
      <c r="Q269" s="1545"/>
      <c r="R269" s="1545"/>
      <c r="S269" s="1545"/>
      <c r="T269" s="1545"/>
      <c r="U269" s="1545"/>
      <c r="V269" s="1545"/>
      <c r="W269" s="1545"/>
      <c r="X269" s="1545"/>
      <c r="Y269" s="1545"/>
      <c r="Z269" s="1545"/>
      <c r="AA269" s="1545"/>
      <c r="AB269" s="1545"/>
      <c r="AC269" s="1545"/>
      <c r="AD269" s="1545"/>
      <c r="AE269" s="1545"/>
      <c r="AF269" s="3" t="s">
        <v>1179</v>
      </c>
      <c r="AL269" s="3"/>
      <c r="AM269" s="3"/>
      <c r="AN269" s="3"/>
      <c r="AO269" s="3"/>
      <c r="AP269" s="3"/>
      <c r="AQ269" s="3"/>
      <c r="AR269" s="3"/>
      <c r="AS269" s="3"/>
      <c r="AT269" s="3"/>
      <c r="AU269" s="3"/>
      <c r="AV269" s="3"/>
      <c r="AW269" s="3"/>
      <c r="AX269" s="3"/>
      <c r="AY269" s="3"/>
    </row>
    <row r="270" spans="1:66" ht="12.95" customHeight="1">
      <c r="A270" s="13"/>
      <c r="B270" s="4"/>
      <c r="C270" s="4"/>
      <c r="D270" s="4" t="s">
        <v>580</v>
      </c>
      <c r="E270" s="4"/>
      <c r="M270" s="1545"/>
      <c r="N270" s="1545"/>
      <c r="O270" s="1545"/>
      <c r="P270" s="1545"/>
      <c r="Q270" s="1545"/>
      <c r="R270" s="1545"/>
      <c r="S270" s="1545"/>
      <c r="T270" s="1545"/>
      <c r="V270" s="33" t="s">
        <v>86</v>
      </c>
      <c r="W270" s="1474"/>
      <c r="X270" s="1474"/>
      <c r="Y270" s="4" t="s">
        <v>583</v>
      </c>
      <c r="AC270" s="1545"/>
      <c r="AD270" s="1545"/>
      <c r="AE270" s="1545"/>
      <c r="AF270" s="3" t="s">
        <v>1180</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545"/>
      <c r="N271" s="1545"/>
      <c r="O271" s="1545"/>
      <c r="P271" s="1545"/>
      <c r="Q271" s="1545"/>
      <c r="R271" s="1545"/>
      <c r="S271" s="1545"/>
      <c r="T271" s="1545"/>
      <c r="U271" s="1545"/>
      <c r="V271" s="1545"/>
      <c r="W271" s="1545"/>
      <c r="X271" s="1545"/>
      <c r="Y271" s="1545"/>
      <c r="Z271" s="1545"/>
      <c r="AA271" s="1545"/>
      <c r="AB271" s="1545"/>
      <c r="AC271" s="1545"/>
      <c r="AD271" s="1545"/>
      <c r="AE271" s="1545"/>
      <c r="AH271" s="1563"/>
      <c r="AI271" s="1563"/>
      <c r="AJ271" s="1563"/>
      <c r="AK271" s="1563"/>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535"/>
      <c r="N272" s="1535"/>
      <c r="O272" s="1535"/>
      <c r="P272" s="1535"/>
      <c r="Q272" s="1535"/>
      <c r="R272" s="1535"/>
      <c r="S272" s="4" t="s">
        <v>206</v>
      </c>
      <c r="T272" s="4"/>
      <c r="U272" s="1474"/>
      <c r="V272" s="1474"/>
      <c r="W272" s="1474"/>
      <c r="X272" s="4" t="s">
        <v>89</v>
      </c>
      <c r="Z272" s="1535"/>
      <c r="AA272" s="1535"/>
      <c r="AB272" s="1535"/>
      <c r="AC272" s="1535"/>
      <c r="AD272" s="1535"/>
      <c r="AE272" s="1535"/>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551"/>
      <c r="N273" s="1551"/>
      <c r="O273" s="1551"/>
      <c r="P273" s="1551"/>
      <c r="Q273" s="1551"/>
      <c r="R273" s="1551"/>
      <c r="S273" s="1551"/>
      <c r="T273" s="1551"/>
      <c r="U273" s="1551"/>
      <c r="V273" s="1551"/>
      <c r="W273" s="1551"/>
      <c r="X273" s="1551"/>
      <c r="Y273" s="1551"/>
      <c r="Z273" s="1551"/>
      <c r="AA273" s="1568"/>
      <c r="AB273" s="1568"/>
      <c r="AC273" s="1568"/>
      <c r="AD273" s="1568"/>
      <c r="AE273" s="1568"/>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535</v>
      </c>
      <c r="E274" s="4"/>
      <c r="F274" s="4"/>
      <c r="G274" s="4"/>
      <c r="H274" s="4"/>
      <c r="I274" s="4"/>
      <c r="J274" s="4"/>
      <c r="K274" s="4"/>
      <c r="L274" s="4"/>
      <c r="M274" s="1346" t="s">
        <v>307</v>
      </c>
      <c r="N274" s="1346"/>
      <c r="O274" s="1346"/>
      <c r="P274" s="1346"/>
      <c r="Q274" s="1346"/>
      <c r="R274" s="1346"/>
      <c r="S274" s="1346"/>
      <c r="T274" s="1346"/>
      <c r="U274" s="204" t="s">
        <v>906</v>
      </c>
      <c r="V274" s="204"/>
      <c r="W274" s="204"/>
      <c r="X274" s="204"/>
      <c r="Y274" s="204"/>
      <c r="Z274" s="204"/>
      <c r="AA274" s="1570"/>
      <c r="AB274" s="1570"/>
      <c r="AC274" s="1570"/>
      <c r="AD274" s="1570"/>
      <c r="AE274" s="1570"/>
      <c r="AF274" s="1570"/>
      <c r="AG274" s="1570"/>
      <c r="AH274" s="1570"/>
      <c r="AI274" s="1570"/>
      <c r="AJ274" s="1570"/>
      <c r="AK274" s="1570"/>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590</v>
      </c>
      <c r="B276" s="4"/>
      <c r="C276" s="2" t="s">
        <v>295</v>
      </c>
      <c r="D276" s="4"/>
      <c r="E276" s="4"/>
      <c r="F276" s="4"/>
      <c r="G276" s="4"/>
      <c r="H276" s="4"/>
      <c r="I276" s="4"/>
      <c r="J276" s="4"/>
      <c r="K276" s="4"/>
      <c r="L276" s="4"/>
      <c r="M276" s="35"/>
      <c r="N276" s="35"/>
      <c r="O276" s="35"/>
      <c r="P276" s="35"/>
      <c r="Q276" s="35"/>
      <c r="T276" s="1571" t="str">
        <f>IFERROR(BO254,"")</f>
        <v>Joint Venture</v>
      </c>
      <c r="U276" s="1571"/>
      <c r="V276" s="1571"/>
      <c r="W276" s="1571"/>
      <c r="X276" s="1571"/>
      <c r="Z276" s="307" t="s">
        <v>954</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2.95"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2.95" customHeight="1">
      <c r="A279" s="4"/>
      <c r="B279" s="36">
        <v>0</v>
      </c>
      <c r="D279" s="1545" t="s">
        <v>173</v>
      </c>
      <c r="E279" s="1545"/>
      <c r="F279" s="1545"/>
      <c r="G279" s="1545"/>
      <c r="H279" s="1545"/>
      <c r="J279" t="s">
        <v>279</v>
      </c>
      <c r="X279" s="1494"/>
      <c r="Y279" s="1494"/>
      <c r="Z279" s="1494"/>
      <c r="AA279" s="1494"/>
      <c r="AB279" s="1494"/>
      <c r="AC279" s="1494"/>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552" t="s">
        <v>2675</v>
      </c>
      <c r="M283" s="1553"/>
      <c r="N283" s="1553"/>
      <c r="O283" s="1553"/>
      <c r="P283" s="1553"/>
      <c r="Q283" s="1553"/>
      <c r="R283" s="1553"/>
      <c r="S283" s="1553"/>
      <c r="T283" s="1553"/>
      <c r="U283" s="1553"/>
      <c r="V283" s="1553"/>
      <c r="W283" s="1553"/>
      <c r="X283" s="1553"/>
      <c r="Y283" s="1553"/>
      <c r="Z283" s="1553"/>
      <c r="AA283" s="1553"/>
      <c r="AB283" s="1553"/>
      <c r="AC283" s="1553"/>
      <c r="AD283" s="1553"/>
      <c r="AE283" s="1553"/>
      <c r="AF283" s="1553"/>
      <c r="AG283" s="1553"/>
      <c r="AH283" s="1553"/>
      <c r="AI283" s="1553"/>
      <c r="AJ283" s="1553"/>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344" t="s">
        <v>2676</v>
      </c>
      <c r="M284" s="1545"/>
      <c r="N284" s="1545"/>
      <c r="O284" s="1545"/>
      <c r="P284" s="1545"/>
      <c r="Q284" s="1545"/>
      <c r="R284" s="1545"/>
      <c r="S284" s="1545"/>
      <c r="T284" s="1545"/>
      <c r="U284" s="1545"/>
      <c r="V284" s="1545"/>
      <c r="W284" s="1545"/>
      <c r="X284" s="1545"/>
      <c r="Y284" s="1545"/>
      <c r="Z284" s="1545"/>
      <c r="AA284" s="1545"/>
      <c r="AB284" s="1545"/>
      <c r="AC284" s="1545"/>
      <c r="AD284" s="1545"/>
      <c r="AK284" s="3"/>
      <c r="AL284" s="3"/>
      <c r="AM284" s="3"/>
      <c r="AN284" s="3"/>
      <c r="AO284" s="3"/>
      <c r="AP284" s="3"/>
      <c r="AQ284" s="3"/>
      <c r="AR284" s="3"/>
      <c r="AS284" s="3"/>
      <c r="AT284" s="3"/>
      <c r="AU284" s="3"/>
      <c r="AV284" s="3"/>
      <c r="AW284" s="3"/>
      <c r="AX284" s="3"/>
      <c r="AY284" s="3"/>
    </row>
    <row r="285" spans="1:51" ht="12.95" customHeight="1">
      <c r="D285" s="4" t="s">
        <v>580</v>
      </c>
      <c r="E285" s="4"/>
      <c r="L285" s="1344" t="s">
        <v>68</v>
      </c>
      <c r="M285" s="1545"/>
      <c r="N285" s="1545"/>
      <c r="O285" s="1545"/>
      <c r="P285" s="1545"/>
      <c r="Q285" s="1545"/>
      <c r="R285" s="1545"/>
      <c r="S285" s="1545"/>
      <c r="U285" s="33" t="s">
        <v>86</v>
      </c>
      <c r="V285" s="1345" t="s">
        <v>2659</v>
      </c>
      <c r="W285" s="1474"/>
      <c r="X285" s="4" t="s">
        <v>583</v>
      </c>
      <c r="AB285" s="1545">
        <v>95811</v>
      </c>
      <c r="AC285" s="1545"/>
      <c r="AD285" s="1545"/>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344" t="s">
        <v>2677</v>
      </c>
      <c r="M286" s="1545"/>
      <c r="N286" s="1545"/>
      <c r="O286" s="1545"/>
      <c r="P286" s="1545"/>
      <c r="Q286" s="1545"/>
      <c r="R286" s="1545"/>
      <c r="S286" s="1545"/>
      <c r="T286" s="1545"/>
      <c r="U286" s="1545"/>
      <c r="V286" s="1545"/>
      <c r="W286" s="1545"/>
      <c r="X286" s="1545"/>
      <c r="Y286" s="1545"/>
      <c r="Z286" s="1545"/>
      <c r="AA286" s="1545"/>
      <c r="AB286" s="1545"/>
      <c r="AC286" s="1545"/>
      <c r="AD286" s="1545"/>
      <c r="AI286" s="4"/>
      <c r="AJ286" s="4"/>
      <c r="AK286" s="3"/>
      <c r="AL286" s="3"/>
      <c r="AM286" s="3"/>
      <c r="AN286" s="3"/>
      <c r="AO286" s="3"/>
      <c r="AP286" s="3"/>
      <c r="AQ286" s="3"/>
      <c r="AR286" s="3"/>
      <c r="AS286" s="3"/>
      <c r="AT286" s="3"/>
    </row>
    <row r="287" spans="1:51" ht="12.95" customHeight="1">
      <c r="D287" s="4" t="s">
        <v>88</v>
      </c>
      <c r="E287" s="4"/>
      <c r="F287" s="4"/>
      <c r="L287" s="1546" t="s">
        <v>2678</v>
      </c>
      <c r="M287" s="1535"/>
      <c r="N287" s="1535"/>
      <c r="O287" s="1535"/>
      <c r="P287" s="1535"/>
      <c r="Q287" s="1535"/>
      <c r="R287" s="4" t="s">
        <v>206</v>
      </c>
      <c r="S287" s="4"/>
      <c r="T287" s="1474"/>
      <c r="U287" s="1474"/>
      <c r="V287" s="1474"/>
      <c r="W287" s="4" t="s">
        <v>89</v>
      </c>
      <c r="Y287" s="1535"/>
      <c r="Z287" s="1535"/>
      <c r="AA287" s="1535"/>
      <c r="AB287" s="1535"/>
      <c r="AC287" s="1535"/>
      <c r="AD287" s="1535"/>
    </row>
    <row r="288" spans="1:51" ht="12.95" customHeight="1">
      <c r="D288" s="4" t="s">
        <v>90</v>
      </c>
      <c r="E288" s="4"/>
      <c r="F288" s="4"/>
      <c r="L288" s="1551" t="s">
        <v>2679</v>
      </c>
      <c r="M288" s="1551"/>
      <c r="N288" s="1551"/>
      <c r="O288" s="1551"/>
      <c r="P288" s="1551"/>
      <c r="Q288" s="1551"/>
      <c r="R288" s="1551"/>
      <c r="S288" s="1551"/>
      <c r="T288" s="1551"/>
      <c r="U288" s="1551"/>
      <c r="V288" s="1551"/>
      <c r="W288" s="1551"/>
      <c r="X288" s="1551"/>
      <c r="Y288" s="1551"/>
      <c r="Z288" s="1551"/>
      <c r="AA288" s="1551"/>
      <c r="AB288" s="1551"/>
      <c r="AC288" s="1551"/>
      <c r="AD288" s="1551"/>
      <c r="AF288" s="4"/>
      <c r="AG288" s="4"/>
      <c r="AH288" s="4"/>
      <c r="AI288" s="4"/>
      <c r="AJ288" s="4"/>
      <c r="AU288" s="3"/>
      <c r="AV288" s="3"/>
      <c r="AW288" s="3"/>
      <c r="AX288" s="3"/>
      <c r="AY288" s="3"/>
    </row>
    <row r="289" spans="1:51" ht="12.95" customHeight="1">
      <c r="D289" s="3" t="s">
        <v>623</v>
      </c>
      <c r="E289" s="3"/>
      <c r="F289" s="3"/>
      <c r="G289" s="3"/>
      <c r="H289" s="3"/>
      <c r="I289" s="3"/>
      <c r="L289" s="1345" t="s">
        <v>2680</v>
      </c>
      <c r="M289" s="1345"/>
      <c r="N289" s="1345"/>
      <c r="O289" s="1345"/>
      <c r="P289" s="1345"/>
      <c r="Q289" s="1345"/>
      <c r="R289" s="1345"/>
      <c r="S289" s="1345"/>
      <c r="T289" s="1345"/>
      <c r="U289" s="1345"/>
      <c r="V289" s="1345"/>
      <c r="W289" s="1345"/>
      <c r="X289" s="1345"/>
      <c r="Y289" s="1345"/>
      <c r="Z289" s="1345"/>
      <c r="AA289" s="1345"/>
      <c r="AB289" s="1345"/>
      <c r="AC289" s="1345"/>
      <c r="AD289" s="1345"/>
      <c r="AK289" s="3"/>
      <c r="AL289" s="3"/>
      <c r="AM289" s="3"/>
      <c r="AN289" s="3"/>
      <c r="AO289" s="3"/>
      <c r="AP289" s="3"/>
      <c r="AQ289" s="3"/>
      <c r="AR289" s="3"/>
      <c r="AS289" s="3"/>
      <c r="AT289" s="3"/>
    </row>
    <row r="290" spans="1:51" ht="12.95" customHeight="1">
      <c r="L290" s="22" t="s">
        <v>624</v>
      </c>
      <c r="AU290" s="95"/>
      <c r="AV290" s="95"/>
      <c r="AW290" s="95"/>
      <c r="AX290" s="95"/>
      <c r="AY290" s="95"/>
    </row>
    <row r="291" spans="1:51" ht="12.95" customHeight="1">
      <c r="A291" s="1548" t="s">
        <v>541</v>
      </c>
      <c r="B291" s="1548"/>
      <c r="C291" s="1548"/>
      <c r="D291" s="1548"/>
      <c r="E291" s="1548"/>
      <c r="F291" s="1548"/>
      <c r="G291" s="1548"/>
      <c r="H291" s="1548"/>
      <c r="I291" s="1548"/>
      <c r="J291" s="1548"/>
      <c r="K291" s="1548"/>
      <c r="L291" s="1548"/>
      <c r="M291" s="1548"/>
      <c r="N291" s="1548"/>
      <c r="O291" s="1548"/>
      <c r="P291" s="1548"/>
      <c r="Q291" s="1548"/>
      <c r="R291" s="1548"/>
      <c r="S291" s="1548"/>
      <c r="T291" s="1548"/>
      <c r="U291" s="1548"/>
      <c r="V291" s="1548"/>
      <c r="W291" s="1548"/>
      <c r="X291" s="1548"/>
      <c r="Y291" s="1548"/>
      <c r="Z291" s="1548"/>
      <c r="AA291" s="1548"/>
      <c r="AB291" s="1548"/>
      <c r="AC291" s="1548"/>
      <c r="AD291" s="1548"/>
      <c r="AE291" s="1548"/>
      <c r="AF291" s="1548"/>
      <c r="AG291" s="1548"/>
      <c r="AH291" s="1548"/>
      <c r="AI291" s="1548"/>
      <c r="AJ291" s="1548"/>
      <c r="AK291" s="1548"/>
      <c r="AL291" s="1548"/>
      <c r="AM291" s="1548"/>
      <c r="AN291" s="1548"/>
      <c r="AO291" s="1548"/>
      <c r="AP291" s="1548"/>
      <c r="AQ291" s="1548"/>
      <c r="AR291" s="1548"/>
      <c r="AS291" s="1548"/>
      <c r="AT291" s="1548"/>
      <c r="AU291" s="95"/>
      <c r="AV291" s="95"/>
      <c r="AW291" s="95"/>
      <c r="AX291" s="95"/>
      <c r="AY291" s="95"/>
    </row>
    <row r="292" spans="1:51" ht="12.95" customHeight="1">
      <c r="A292" s="1548"/>
      <c r="B292" s="1548"/>
      <c r="C292" s="1548"/>
      <c r="D292" s="1548"/>
      <c r="E292" s="1548"/>
      <c r="F292" s="1548"/>
      <c r="G292" s="1548"/>
      <c r="H292" s="1548"/>
      <c r="I292" s="1548"/>
      <c r="J292" s="1548"/>
      <c r="K292" s="1548"/>
      <c r="L292" s="1548"/>
      <c r="M292" s="1548"/>
      <c r="N292" s="1548"/>
      <c r="O292" s="1548"/>
      <c r="P292" s="1548"/>
      <c r="Q292" s="1548"/>
      <c r="R292" s="1548"/>
      <c r="S292" s="1548"/>
      <c r="T292" s="1548"/>
      <c r="U292" s="1548"/>
      <c r="V292" s="1548"/>
      <c r="W292" s="1548"/>
      <c r="X292" s="1548"/>
      <c r="Y292" s="1548"/>
      <c r="Z292" s="1548"/>
      <c r="AA292" s="1548"/>
      <c r="AB292" s="1548"/>
      <c r="AC292" s="1548"/>
      <c r="AD292" s="1548"/>
      <c r="AE292" s="1548"/>
      <c r="AF292" s="1548"/>
      <c r="AG292" s="1548"/>
      <c r="AH292" s="1548"/>
      <c r="AI292" s="1548"/>
      <c r="AJ292" s="1548"/>
      <c r="AK292" s="1548"/>
      <c r="AL292" s="1548"/>
      <c r="AM292" s="1548"/>
      <c r="AN292" s="1548"/>
      <c r="AO292" s="1548"/>
      <c r="AP292" s="1548"/>
      <c r="AQ292" s="1548"/>
      <c r="AR292" s="1548"/>
      <c r="AS292" s="1548"/>
      <c r="AT292" s="1548"/>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626</v>
      </c>
      <c r="C296" s="3"/>
      <c r="D296" s="3"/>
      <c r="E296" s="3"/>
      <c r="F296" s="3"/>
      <c r="H296" s="1484" t="s">
        <v>2644</v>
      </c>
      <c r="I296" s="1484"/>
      <c r="J296" s="1484"/>
      <c r="K296" s="1484"/>
      <c r="L296" s="1484"/>
      <c r="M296" s="1484"/>
      <c r="N296" s="1484"/>
      <c r="O296" s="1484"/>
      <c r="P296" s="1484"/>
      <c r="Q296" s="1484"/>
      <c r="R296" s="1484"/>
      <c r="T296" s="3" t="s">
        <v>567</v>
      </c>
      <c r="V296" s="3"/>
      <c r="W296" s="3"/>
      <c r="X296" s="3"/>
      <c r="Y296" s="3"/>
      <c r="AA296" s="1484" t="s">
        <v>2682</v>
      </c>
      <c r="AB296" s="1484"/>
      <c r="AC296" s="1484"/>
      <c r="AD296" s="1484"/>
      <c r="AE296" s="1484"/>
      <c r="AF296" s="1484"/>
      <c r="AG296" s="1484"/>
      <c r="AH296" s="1484"/>
      <c r="AI296" s="1484"/>
      <c r="AJ296" s="1484"/>
      <c r="AK296" s="1484"/>
    </row>
    <row r="297" spans="1:51" ht="12.95" customHeight="1">
      <c r="B297" s="3" t="s">
        <v>471</v>
      </c>
      <c r="C297" s="3"/>
      <c r="D297" s="3"/>
      <c r="E297" s="3"/>
      <c r="F297" s="3"/>
      <c r="H297" s="1346" t="s">
        <v>2657</v>
      </c>
      <c r="I297" s="1346"/>
      <c r="J297" s="1346"/>
      <c r="K297" s="1346"/>
      <c r="L297" s="1346"/>
      <c r="M297" s="1346"/>
      <c r="N297" s="1346"/>
      <c r="O297" s="1346"/>
      <c r="P297" s="1346"/>
      <c r="Q297" s="1346"/>
      <c r="R297" s="1346"/>
      <c r="T297" s="3" t="s">
        <v>471</v>
      </c>
      <c r="V297" s="3"/>
      <c r="W297" s="3"/>
      <c r="X297" s="3"/>
      <c r="Y297" s="3"/>
      <c r="AA297" s="1346" t="s">
        <v>2683</v>
      </c>
      <c r="AB297" s="1346"/>
      <c r="AC297" s="1346"/>
      <c r="AD297" s="1346"/>
      <c r="AE297" s="1346"/>
      <c r="AF297" s="1346"/>
      <c r="AG297" s="1346"/>
      <c r="AH297" s="1346"/>
      <c r="AI297" s="1346"/>
      <c r="AJ297" s="1346"/>
      <c r="AK297" s="1346"/>
    </row>
    <row r="298" spans="1:51" ht="12.95" customHeight="1">
      <c r="B298" s="3" t="s">
        <v>472</v>
      </c>
      <c r="C298" s="3"/>
      <c r="D298" s="3"/>
      <c r="E298" s="3"/>
      <c r="F298" s="3"/>
      <c r="H298" s="1346" t="s">
        <v>2681</v>
      </c>
      <c r="I298" s="1346"/>
      <c r="J298" s="1346"/>
      <c r="K298" s="1346"/>
      <c r="L298" s="1346"/>
      <c r="M298" s="1346"/>
      <c r="N298" s="1346"/>
      <c r="O298" s="1346"/>
      <c r="P298" s="1346"/>
      <c r="Q298" s="1346"/>
      <c r="R298" s="1346"/>
      <c r="T298" s="3" t="s">
        <v>75</v>
      </c>
      <c r="V298" s="3"/>
      <c r="W298" s="3"/>
      <c r="X298" s="3"/>
      <c r="Y298" s="3"/>
      <c r="AA298" s="1346" t="s">
        <v>2684</v>
      </c>
      <c r="AB298" s="1346"/>
      <c r="AC298" s="1346"/>
      <c r="AD298" s="1346"/>
      <c r="AE298" s="1346"/>
      <c r="AF298" s="1346"/>
      <c r="AG298" s="1346"/>
      <c r="AH298" s="1346"/>
      <c r="AI298" s="1346"/>
      <c r="AJ298" s="1346"/>
      <c r="AK298" s="1346"/>
    </row>
    <row r="299" spans="1:51" ht="12.95" customHeight="1">
      <c r="B299" s="3" t="s">
        <v>87</v>
      </c>
      <c r="C299" s="3"/>
      <c r="D299" s="3"/>
      <c r="E299" s="3"/>
      <c r="F299" s="3"/>
      <c r="H299" s="1346" t="s">
        <v>2660</v>
      </c>
      <c r="I299" s="1346"/>
      <c r="J299" s="1346"/>
      <c r="K299" s="1346"/>
      <c r="L299" s="1346"/>
      <c r="M299" s="1346"/>
      <c r="N299" s="1346"/>
      <c r="O299" s="1346"/>
      <c r="P299" s="1346"/>
      <c r="Q299" s="1346"/>
      <c r="R299" s="1346"/>
      <c r="T299" s="3" t="s">
        <v>87</v>
      </c>
      <c r="V299" s="3"/>
      <c r="W299" s="3"/>
      <c r="X299" s="3"/>
      <c r="Y299" s="3"/>
      <c r="AA299" s="1346" t="s">
        <v>2685</v>
      </c>
      <c r="AB299" s="1346"/>
      <c r="AC299" s="1346"/>
      <c r="AD299" s="1346"/>
      <c r="AE299" s="1346"/>
      <c r="AF299" s="1346"/>
      <c r="AG299" s="1346"/>
      <c r="AH299" s="1346"/>
      <c r="AI299" s="1346"/>
      <c r="AJ299" s="1346"/>
      <c r="AK299" s="1346"/>
    </row>
    <row r="300" spans="1:51" ht="12.95" customHeight="1">
      <c r="B300" s="3" t="s">
        <v>88</v>
      </c>
      <c r="C300" s="3"/>
      <c r="D300" s="3"/>
      <c r="E300" s="3"/>
      <c r="F300" s="3"/>
      <c r="G300" s="3"/>
      <c r="H300" s="1554" t="s">
        <v>2661</v>
      </c>
      <c r="I300" s="1554"/>
      <c r="J300" s="1554"/>
      <c r="K300" s="1554"/>
      <c r="L300" s="1554"/>
      <c r="M300" s="1554"/>
      <c r="N300" s="4" t="s">
        <v>206</v>
      </c>
      <c r="O300" s="4"/>
      <c r="P300" s="1545"/>
      <c r="Q300" s="1545"/>
      <c r="R300" s="1545"/>
      <c r="S300" s="3"/>
      <c r="T300" s="3" t="s">
        <v>88</v>
      </c>
      <c r="V300" s="3"/>
      <c r="W300" s="3"/>
      <c r="X300" s="3"/>
      <c r="Y300" s="3"/>
      <c r="AA300" s="1554" t="s">
        <v>2708</v>
      </c>
      <c r="AB300" s="1554"/>
      <c r="AC300" s="1554"/>
      <c r="AD300" s="1554"/>
      <c r="AE300" s="1554"/>
      <c r="AF300" s="1554"/>
      <c r="AG300" s="4" t="s">
        <v>206</v>
      </c>
      <c r="AH300" s="4"/>
      <c r="AI300" s="1545"/>
      <c r="AJ300" s="1545"/>
      <c r="AK300" s="1545"/>
    </row>
    <row r="301" spans="1:51" ht="12.95" customHeight="1">
      <c r="B301" s="3" t="s">
        <v>89</v>
      </c>
      <c r="C301" s="3"/>
      <c r="D301" s="3"/>
      <c r="E301" s="3"/>
      <c r="F301" s="3"/>
      <c r="G301" s="3"/>
      <c r="H301" s="1535"/>
      <c r="I301" s="1535"/>
      <c r="J301" s="1535"/>
      <c r="K301" s="1535"/>
      <c r="L301" s="1535"/>
      <c r="M301" s="1535"/>
      <c r="N301" s="4"/>
      <c r="O301" s="4"/>
      <c r="P301" s="35"/>
      <c r="Q301" s="35"/>
      <c r="R301" s="35"/>
      <c r="S301" s="3"/>
      <c r="T301" s="3" t="s">
        <v>89</v>
      </c>
      <c r="V301" s="3"/>
      <c r="W301" s="3"/>
      <c r="X301" s="3"/>
      <c r="Y301" s="3"/>
      <c r="AA301" s="1535"/>
      <c r="AB301" s="1535"/>
      <c r="AC301" s="1535"/>
      <c r="AD301" s="1535"/>
      <c r="AE301" s="1535"/>
      <c r="AF301" s="1535"/>
      <c r="AG301" s="4"/>
      <c r="AH301" s="4"/>
      <c r="AI301" s="35"/>
      <c r="AJ301" s="35"/>
      <c r="AK301" s="35"/>
    </row>
    <row r="302" spans="1:51" ht="12.95" customHeight="1">
      <c r="B302" s="3" t="s">
        <v>76</v>
      </c>
      <c r="C302" s="3"/>
      <c r="D302" s="3"/>
      <c r="E302" s="3"/>
      <c r="F302" s="3"/>
      <c r="G302" s="3"/>
      <c r="H302" s="1346" t="s">
        <v>2662</v>
      </c>
      <c r="I302" s="1346"/>
      <c r="J302" s="1346"/>
      <c r="K302" s="1346"/>
      <c r="L302" s="1346"/>
      <c r="M302" s="1346"/>
      <c r="N302" s="1484"/>
      <c r="O302" s="1484"/>
      <c r="P302" s="1484"/>
      <c r="Q302" s="1484"/>
      <c r="R302" s="1484"/>
      <c r="S302" s="3"/>
      <c r="T302" s="3" t="s">
        <v>76</v>
      </c>
      <c r="V302" s="3"/>
      <c r="W302" s="3"/>
      <c r="X302" s="3"/>
      <c r="Y302" s="3"/>
      <c r="AA302" s="1346"/>
      <c r="AB302" s="1346"/>
      <c r="AC302" s="1346"/>
      <c r="AD302" s="1346"/>
      <c r="AE302" s="1346"/>
      <c r="AF302" s="1346"/>
      <c r="AG302" s="1484"/>
      <c r="AH302" s="1484"/>
      <c r="AI302" s="1484"/>
      <c r="AJ302" s="1484"/>
      <c r="AK302" s="1484"/>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484" t="s">
        <v>2675</v>
      </c>
      <c r="I304" s="1484"/>
      <c r="J304" s="1484"/>
      <c r="K304" s="1484"/>
      <c r="L304" s="1484"/>
      <c r="M304" s="1484"/>
      <c r="N304" s="1484"/>
      <c r="O304" s="1484"/>
      <c r="P304" s="1484"/>
      <c r="Q304" s="1484"/>
      <c r="R304" s="1484"/>
      <c r="T304" s="3" t="s">
        <v>364</v>
      </c>
      <c r="V304" s="3"/>
      <c r="W304" s="3"/>
      <c r="X304" s="3"/>
      <c r="Y304" s="3"/>
      <c r="AA304" s="1484" t="s">
        <v>2780</v>
      </c>
      <c r="AB304" s="1484"/>
      <c r="AC304" s="1484"/>
      <c r="AD304" s="1484"/>
      <c r="AE304" s="1484"/>
      <c r="AF304" s="1484"/>
      <c r="AG304" s="1484"/>
      <c r="AH304" s="1484"/>
      <c r="AI304" s="1484"/>
      <c r="AJ304" s="1484"/>
      <c r="AK304" s="1484"/>
    </row>
    <row r="305" spans="2:72" ht="12.95" customHeight="1">
      <c r="B305" s="3" t="s">
        <v>471</v>
      </c>
      <c r="C305" s="3"/>
      <c r="D305" s="3"/>
      <c r="E305" s="3"/>
      <c r="F305" s="3"/>
      <c r="H305" s="1346" t="s">
        <v>2676</v>
      </c>
      <c r="I305" s="1346"/>
      <c r="J305" s="1346"/>
      <c r="K305" s="1346"/>
      <c r="L305" s="1346"/>
      <c r="M305" s="1346"/>
      <c r="N305" s="1346"/>
      <c r="O305" s="1346"/>
      <c r="P305" s="1346"/>
      <c r="Q305" s="1346"/>
      <c r="R305" s="1346"/>
      <c r="T305" s="3" t="s">
        <v>471</v>
      </c>
      <c r="V305" s="3"/>
      <c r="W305" s="3"/>
      <c r="X305" s="3"/>
      <c r="Y305" s="3"/>
      <c r="AA305" s="1346" t="s">
        <v>2683</v>
      </c>
      <c r="AB305" s="1346"/>
      <c r="AC305" s="1346"/>
      <c r="AD305" s="1346"/>
      <c r="AE305" s="1346"/>
      <c r="AF305" s="1346"/>
      <c r="AG305" s="1346"/>
      <c r="AH305" s="1346"/>
      <c r="AI305" s="1346"/>
      <c r="AJ305" s="1346"/>
      <c r="AK305" s="1346"/>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472</v>
      </c>
      <c r="C306" s="3"/>
      <c r="D306" s="3"/>
      <c r="E306" s="3"/>
      <c r="F306" s="3"/>
      <c r="H306" s="1346" t="s">
        <v>2686</v>
      </c>
      <c r="I306" s="1346"/>
      <c r="J306" s="1346"/>
      <c r="K306" s="1346"/>
      <c r="L306" s="1346"/>
      <c r="M306" s="1346"/>
      <c r="N306" s="1346"/>
      <c r="O306" s="1346"/>
      <c r="P306" s="1346"/>
      <c r="Q306" s="1346"/>
      <c r="R306" s="1346"/>
      <c r="T306" s="3" t="s">
        <v>75</v>
      </c>
      <c r="V306" s="3"/>
      <c r="W306" s="3"/>
      <c r="X306" s="3"/>
      <c r="Y306" s="3"/>
      <c r="AA306" s="1346" t="s">
        <v>2684</v>
      </c>
      <c r="AB306" s="1346"/>
      <c r="AC306" s="1346"/>
      <c r="AD306" s="1346"/>
      <c r="AE306" s="1346"/>
      <c r="AF306" s="1346"/>
      <c r="AG306" s="1346"/>
      <c r="AH306" s="1346"/>
      <c r="AI306" s="1346"/>
      <c r="AJ306" s="1346"/>
      <c r="AK306" s="1346"/>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346" t="s">
        <v>2677</v>
      </c>
      <c r="I307" s="1346"/>
      <c r="J307" s="1346"/>
      <c r="K307" s="1346"/>
      <c r="L307" s="1346"/>
      <c r="M307" s="1346"/>
      <c r="N307" s="1346"/>
      <c r="O307" s="1346"/>
      <c r="P307" s="1346"/>
      <c r="Q307" s="1346"/>
      <c r="R307" s="1346"/>
      <c r="T307" s="3" t="s">
        <v>87</v>
      </c>
      <c r="V307" s="3"/>
      <c r="W307" s="3"/>
      <c r="X307" s="3"/>
      <c r="Y307" s="3"/>
      <c r="AA307" s="1346" t="s">
        <v>2723</v>
      </c>
      <c r="AB307" s="1346"/>
      <c r="AC307" s="1346"/>
      <c r="AD307" s="1346"/>
      <c r="AE307" s="1346"/>
      <c r="AF307" s="1346"/>
      <c r="AG307" s="1346"/>
      <c r="AH307" s="1346"/>
      <c r="AI307" s="1346"/>
      <c r="AJ307" s="1346"/>
      <c r="AK307" s="1346"/>
    </row>
    <row r="308" spans="2:72" ht="12.95" customHeight="1">
      <c r="B308" s="3" t="s">
        <v>88</v>
      </c>
      <c r="C308" s="3"/>
      <c r="D308" s="3"/>
      <c r="E308" s="3"/>
      <c r="F308" s="3"/>
      <c r="G308" s="3"/>
      <c r="H308" s="1554" t="s">
        <v>2678</v>
      </c>
      <c r="I308" s="1554"/>
      <c r="J308" s="1554"/>
      <c r="K308" s="1554"/>
      <c r="L308" s="1554"/>
      <c r="M308" s="1554"/>
      <c r="N308" s="4" t="s">
        <v>206</v>
      </c>
      <c r="O308" s="4"/>
      <c r="P308" s="1545"/>
      <c r="Q308" s="1545"/>
      <c r="R308" s="1545"/>
      <c r="S308" s="3"/>
      <c r="T308" s="3" t="s">
        <v>88</v>
      </c>
      <c r="V308" s="3"/>
      <c r="W308" s="3"/>
      <c r="X308" s="3"/>
      <c r="Y308" s="3"/>
      <c r="AA308" s="1554">
        <v>2084610022</v>
      </c>
      <c r="AB308" s="1554"/>
      <c r="AC308" s="1554"/>
      <c r="AD308" s="1554"/>
      <c r="AE308" s="1554"/>
      <c r="AF308" s="1554"/>
      <c r="AG308" s="4" t="s">
        <v>206</v>
      </c>
      <c r="AH308" s="4"/>
      <c r="AI308" s="1545"/>
      <c r="AJ308" s="1545"/>
      <c r="AK308" s="1545"/>
    </row>
    <row r="309" spans="2:72" ht="12.95" customHeight="1">
      <c r="B309" s="3" t="s">
        <v>89</v>
      </c>
      <c r="C309" s="3"/>
      <c r="D309" s="3"/>
      <c r="E309" s="3"/>
      <c r="F309" s="3"/>
      <c r="G309" s="3"/>
      <c r="H309" s="1535"/>
      <c r="I309" s="1535"/>
      <c r="J309" s="1535"/>
      <c r="K309" s="1535"/>
      <c r="L309" s="1535"/>
      <c r="M309" s="1535"/>
      <c r="N309" s="4"/>
      <c r="O309" s="4"/>
      <c r="P309" s="35"/>
      <c r="Q309" s="35"/>
      <c r="R309" s="35"/>
      <c r="S309" s="3"/>
      <c r="T309" s="3" t="s">
        <v>89</v>
      </c>
      <c r="V309" s="3"/>
      <c r="W309" s="3"/>
      <c r="X309" s="3"/>
      <c r="Y309" s="3"/>
      <c r="AA309" s="1535"/>
      <c r="AB309" s="1535"/>
      <c r="AC309" s="1535"/>
      <c r="AD309" s="1535"/>
      <c r="AE309" s="1535"/>
      <c r="AF309" s="1535"/>
      <c r="AG309" s="4"/>
      <c r="AH309" s="4"/>
      <c r="AI309" s="35"/>
      <c r="AJ309" s="35"/>
      <c r="AK309" s="35"/>
    </row>
    <row r="310" spans="2:72" ht="12.95" customHeight="1">
      <c r="B310" s="3" t="s">
        <v>76</v>
      </c>
      <c r="C310" s="3"/>
      <c r="D310" s="3"/>
      <c r="E310" s="3"/>
      <c r="F310" s="3"/>
      <c r="G310" s="3"/>
      <c r="H310" s="1346" t="s">
        <v>2679</v>
      </c>
      <c r="I310" s="1346"/>
      <c r="J310" s="1346"/>
      <c r="K310" s="1346"/>
      <c r="L310" s="1346"/>
      <c r="M310" s="1346"/>
      <c r="N310" s="1484"/>
      <c r="O310" s="1484"/>
      <c r="P310" s="1484"/>
      <c r="Q310" s="1484"/>
      <c r="R310" s="1484"/>
      <c r="S310" s="3"/>
      <c r="T310" s="3" t="s">
        <v>76</v>
      </c>
      <c r="V310" s="3"/>
      <c r="W310" s="3"/>
      <c r="X310" s="3"/>
      <c r="Y310" s="3"/>
      <c r="AA310" s="1346" t="s">
        <v>2781</v>
      </c>
      <c r="AB310" s="1346"/>
      <c r="AC310" s="1346"/>
      <c r="AD310" s="1346"/>
      <c r="AE310" s="1346"/>
      <c r="AF310" s="1346"/>
      <c r="AG310" s="1484"/>
      <c r="AH310" s="1484"/>
      <c r="AI310" s="1484"/>
      <c r="AJ310" s="1484"/>
      <c r="AK310" s="1484"/>
    </row>
    <row r="311" spans="2:72" ht="12.95" customHeight="1"/>
    <row r="312" spans="2:72" ht="12.95" customHeight="1">
      <c r="B312" s="3" t="s">
        <v>77</v>
      </c>
      <c r="C312" s="3"/>
      <c r="D312" s="3"/>
      <c r="E312" s="3"/>
      <c r="F312" s="3"/>
      <c r="H312" s="1484" t="s">
        <v>2675</v>
      </c>
      <c r="I312" s="1484"/>
      <c r="J312" s="1484"/>
      <c r="K312" s="1484"/>
      <c r="L312" s="1484"/>
      <c r="M312" s="1484"/>
      <c r="N312" s="1484"/>
      <c r="O312" s="1484"/>
      <c r="P312" s="1484"/>
      <c r="Q312" s="1484"/>
      <c r="R312" s="1484"/>
      <c r="T312" s="4" t="s">
        <v>878</v>
      </c>
      <c r="V312" s="3"/>
      <c r="W312" s="3"/>
      <c r="X312" s="3"/>
      <c r="Y312" s="3"/>
      <c r="AA312" s="1484"/>
      <c r="AB312" s="1484"/>
      <c r="AC312" s="1484"/>
      <c r="AD312" s="1484"/>
      <c r="AE312" s="1484"/>
      <c r="AF312" s="1484"/>
      <c r="AG312" s="1484"/>
      <c r="AH312" s="1484"/>
      <c r="AI312" s="1484"/>
      <c r="AJ312" s="1484"/>
      <c r="AK312" s="1484"/>
    </row>
    <row r="313" spans="2:72" ht="12.95" customHeight="1">
      <c r="B313" s="3" t="s">
        <v>471</v>
      </c>
      <c r="C313" s="3"/>
      <c r="D313" s="3"/>
      <c r="E313" s="3"/>
      <c r="F313" s="3"/>
      <c r="H313" s="1346" t="s">
        <v>2676</v>
      </c>
      <c r="I313" s="1346"/>
      <c r="J313" s="1346"/>
      <c r="K313" s="1346"/>
      <c r="L313" s="1346"/>
      <c r="M313" s="1346"/>
      <c r="N313" s="1346"/>
      <c r="O313" s="1346"/>
      <c r="P313" s="1346"/>
      <c r="Q313" s="1346"/>
      <c r="R313" s="1346"/>
      <c r="T313" s="3" t="s">
        <v>471</v>
      </c>
      <c r="V313" s="3"/>
      <c r="W313" s="3"/>
      <c r="X313" s="3"/>
      <c r="Y313" s="3"/>
      <c r="AA313" s="1346"/>
      <c r="AB313" s="1346"/>
      <c r="AC313" s="1346"/>
      <c r="AD313" s="1346"/>
      <c r="AE313" s="1346"/>
      <c r="AF313" s="1346"/>
      <c r="AG313" s="1346"/>
      <c r="AH313" s="1346"/>
      <c r="AI313" s="1346"/>
      <c r="AJ313" s="1346"/>
      <c r="AK313" s="1346"/>
    </row>
    <row r="314" spans="2:72" ht="12.95" customHeight="1">
      <c r="B314" s="3" t="s">
        <v>472</v>
      </c>
      <c r="C314" s="3"/>
      <c r="D314" s="3"/>
      <c r="E314" s="3"/>
      <c r="F314" s="3"/>
      <c r="H314" s="1346" t="s">
        <v>2686</v>
      </c>
      <c r="I314" s="1346"/>
      <c r="J314" s="1346"/>
      <c r="K314" s="1346"/>
      <c r="L314" s="1346"/>
      <c r="M314" s="1346"/>
      <c r="N314" s="1346"/>
      <c r="O314" s="1346"/>
      <c r="P314" s="1346"/>
      <c r="Q314" s="1346"/>
      <c r="R314" s="1346"/>
      <c r="T314" s="3" t="s">
        <v>75</v>
      </c>
      <c r="V314" s="3"/>
      <c r="W314" s="3"/>
      <c r="X314" s="3"/>
      <c r="Y314" s="3"/>
      <c r="AA314" s="1346"/>
      <c r="AB314" s="1346"/>
      <c r="AC314" s="1346"/>
      <c r="AD314" s="1346"/>
      <c r="AE314" s="1346"/>
      <c r="AF314" s="1346"/>
      <c r="AG314" s="1346"/>
      <c r="AH314" s="1346"/>
      <c r="AI314" s="1346"/>
      <c r="AJ314" s="1346"/>
      <c r="AK314" s="1346"/>
    </row>
    <row r="315" spans="2:72" ht="12.95" customHeight="1">
      <c r="B315" s="3" t="s">
        <v>87</v>
      </c>
      <c r="C315" s="3"/>
      <c r="D315" s="3"/>
      <c r="E315" s="3"/>
      <c r="F315" s="3"/>
      <c r="H315" s="1346" t="s">
        <v>2677</v>
      </c>
      <c r="I315" s="1346"/>
      <c r="J315" s="1346"/>
      <c r="K315" s="1346"/>
      <c r="L315" s="1346"/>
      <c r="M315" s="1346"/>
      <c r="N315" s="1346"/>
      <c r="O315" s="1346"/>
      <c r="P315" s="1346"/>
      <c r="Q315" s="1346"/>
      <c r="R315" s="1346"/>
      <c r="T315" s="3" t="s">
        <v>87</v>
      </c>
      <c r="V315" s="3"/>
      <c r="W315" s="3"/>
      <c r="X315" s="3"/>
      <c r="Y315" s="3"/>
      <c r="AA315" s="1346"/>
      <c r="AB315" s="1346"/>
      <c r="AC315" s="1346"/>
      <c r="AD315" s="1346"/>
      <c r="AE315" s="1346"/>
      <c r="AF315" s="1346"/>
      <c r="AG315" s="1346"/>
      <c r="AH315" s="1346"/>
      <c r="AI315" s="1346"/>
      <c r="AJ315" s="1346"/>
      <c r="AK315" s="1346"/>
    </row>
    <row r="316" spans="2:72" ht="12.95" customHeight="1">
      <c r="B316" s="3" t="s">
        <v>88</v>
      </c>
      <c r="C316" s="3"/>
      <c r="D316" s="3"/>
      <c r="E316" s="3"/>
      <c r="F316" s="3"/>
      <c r="G316" s="3"/>
      <c r="H316" s="1554" t="s">
        <v>2678</v>
      </c>
      <c r="I316" s="1554"/>
      <c r="J316" s="1554"/>
      <c r="K316" s="1554"/>
      <c r="L316" s="1554"/>
      <c r="M316" s="1554"/>
      <c r="N316" s="4" t="s">
        <v>206</v>
      </c>
      <c r="O316" s="4"/>
      <c r="P316" s="1545"/>
      <c r="Q316" s="1545"/>
      <c r="R316" s="1545"/>
      <c r="S316" s="3"/>
      <c r="T316" s="3" t="s">
        <v>88</v>
      </c>
      <c r="V316" s="3"/>
      <c r="W316" s="3"/>
      <c r="X316" s="3"/>
      <c r="Y316" s="3"/>
      <c r="AA316" s="1554"/>
      <c r="AB316" s="1554"/>
      <c r="AC316" s="1554"/>
      <c r="AD316" s="1554"/>
      <c r="AE316" s="1554"/>
      <c r="AF316" s="1554"/>
      <c r="AG316" s="4" t="s">
        <v>206</v>
      </c>
      <c r="AH316" s="4"/>
      <c r="AI316" s="1545"/>
      <c r="AJ316" s="1545"/>
      <c r="AK316" s="1545"/>
    </row>
    <row r="317" spans="2:72" ht="12.95" customHeight="1">
      <c r="B317" s="3" t="s">
        <v>89</v>
      </c>
      <c r="C317" s="3"/>
      <c r="D317" s="3"/>
      <c r="E317" s="3"/>
      <c r="F317" s="3"/>
      <c r="G317" s="3"/>
      <c r="H317" s="1535"/>
      <c r="I317" s="1535"/>
      <c r="J317" s="1535"/>
      <c r="K317" s="1535"/>
      <c r="L317" s="1535"/>
      <c r="M317" s="1535"/>
      <c r="N317" s="4"/>
      <c r="O317" s="4"/>
      <c r="P317" s="35"/>
      <c r="Q317" s="35"/>
      <c r="R317" s="35"/>
      <c r="S317" s="3"/>
      <c r="T317" s="3" t="s">
        <v>89</v>
      </c>
      <c r="V317" s="3"/>
      <c r="W317" s="3"/>
      <c r="X317" s="3"/>
      <c r="Y317" s="3"/>
      <c r="AA317" s="1535"/>
      <c r="AB317" s="1535"/>
      <c r="AC317" s="1535"/>
      <c r="AD317" s="1535"/>
      <c r="AE317" s="1535"/>
      <c r="AF317" s="1535"/>
      <c r="AG317" s="4"/>
      <c r="AH317" s="4"/>
      <c r="AI317" s="35"/>
      <c r="AJ317" s="35"/>
      <c r="AK317" s="35"/>
    </row>
    <row r="318" spans="2:72" ht="12.95" customHeight="1">
      <c r="B318" s="3" t="s">
        <v>76</v>
      </c>
      <c r="C318" s="3"/>
      <c r="D318" s="3"/>
      <c r="E318" s="3"/>
      <c r="F318" s="3"/>
      <c r="G318" s="3"/>
      <c r="H318" s="1346" t="s">
        <v>2679</v>
      </c>
      <c r="I318" s="1346"/>
      <c r="J318" s="1346"/>
      <c r="K318" s="1346"/>
      <c r="L318" s="1346"/>
      <c r="M318" s="1346"/>
      <c r="N318" s="1484"/>
      <c r="O318" s="1484"/>
      <c r="P318" s="1484"/>
      <c r="Q318" s="1484"/>
      <c r="R318" s="1484"/>
      <c r="S318" s="3"/>
      <c r="T318" s="3" t="s">
        <v>76</v>
      </c>
      <c r="V318" s="3"/>
      <c r="W318" s="3"/>
      <c r="X318" s="3"/>
      <c r="Y318" s="3"/>
      <c r="AA318" s="1346"/>
      <c r="AB318" s="1346"/>
      <c r="AC318" s="1346"/>
      <c r="AD318" s="1346"/>
      <c r="AE318" s="1346"/>
      <c r="AF318" s="1346"/>
      <c r="AG318" s="1484"/>
      <c r="AH318" s="1484"/>
      <c r="AI318" s="1484"/>
      <c r="AJ318" s="1484"/>
      <c r="AK318" s="1484"/>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907</v>
      </c>
      <c r="C320" s="3"/>
      <c r="D320" s="3"/>
      <c r="E320" s="3"/>
      <c r="F320" s="3"/>
      <c r="H320" s="1484" t="s">
        <v>2687</v>
      </c>
      <c r="I320" s="1484"/>
      <c r="J320" s="1484"/>
      <c r="K320" s="1484"/>
      <c r="L320" s="1484"/>
      <c r="M320" s="1484"/>
      <c r="N320" s="1484"/>
      <c r="O320" s="1484"/>
      <c r="P320" s="1484"/>
      <c r="Q320" s="1484"/>
      <c r="R320" s="1484"/>
      <c r="S320" s="3"/>
      <c r="T320" s="3" t="s">
        <v>365</v>
      </c>
      <c r="V320" s="3"/>
      <c r="W320" s="3"/>
      <c r="X320" s="3"/>
      <c r="Y320" s="3"/>
      <c r="AA320" s="1266" t="s">
        <v>2691</v>
      </c>
      <c r="AB320" s="1266"/>
      <c r="AC320" s="1266"/>
      <c r="AD320" s="1266"/>
      <c r="AE320" s="1266"/>
      <c r="AF320" s="1266"/>
      <c r="AG320" s="1266"/>
      <c r="AH320" s="1266"/>
      <c r="AI320" s="1266"/>
      <c r="AJ320" s="1266"/>
      <c r="AK320" s="1266"/>
    </row>
    <row r="321" spans="2:37" ht="12.95" customHeight="1">
      <c r="B321" s="3" t="s">
        <v>471</v>
      </c>
      <c r="C321" s="3"/>
      <c r="D321" s="3"/>
      <c r="E321" s="3"/>
      <c r="F321" s="3"/>
      <c r="H321" s="1346" t="s">
        <v>2688</v>
      </c>
      <c r="I321" s="1346"/>
      <c r="J321" s="1346"/>
      <c r="K321" s="1346"/>
      <c r="L321" s="1346"/>
      <c r="M321" s="1346"/>
      <c r="N321" s="1346"/>
      <c r="O321" s="1346"/>
      <c r="P321" s="1346"/>
      <c r="Q321" s="1346"/>
      <c r="R321" s="1346"/>
      <c r="S321" s="3"/>
      <c r="T321" s="3" t="s">
        <v>471</v>
      </c>
      <c r="V321" s="3"/>
      <c r="W321" s="3"/>
      <c r="X321" s="3"/>
      <c r="Y321" s="3"/>
      <c r="AA321" s="251" t="s">
        <v>2692</v>
      </c>
      <c r="AB321" s="251"/>
      <c r="AC321" s="251"/>
      <c r="AD321" s="251"/>
      <c r="AE321" s="251"/>
      <c r="AF321" s="251"/>
      <c r="AG321" s="251"/>
      <c r="AH321" s="251"/>
      <c r="AI321" s="251"/>
      <c r="AJ321" s="251"/>
      <c r="AK321" s="251"/>
    </row>
    <row r="322" spans="2:37" ht="12.95" customHeight="1">
      <c r="B322" s="3" t="s">
        <v>472</v>
      </c>
      <c r="C322" s="3"/>
      <c r="D322" s="3"/>
      <c r="E322" s="3"/>
      <c r="F322" s="3"/>
      <c r="H322" s="1346" t="s">
        <v>2689</v>
      </c>
      <c r="I322" s="1346"/>
      <c r="J322" s="1346"/>
      <c r="K322" s="1346"/>
      <c r="L322" s="1346"/>
      <c r="M322" s="1346"/>
      <c r="N322" s="1346"/>
      <c r="O322" s="1346"/>
      <c r="P322" s="1346"/>
      <c r="Q322" s="1346"/>
      <c r="R322" s="1346"/>
      <c r="S322" s="3"/>
      <c r="T322" s="3" t="s">
        <v>75</v>
      </c>
      <c r="V322" s="3"/>
      <c r="W322" s="3"/>
      <c r="X322" s="3"/>
      <c r="Y322" s="3"/>
      <c r="AA322" s="251" t="s">
        <v>2693</v>
      </c>
      <c r="AB322" s="251"/>
      <c r="AC322" s="251"/>
      <c r="AD322" s="251"/>
      <c r="AE322" s="251"/>
      <c r="AF322" s="251"/>
      <c r="AG322" s="251"/>
      <c r="AH322" s="251"/>
      <c r="AI322" s="251"/>
      <c r="AJ322" s="251"/>
      <c r="AK322" s="251"/>
    </row>
    <row r="323" spans="2:37" ht="12.95" customHeight="1">
      <c r="B323" s="3" t="s">
        <v>87</v>
      </c>
      <c r="C323" s="3"/>
      <c r="D323" s="3"/>
      <c r="E323" s="3"/>
      <c r="F323" s="3"/>
      <c r="H323" s="1346" t="s">
        <v>2690</v>
      </c>
      <c r="I323" s="1346"/>
      <c r="J323" s="1346"/>
      <c r="K323" s="1346"/>
      <c r="L323" s="1346"/>
      <c r="M323" s="1346"/>
      <c r="N323" s="1346"/>
      <c r="O323" s="1346"/>
      <c r="P323" s="1346"/>
      <c r="Q323" s="1346"/>
      <c r="R323" s="1346"/>
      <c r="S323" s="3"/>
      <c r="T323" s="3" t="s">
        <v>87</v>
      </c>
      <c r="V323" s="3"/>
      <c r="W323" s="3"/>
      <c r="X323" s="3"/>
      <c r="Y323" s="3"/>
      <c r="AA323" s="251" t="s">
        <v>2694</v>
      </c>
      <c r="AB323" s="251"/>
      <c r="AC323" s="251"/>
      <c r="AD323" s="251"/>
      <c r="AE323" s="251"/>
      <c r="AF323" s="251"/>
      <c r="AG323" s="251"/>
      <c r="AH323" s="251"/>
      <c r="AI323" s="251"/>
      <c r="AJ323" s="251"/>
      <c r="AK323" s="251"/>
    </row>
    <row r="324" spans="2:37" ht="12.95" customHeight="1">
      <c r="B324" s="3" t="s">
        <v>88</v>
      </c>
      <c r="C324" s="3"/>
      <c r="D324" s="3"/>
      <c r="E324" s="3"/>
      <c r="F324" s="3"/>
      <c r="G324" s="3"/>
      <c r="H324" s="1554" t="s">
        <v>2709</v>
      </c>
      <c r="I324" s="1554"/>
      <c r="J324" s="1554"/>
      <c r="K324" s="1554"/>
      <c r="L324" s="1554"/>
      <c r="M324" s="1554"/>
      <c r="N324" s="4" t="s">
        <v>206</v>
      </c>
      <c r="O324" s="4"/>
      <c r="P324" s="1545"/>
      <c r="Q324" s="1545"/>
      <c r="R324" s="1545"/>
      <c r="S324" s="3"/>
      <c r="T324" s="3" t="s">
        <v>88</v>
      </c>
      <c r="V324" s="3"/>
      <c r="W324" s="3"/>
      <c r="X324" s="3"/>
      <c r="Y324" s="3"/>
      <c r="AA324" s="1554" t="s">
        <v>2695</v>
      </c>
      <c r="AB324" s="1554"/>
      <c r="AC324" s="1554"/>
      <c r="AD324" s="1554"/>
      <c r="AE324" s="1554"/>
      <c r="AF324" s="1554"/>
      <c r="AG324" s="4" t="s">
        <v>206</v>
      </c>
      <c r="AH324" s="4"/>
      <c r="AI324" s="1545"/>
      <c r="AJ324" s="1545"/>
      <c r="AK324" s="1545"/>
    </row>
    <row r="325" spans="2:37" ht="12.95" customHeight="1">
      <c r="B325" s="3" t="s">
        <v>89</v>
      </c>
      <c r="C325" s="3"/>
      <c r="D325" s="3"/>
      <c r="E325" s="3"/>
      <c r="F325" s="3"/>
      <c r="G325" s="3"/>
      <c r="H325" s="1535"/>
      <c r="I325" s="1535"/>
      <c r="J325" s="1535"/>
      <c r="K325" s="1535"/>
      <c r="L325" s="1535"/>
      <c r="M325" s="1535"/>
      <c r="N325" s="4"/>
      <c r="O325" s="4"/>
      <c r="P325" s="35"/>
      <c r="Q325" s="35"/>
      <c r="R325" s="35"/>
      <c r="S325" s="3"/>
      <c r="T325" s="3" t="s">
        <v>89</v>
      </c>
      <c r="V325" s="3"/>
      <c r="W325" s="3"/>
      <c r="X325" s="3"/>
      <c r="Y325" s="3"/>
      <c r="AA325" s="1546"/>
      <c r="AB325" s="1535"/>
      <c r="AC325" s="1535"/>
      <c r="AD325" s="1535"/>
      <c r="AE325" s="1535"/>
      <c r="AF325" s="1535"/>
      <c r="AG325" s="4"/>
      <c r="AH325" s="4"/>
      <c r="AI325" s="35"/>
      <c r="AJ325" s="35"/>
      <c r="AK325" s="35"/>
    </row>
    <row r="326" spans="2:37" ht="12.95" customHeight="1">
      <c r="B326" s="3" t="s">
        <v>76</v>
      </c>
      <c r="C326" s="3"/>
      <c r="D326" s="3"/>
      <c r="E326" s="3"/>
      <c r="F326" s="3"/>
      <c r="G326" s="3"/>
      <c r="H326" s="1346" t="s">
        <v>2710</v>
      </c>
      <c r="I326" s="1346"/>
      <c r="J326" s="1346"/>
      <c r="K326" s="1346"/>
      <c r="L326" s="1346"/>
      <c r="M326" s="1346"/>
      <c r="N326" s="1484"/>
      <c r="O326" s="1484"/>
      <c r="P326" s="1484"/>
      <c r="Q326" s="1484"/>
      <c r="R326" s="1484"/>
      <c r="S326" s="3"/>
      <c r="T326" s="3" t="s">
        <v>76</v>
      </c>
      <c r="V326" s="3"/>
      <c r="W326" s="3"/>
      <c r="X326" s="3"/>
      <c r="Y326" s="3"/>
      <c r="AA326" s="1346"/>
      <c r="AB326" s="1346"/>
      <c r="AC326" s="1346"/>
      <c r="AD326" s="1346"/>
      <c r="AE326" s="1346"/>
      <c r="AF326" s="1346"/>
      <c r="AG326" s="1484"/>
      <c r="AH326" s="1484"/>
      <c r="AI326" s="1484"/>
      <c r="AJ326" s="1484"/>
      <c r="AK326" s="1484"/>
    </row>
    <row r="327" spans="2:37" ht="12.95" customHeight="1"/>
    <row r="328" spans="2:37" ht="12.95" customHeight="1">
      <c r="B328" s="4" t="s">
        <v>908</v>
      </c>
      <c r="C328" s="3"/>
      <c r="D328" s="3"/>
      <c r="E328" s="3"/>
      <c r="F328" s="3"/>
      <c r="H328" s="1484" t="s">
        <v>2675</v>
      </c>
      <c r="I328" s="1484"/>
      <c r="J328" s="1484"/>
      <c r="K328" s="1484"/>
      <c r="L328" s="1484"/>
      <c r="M328" s="1484"/>
      <c r="N328" s="1484"/>
      <c r="O328" s="1484"/>
      <c r="P328" s="1484"/>
      <c r="Q328" s="1484"/>
      <c r="R328" s="1484"/>
      <c r="T328" s="3" t="s">
        <v>366</v>
      </c>
      <c r="V328" s="3"/>
      <c r="W328" s="3"/>
      <c r="X328" s="3"/>
      <c r="Y328" s="3"/>
      <c r="AA328" s="1266" t="s">
        <v>2696</v>
      </c>
      <c r="AB328" s="1266"/>
      <c r="AC328" s="1266"/>
      <c r="AD328" s="1266"/>
      <c r="AE328" s="1266"/>
      <c r="AF328" s="1266"/>
      <c r="AG328" s="1266"/>
      <c r="AH328" s="1266"/>
      <c r="AI328" s="1266"/>
      <c r="AJ328" s="1266"/>
      <c r="AK328" s="1266"/>
    </row>
    <row r="329" spans="2:37" ht="12.95" customHeight="1">
      <c r="B329" s="3" t="s">
        <v>471</v>
      </c>
      <c r="C329" s="3"/>
      <c r="D329" s="3"/>
      <c r="E329" s="3"/>
      <c r="F329" s="3"/>
      <c r="H329" s="1346" t="s">
        <v>2676</v>
      </c>
      <c r="I329" s="1346"/>
      <c r="J329" s="1346"/>
      <c r="K329" s="1346"/>
      <c r="L329" s="1346"/>
      <c r="M329" s="1346"/>
      <c r="N329" s="1346"/>
      <c r="O329" s="1346"/>
      <c r="P329" s="1346"/>
      <c r="Q329" s="1346"/>
      <c r="R329" s="1346"/>
      <c r="T329" s="3" t="s">
        <v>471</v>
      </c>
      <c r="V329" s="3"/>
      <c r="W329" s="3"/>
      <c r="X329" s="3"/>
      <c r="Y329" s="3"/>
      <c r="AA329" s="251" t="s">
        <v>2705</v>
      </c>
      <c r="AB329" s="251"/>
      <c r="AC329" s="251"/>
      <c r="AD329" s="251"/>
      <c r="AE329" s="251"/>
      <c r="AF329" s="251"/>
      <c r="AG329" s="251"/>
      <c r="AH329" s="251"/>
      <c r="AI329" s="251"/>
      <c r="AJ329" s="251"/>
      <c r="AK329" s="251"/>
    </row>
    <row r="330" spans="2:37" ht="12.95" customHeight="1">
      <c r="B330" s="3" t="s">
        <v>472</v>
      </c>
      <c r="C330" s="3"/>
      <c r="D330" s="3"/>
      <c r="E330" s="3"/>
      <c r="F330" s="3"/>
      <c r="H330" s="1346" t="s">
        <v>2686</v>
      </c>
      <c r="I330" s="1346"/>
      <c r="J330" s="1346"/>
      <c r="K330" s="1346"/>
      <c r="L330" s="1346"/>
      <c r="M330" s="1346"/>
      <c r="N330" s="1346"/>
      <c r="O330" s="1346"/>
      <c r="P330" s="1346"/>
      <c r="Q330" s="1346"/>
      <c r="R330" s="1346"/>
      <c r="T330" s="3" t="s">
        <v>75</v>
      </c>
      <c r="V330" s="3"/>
      <c r="W330" s="3"/>
      <c r="X330" s="3"/>
      <c r="Y330" s="3"/>
      <c r="AA330" s="251" t="s">
        <v>2706</v>
      </c>
      <c r="AB330" s="251"/>
      <c r="AC330" s="251"/>
      <c r="AD330" s="251"/>
      <c r="AE330" s="251"/>
      <c r="AF330" s="251"/>
      <c r="AG330" s="251"/>
      <c r="AH330" s="251"/>
      <c r="AI330" s="251"/>
      <c r="AJ330" s="251"/>
      <c r="AK330" s="251"/>
    </row>
    <row r="331" spans="2:37" ht="12.95" customHeight="1">
      <c r="B331" s="3" t="s">
        <v>87</v>
      </c>
      <c r="C331" s="3"/>
      <c r="D331" s="3"/>
      <c r="E331" s="3"/>
      <c r="F331" s="3"/>
      <c r="H331" s="1346" t="s">
        <v>2677</v>
      </c>
      <c r="I331" s="1346"/>
      <c r="J331" s="1346"/>
      <c r="K331" s="1346"/>
      <c r="L331" s="1346"/>
      <c r="M331" s="1346"/>
      <c r="N331" s="1346"/>
      <c r="O331" s="1346"/>
      <c r="P331" s="1346"/>
      <c r="Q331" s="1346"/>
      <c r="R331" s="1346"/>
      <c r="T331" s="3" t="s">
        <v>87</v>
      </c>
      <c r="V331" s="3"/>
      <c r="W331" s="3"/>
      <c r="X331" s="3"/>
      <c r="Y331" s="3"/>
      <c r="AA331" s="251" t="s">
        <v>2707</v>
      </c>
      <c r="AB331" s="251"/>
      <c r="AC331" s="251"/>
      <c r="AD331" s="251"/>
      <c r="AE331" s="251"/>
      <c r="AF331" s="251"/>
      <c r="AG331" s="251"/>
      <c r="AH331" s="251"/>
      <c r="AI331" s="251"/>
      <c r="AJ331" s="251"/>
      <c r="AK331" s="251"/>
    </row>
    <row r="332" spans="2:37" ht="12.95" customHeight="1">
      <c r="B332" s="3" t="s">
        <v>88</v>
      </c>
      <c r="C332" s="3"/>
      <c r="D332" s="3"/>
      <c r="E332" s="3"/>
      <c r="F332" s="3"/>
      <c r="G332" s="3"/>
      <c r="H332" s="1554" t="s">
        <v>2678</v>
      </c>
      <c r="I332" s="1554"/>
      <c r="J332" s="1554"/>
      <c r="K332" s="1554"/>
      <c r="L332" s="1554"/>
      <c r="M332" s="1554"/>
      <c r="N332" s="4" t="s">
        <v>206</v>
      </c>
      <c r="O332" s="4"/>
      <c r="P332" s="1545"/>
      <c r="Q332" s="1545"/>
      <c r="R332" s="1545"/>
      <c r="S332" s="3"/>
      <c r="T332" s="3" t="s">
        <v>88</v>
      </c>
      <c r="V332" s="3"/>
      <c r="W332" s="3"/>
      <c r="X332" s="3"/>
      <c r="Y332" s="3"/>
      <c r="AA332" s="1554" t="s">
        <v>2711</v>
      </c>
      <c r="AB332" s="1554"/>
      <c r="AC332" s="1554"/>
      <c r="AD332" s="1554"/>
      <c r="AE332" s="1554"/>
      <c r="AF332" s="1554"/>
      <c r="AG332" s="4" t="s">
        <v>206</v>
      </c>
      <c r="AH332" s="4"/>
      <c r="AI332" s="1545"/>
      <c r="AJ332" s="1545"/>
      <c r="AK332" s="1545"/>
    </row>
    <row r="333" spans="2:37" ht="12.95" customHeight="1">
      <c r="B333" s="3" t="s">
        <v>89</v>
      </c>
      <c r="C333" s="3"/>
      <c r="D333" s="3"/>
      <c r="E333" s="3"/>
      <c r="F333" s="3"/>
      <c r="G333" s="3"/>
      <c r="H333" s="1535"/>
      <c r="I333" s="1535"/>
      <c r="J333" s="1535"/>
      <c r="K333" s="1535"/>
      <c r="L333" s="1535"/>
      <c r="M333" s="1535"/>
      <c r="N333" s="4"/>
      <c r="O333" s="4"/>
      <c r="P333" s="35"/>
      <c r="Q333" s="35"/>
      <c r="R333" s="35"/>
      <c r="S333" s="3"/>
      <c r="T333" s="3" t="s">
        <v>89</v>
      </c>
      <c r="V333" s="3"/>
      <c r="W333" s="3"/>
      <c r="X333" s="3"/>
      <c r="Y333" s="3"/>
      <c r="AA333" s="1535"/>
      <c r="AB333" s="1535"/>
      <c r="AC333" s="1535"/>
      <c r="AD333" s="1535"/>
      <c r="AE333" s="1535"/>
      <c r="AF333" s="1535"/>
      <c r="AG333" s="4"/>
      <c r="AH333" s="4"/>
      <c r="AI333" s="35"/>
      <c r="AJ333" s="35"/>
      <c r="AK333" s="35"/>
    </row>
    <row r="334" spans="2:37" ht="12.95" customHeight="1">
      <c r="B334" s="3" t="s">
        <v>76</v>
      </c>
      <c r="C334" s="3"/>
      <c r="D334" s="3"/>
      <c r="E334" s="3"/>
      <c r="F334" s="3"/>
      <c r="G334" s="3"/>
      <c r="H334" s="1346" t="s">
        <v>2679</v>
      </c>
      <c r="I334" s="1346"/>
      <c r="J334" s="1346"/>
      <c r="K334" s="1346"/>
      <c r="L334" s="1346"/>
      <c r="M334" s="1346"/>
      <c r="N334" s="1484"/>
      <c r="O334" s="1484"/>
      <c r="P334" s="1484"/>
      <c r="Q334" s="1484"/>
      <c r="R334" s="1484"/>
      <c r="S334" s="3"/>
      <c r="T334" s="3" t="s">
        <v>76</v>
      </c>
      <c r="V334" s="3"/>
      <c r="W334" s="3"/>
      <c r="X334" s="3"/>
      <c r="Y334" s="3"/>
      <c r="AA334" s="1346" t="s">
        <v>2712</v>
      </c>
      <c r="AB334" s="1346"/>
      <c r="AC334" s="1346"/>
      <c r="AD334" s="1346"/>
      <c r="AE334" s="1346"/>
      <c r="AF334" s="1346"/>
      <c r="AG334" s="1484"/>
      <c r="AH334" s="1484"/>
      <c r="AI334" s="1484"/>
      <c r="AJ334" s="1484"/>
      <c r="AK334" s="1484"/>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484"/>
      <c r="I336" s="1484"/>
      <c r="J336" s="1484"/>
      <c r="K336" s="1484"/>
      <c r="L336" s="1484"/>
      <c r="M336" s="1484"/>
      <c r="N336" s="1484"/>
      <c r="O336" s="1484"/>
      <c r="P336" s="1484"/>
      <c r="Q336" s="1484"/>
      <c r="R336" s="1484"/>
      <c r="T336" s="3" t="s">
        <v>368</v>
      </c>
      <c r="V336" s="3"/>
      <c r="W336" s="3"/>
      <c r="X336" s="3"/>
      <c r="Y336" s="3"/>
      <c r="AA336" s="1484" t="s">
        <v>2740</v>
      </c>
      <c r="AB336" s="1484"/>
      <c r="AC336" s="1484"/>
      <c r="AD336" s="1484"/>
      <c r="AE336" s="1484"/>
      <c r="AF336" s="1484"/>
      <c r="AG336" s="1484"/>
      <c r="AH336" s="1484"/>
      <c r="AI336" s="1484"/>
      <c r="AJ336" s="1484"/>
      <c r="AK336" s="1484"/>
    </row>
    <row r="337" spans="2:66" ht="12.95" customHeight="1">
      <c r="B337" s="3" t="s">
        <v>471</v>
      </c>
      <c r="C337" s="3"/>
      <c r="D337" s="3"/>
      <c r="E337" s="3"/>
      <c r="F337" s="3"/>
      <c r="H337" s="1346"/>
      <c r="I337" s="1346"/>
      <c r="J337" s="1346"/>
      <c r="K337" s="1346"/>
      <c r="L337" s="1346"/>
      <c r="M337" s="1346"/>
      <c r="N337" s="1346"/>
      <c r="O337" s="1346"/>
      <c r="P337" s="1346"/>
      <c r="Q337" s="1346"/>
      <c r="R337" s="1346"/>
      <c r="T337" s="3" t="s">
        <v>471</v>
      </c>
      <c r="V337" s="3"/>
      <c r="W337" s="3"/>
      <c r="X337" s="3"/>
      <c r="Y337" s="3"/>
      <c r="AA337" s="1346" t="s">
        <v>2743</v>
      </c>
      <c r="AB337" s="1346"/>
      <c r="AC337" s="1346"/>
      <c r="AD337" s="1346"/>
      <c r="AE337" s="1346"/>
      <c r="AF337" s="1346"/>
      <c r="AG337" s="1346"/>
      <c r="AH337" s="1346"/>
      <c r="AI337" s="1346"/>
      <c r="AJ337" s="1346"/>
      <c r="AK337" s="1346"/>
    </row>
    <row r="338" spans="2:66" ht="12.95" customHeight="1">
      <c r="B338" s="3" t="s">
        <v>472</v>
      </c>
      <c r="C338" s="3"/>
      <c r="D338" s="3"/>
      <c r="E338" s="3"/>
      <c r="F338" s="3"/>
      <c r="H338" s="1346"/>
      <c r="I338" s="1346"/>
      <c r="J338" s="1346"/>
      <c r="K338" s="1346"/>
      <c r="L338" s="1346"/>
      <c r="M338" s="1346"/>
      <c r="N338" s="1346"/>
      <c r="O338" s="1346"/>
      <c r="P338" s="1346"/>
      <c r="Q338" s="1346"/>
      <c r="R338" s="1346"/>
      <c r="T338" s="3" t="s">
        <v>75</v>
      </c>
      <c r="V338" s="3"/>
      <c r="W338" s="3"/>
      <c r="X338" s="3"/>
      <c r="Y338" s="3"/>
      <c r="AA338" s="1346" t="s">
        <v>2744</v>
      </c>
      <c r="AB338" s="1346"/>
      <c r="AC338" s="1346"/>
      <c r="AD338" s="1346"/>
      <c r="AE338" s="1346"/>
      <c r="AF338" s="1346"/>
      <c r="AG338" s="1346"/>
      <c r="AH338" s="1346"/>
      <c r="AI338" s="1346"/>
      <c r="AJ338" s="1346"/>
      <c r="AK338" s="1346"/>
    </row>
    <row r="339" spans="2:66" ht="12.95" customHeight="1">
      <c r="B339" s="3" t="s">
        <v>87</v>
      </c>
      <c r="C339" s="3"/>
      <c r="D339" s="3"/>
      <c r="E339" s="3"/>
      <c r="F339" s="3"/>
      <c r="H339" s="1346"/>
      <c r="I339" s="1346"/>
      <c r="J339" s="1346"/>
      <c r="K339" s="1346"/>
      <c r="L339" s="1346"/>
      <c r="M339" s="1346"/>
      <c r="N339" s="1346"/>
      <c r="O339" s="1346"/>
      <c r="P339" s="1346"/>
      <c r="Q339" s="1346"/>
      <c r="R339" s="1346"/>
      <c r="T339" s="3" t="s">
        <v>87</v>
      </c>
      <c r="V339" s="3"/>
      <c r="W339" s="3"/>
      <c r="X339" s="3"/>
      <c r="Y339" s="3"/>
      <c r="AA339" s="1346" t="s">
        <v>2741</v>
      </c>
      <c r="AB339" s="1346"/>
      <c r="AC339" s="1346"/>
      <c r="AD339" s="1346"/>
      <c r="AE339" s="1346"/>
      <c r="AF339" s="1346"/>
      <c r="AG339" s="1346"/>
      <c r="AH339" s="1346"/>
      <c r="AI339" s="1346"/>
      <c r="AJ339" s="1346"/>
      <c r="AK339" s="1346"/>
    </row>
    <row r="340" spans="2:66" ht="12.95" customHeight="1">
      <c r="B340" s="3" t="s">
        <v>88</v>
      </c>
      <c r="C340" s="3"/>
      <c r="D340" s="3"/>
      <c r="E340" s="3"/>
      <c r="F340" s="3"/>
      <c r="G340" s="3"/>
      <c r="H340" s="1554"/>
      <c r="I340" s="1554"/>
      <c r="J340" s="1554"/>
      <c r="K340" s="1554"/>
      <c r="L340" s="1554"/>
      <c r="M340" s="1554"/>
      <c r="N340" s="4" t="s">
        <v>206</v>
      </c>
      <c r="O340" s="4"/>
      <c r="P340" s="1545"/>
      <c r="Q340" s="1545"/>
      <c r="R340" s="1545"/>
      <c r="S340" s="3"/>
      <c r="T340" s="3" t="s">
        <v>88</v>
      </c>
      <c r="V340" s="3"/>
      <c r="W340" s="3"/>
      <c r="X340" s="3"/>
      <c r="Y340" s="3"/>
      <c r="AA340" s="1586" t="s">
        <v>2745</v>
      </c>
      <c r="AB340" s="1554"/>
      <c r="AC340" s="1554"/>
      <c r="AD340" s="1554"/>
      <c r="AE340" s="1554"/>
      <c r="AF340" s="1554"/>
      <c r="AG340" s="4" t="s">
        <v>206</v>
      </c>
      <c r="AH340" s="4"/>
      <c r="AI340" s="1545"/>
      <c r="AJ340" s="1545"/>
      <c r="AK340" s="1545"/>
    </row>
    <row r="341" spans="2:66" ht="12.95" customHeight="1">
      <c r="B341" s="3" t="s">
        <v>89</v>
      </c>
      <c r="C341" s="3"/>
      <c r="D341" s="3"/>
      <c r="E341" s="3"/>
      <c r="F341" s="3"/>
      <c r="G341" s="3"/>
      <c r="H341" s="1535"/>
      <c r="I341" s="1535"/>
      <c r="J341" s="1535"/>
      <c r="K341" s="1535"/>
      <c r="L341" s="1535"/>
      <c r="M341" s="1535"/>
      <c r="N341" s="4"/>
      <c r="O341" s="4"/>
      <c r="P341" s="35"/>
      <c r="Q341" s="35"/>
      <c r="R341" s="35"/>
      <c r="S341" s="3"/>
      <c r="T341" s="3" t="s">
        <v>89</v>
      </c>
      <c r="V341" s="3"/>
      <c r="W341" s="3"/>
      <c r="X341" s="3"/>
      <c r="Y341" s="3"/>
      <c r="AA341" s="1535"/>
      <c r="AB341" s="1535"/>
      <c r="AC341" s="1535"/>
      <c r="AD341" s="1535"/>
      <c r="AE341" s="1535"/>
      <c r="AF341" s="1535"/>
      <c r="AG341" s="4"/>
      <c r="AH341" s="4"/>
      <c r="AI341" s="35"/>
      <c r="AJ341" s="35"/>
      <c r="AK341" s="35"/>
    </row>
    <row r="342" spans="2:66" ht="12.95" customHeight="1">
      <c r="B342" s="3" t="s">
        <v>76</v>
      </c>
      <c r="C342" s="3"/>
      <c r="D342" s="3"/>
      <c r="E342" s="3"/>
      <c r="F342" s="3"/>
      <c r="G342" s="3"/>
      <c r="H342" s="1346"/>
      <c r="I342" s="1346"/>
      <c r="J342" s="1346"/>
      <c r="K342" s="1346"/>
      <c r="L342" s="1346"/>
      <c r="M342" s="1346"/>
      <c r="N342" s="1484"/>
      <c r="O342" s="1484"/>
      <c r="P342" s="1484"/>
      <c r="Q342" s="1484"/>
      <c r="R342" s="1484"/>
      <c r="S342" s="3"/>
      <c r="T342" s="3" t="s">
        <v>76</v>
      </c>
      <c r="V342" s="3"/>
      <c r="W342" s="3"/>
      <c r="X342" s="3"/>
      <c r="Y342" s="3"/>
      <c r="AA342" s="1346" t="s">
        <v>2742</v>
      </c>
      <c r="AB342" s="1346"/>
      <c r="AC342" s="1346"/>
      <c r="AD342" s="1346"/>
      <c r="AE342" s="1346"/>
      <c r="AF342" s="1346"/>
      <c r="AG342" s="1484"/>
      <c r="AH342" s="1484"/>
      <c r="AI342" s="1484"/>
      <c r="AJ342" s="1484"/>
      <c r="AK342" s="1484"/>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266" t="s">
        <v>2701</v>
      </c>
      <c r="I344" s="1266"/>
      <c r="J344" s="1266"/>
      <c r="K344" s="1266"/>
      <c r="L344" s="1266"/>
      <c r="M344" s="1266"/>
      <c r="N344" s="1266"/>
      <c r="O344" s="1266"/>
      <c r="P344" s="1266"/>
      <c r="Q344" s="1266"/>
      <c r="R344" s="1266"/>
      <c r="T344" s="204" t="s">
        <v>886</v>
      </c>
      <c r="V344" s="3"/>
      <c r="W344" s="3"/>
      <c r="X344" s="3"/>
      <c r="Y344" s="3"/>
      <c r="AA344" s="1266" t="s">
        <v>2697</v>
      </c>
      <c r="AB344" s="1266"/>
      <c r="AC344" s="1266"/>
      <c r="AD344" s="1266"/>
      <c r="AE344" s="1266"/>
      <c r="AF344" s="1266"/>
      <c r="AG344" s="1266"/>
      <c r="AH344" s="1266"/>
      <c r="AI344" s="1266"/>
      <c r="AJ344" s="1266"/>
      <c r="AK344" s="1266"/>
    </row>
    <row r="345" spans="2:66" ht="12.95" customHeight="1">
      <c r="B345" s="3" t="s">
        <v>471</v>
      </c>
      <c r="C345" s="3"/>
      <c r="D345" s="3"/>
      <c r="E345" s="3"/>
      <c r="F345" s="3"/>
      <c r="H345" s="251" t="s">
        <v>2702</v>
      </c>
      <c r="I345" s="251"/>
      <c r="J345" s="251"/>
      <c r="K345" s="251"/>
      <c r="L345" s="251"/>
      <c r="M345" s="251"/>
      <c r="N345" s="251"/>
      <c r="O345" s="251"/>
      <c r="P345" s="251"/>
      <c r="Q345" s="251"/>
      <c r="R345" s="251"/>
      <c r="T345" s="3" t="s">
        <v>471</v>
      </c>
      <c r="V345" s="3"/>
      <c r="W345" s="3"/>
      <c r="X345" s="3"/>
      <c r="Y345" s="3"/>
      <c r="AA345" s="251" t="s">
        <v>2698</v>
      </c>
      <c r="AB345" s="251"/>
      <c r="AC345" s="251"/>
      <c r="AD345" s="251"/>
      <c r="AE345" s="251"/>
      <c r="AF345" s="251"/>
      <c r="AG345" s="251"/>
      <c r="AH345" s="251"/>
      <c r="AI345" s="251"/>
      <c r="AJ345" s="251"/>
      <c r="AK345" s="251"/>
    </row>
    <row r="346" spans="2:66" ht="12.95" customHeight="1">
      <c r="B346" s="3" t="s">
        <v>75</v>
      </c>
      <c r="C346" s="3"/>
      <c r="D346" s="3"/>
      <c r="E346" s="3"/>
      <c r="F346" s="3"/>
      <c r="H346" s="251" t="s">
        <v>2703</v>
      </c>
      <c r="I346" s="251"/>
      <c r="J346" s="251"/>
      <c r="K346" s="251"/>
      <c r="L346" s="251"/>
      <c r="M346" s="251"/>
      <c r="N346" s="251"/>
      <c r="O346" s="251"/>
      <c r="P346" s="251"/>
      <c r="Q346" s="251"/>
      <c r="R346" s="251"/>
      <c r="T346" s="3" t="s">
        <v>75</v>
      </c>
      <c r="V346" s="3"/>
      <c r="W346" s="3"/>
      <c r="X346" s="3"/>
      <c r="Y346" s="3"/>
      <c r="AA346" s="251" t="s">
        <v>2699</v>
      </c>
      <c r="AB346" s="251"/>
      <c r="AC346" s="251"/>
      <c r="AD346" s="251"/>
      <c r="AE346" s="251"/>
      <c r="AF346" s="251"/>
      <c r="AG346" s="251"/>
      <c r="AH346" s="251"/>
      <c r="AI346" s="251"/>
      <c r="AJ346" s="251"/>
      <c r="AK346" s="251"/>
    </row>
    <row r="347" spans="2:66" ht="12.95" customHeight="1">
      <c r="B347" s="3" t="s">
        <v>87</v>
      </c>
      <c r="C347" s="3"/>
      <c r="D347" s="3"/>
      <c r="E347" s="3"/>
      <c r="F347" s="3"/>
      <c r="G347" s="3"/>
      <c r="H347" s="251" t="s">
        <v>2704</v>
      </c>
      <c r="I347" s="251"/>
      <c r="J347" s="251"/>
      <c r="K347" s="251"/>
      <c r="L347" s="251"/>
      <c r="M347" s="251"/>
      <c r="N347" s="251"/>
      <c r="O347" s="251"/>
      <c r="P347" s="251"/>
      <c r="Q347" s="251"/>
      <c r="R347" s="251"/>
      <c r="T347" s="3" t="s">
        <v>87</v>
      </c>
      <c r="V347" s="3"/>
      <c r="W347" s="3"/>
      <c r="X347" s="3"/>
      <c r="Y347" s="3"/>
      <c r="AA347" s="251" t="s">
        <v>2700</v>
      </c>
      <c r="AB347" s="251"/>
      <c r="AC347" s="251"/>
      <c r="AD347" s="251"/>
      <c r="AE347" s="251"/>
      <c r="AF347" s="251"/>
      <c r="AG347" s="251"/>
      <c r="AH347" s="251"/>
      <c r="AI347" s="251"/>
      <c r="AJ347" s="251"/>
      <c r="AK347" s="251"/>
    </row>
    <row r="348" spans="2:66" ht="12.95" customHeight="1">
      <c r="B348" s="3" t="s">
        <v>88</v>
      </c>
      <c r="C348" s="3"/>
      <c r="D348" s="3"/>
      <c r="E348" s="3"/>
      <c r="F348" s="3"/>
      <c r="G348" s="3"/>
      <c r="H348" s="1554" t="s">
        <v>2713</v>
      </c>
      <c r="I348" s="1554"/>
      <c r="J348" s="1554"/>
      <c r="K348" s="1554"/>
      <c r="L348" s="1554"/>
      <c r="M348" s="1554"/>
      <c r="N348" s="4" t="s">
        <v>206</v>
      </c>
      <c r="O348" s="4"/>
      <c r="P348" s="1545"/>
      <c r="Q348" s="1545"/>
      <c r="R348" s="1545"/>
      <c r="S348" s="3"/>
      <c r="T348" s="3" t="s">
        <v>88</v>
      </c>
      <c r="V348" s="3"/>
      <c r="W348" s="3"/>
      <c r="X348" s="3"/>
      <c r="Y348" s="3"/>
      <c r="AA348" s="1554" t="s">
        <v>2715</v>
      </c>
      <c r="AB348" s="1554"/>
      <c r="AC348" s="1554"/>
      <c r="AD348" s="1554"/>
      <c r="AE348" s="1554"/>
      <c r="AF348" s="1554"/>
      <c r="AG348" s="4" t="s">
        <v>206</v>
      </c>
      <c r="AH348" s="4"/>
      <c r="AI348" s="1545"/>
      <c r="AJ348" s="1545"/>
      <c r="AK348" s="1545"/>
    </row>
    <row r="349" spans="2:66" ht="12.95" customHeight="1">
      <c r="B349" s="3" t="s">
        <v>89</v>
      </c>
      <c r="C349" s="3"/>
      <c r="D349" s="3"/>
      <c r="E349" s="3"/>
      <c r="F349" s="3"/>
      <c r="G349" s="3"/>
      <c r="H349" s="1546" t="s">
        <v>2714</v>
      </c>
      <c r="I349" s="1535"/>
      <c r="J349" s="1535"/>
      <c r="K349" s="1535"/>
      <c r="L349" s="1535"/>
      <c r="M349" s="1535"/>
      <c r="N349" s="4"/>
      <c r="O349" s="4"/>
      <c r="P349" s="35"/>
      <c r="Q349" s="35"/>
      <c r="R349" s="35"/>
      <c r="S349" s="3"/>
      <c r="T349" s="3" t="s">
        <v>89</v>
      </c>
      <c r="V349" s="3"/>
      <c r="W349" s="3"/>
      <c r="X349" s="3"/>
      <c r="Y349" s="3"/>
      <c r="AA349" s="1546" t="s">
        <v>2716</v>
      </c>
      <c r="AB349" s="1535"/>
      <c r="AC349" s="1535"/>
      <c r="AD349" s="1535"/>
      <c r="AE349" s="1535"/>
      <c r="AF349" s="1535"/>
      <c r="AG349" s="4"/>
      <c r="AH349" s="4"/>
      <c r="AI349" s="35"/>
      <c r="AJ349" s="35"/>
      <c r="AK349" s="35"/>
    </row>
    <row r="350" spans="2:66" ht="12.95" customHeight="1">
      <c r="B350" s="3" t="s">
        <v>76</v>
      </c>
      <c r="C350" s="3"/>
      <c r="D350" s="3"/>
      <c r="E350" s="3"/>
      <c r="F350" s="3"/>
      <c r="G350" s="3"/>
      <c r="H350" s="1346"/>
      <c r="I350" s="1346"/>
      <c r="J350" s="1346"/>
      <c r="K350" s="1346"/>
      <c r="L350" s="1346"/>
      <c r="M350" s="1346"/>
      <c r="N350" s="1484"/>
      <c r="O350" s="1484"/>
      <c r="P350" s="1484"/>
      <c r="Q350" s="1484"/>
      <c r="R350" s="1484"/>
      <c r="S350" s="3"/>
      <c r="T350" s="3" t="s">
        <v>76</v>
      </c>
      <c r="V350" s="3"/>
      <c r="W350" s="3"/>
      <c r="X350" s="3"/>
      <c r="Y350" s="3"/>
      <c r="AA350" s="1346" t="s">
        <v>2717</v>
      </c>
      <c r="AB350" s="1346"/>
      <c r="AC350" s="1346"/>
      <c r="AD350" s="1346"/>
      <c r="AE350" s="1346"/>
      <c r="AF350" s="1346"/>
      <c r="AG350" s="1484"/>
      <c r="AH350" s="1484"/>
      <c r="AI350" s="1484"/>
      <c r="AJ350" s="1484"/>
      <c r="AK350" s="1484"/>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2.95" customHeight="1">
      <c r="B352" s="3"/>
      <c r="C352" s="4"/>
      <c r="D352" s="4"/>
      <c r="E352" s="4"/>
      <c r="F352" s="4"/>
      <c r="I352" s="204" t="s">
        <v>887</v>
      </c>
      <c r="P352" s="1484" t="s">
        <v>591</v>
      </c>
      <c r="Q352" s="1484"/>
      <c r="R352" s="1484"/>
      <c r="S352" s="1484"/>
      <c r="T352" s="1484"/>
      <c r="U352" s="1484"/>
      <c r="V352" s="1484"/>
      <c r="W352" s="1484"/>
      <c r="X352" s="1484"/>
      <c r="Y352" s="1484"/>
      <c r="Z352" s="1484"/>
      <c r="AA352" s="1484"/>
      <c r="AB352" s="1484"/>
      <c r="AC352" s="1484"/>
      <c r="AD352" s="1484"/>
      <c r="AE352" s="1484"/>
      <c r="BN352" t="s">
        <v>669</v>
      </c>
    </row>
    <row r="353" spans="1:66" ht="12.95" customHeight="1">
      <c r="B353" s="4"/>
      <c r="C353" s="4"/>
      <c r="D353" s="4"/>
      <c r="E353" s="4"/>
      <c r="F353" s="4"/>
      <c r="I353" s="4" t="s">
        <v>471</v>
      </c>
      <c r="P353" s="1346"/>
      <c r="Q353" s="1346"/>
      <c r="R353" s="1346"/>
      <c r="S353" s="1346"/>
      <c r="T353" s="1346"/>
      <c r="U353" s="1346"/>
      <c r="V353" s="1346"/>
      <c r="W353" s="1346"/>
      <c r="X353" s="1346"/>
      <c r="Y353" s="1346"/>
      <c r="Z353" s="1346"/>
      <c r="AA353" s="1346"/>
      <c r="AB353" s="1346"/>
      <c r="AC353" s="1346"/>
      <c r="AD353" s="1346"/>
      <c r="AE353" s="1346"/>
      <c r="BN353" t="s">
        <v>545</v>
      </c>
    </row>
    <row r="354" spans="1:66" ht="12.95" customHeight="1">
      <c r="B354" s="4"/>
      <c r="C354" s="4"/>
      <c r="D354" s="4"/>
      <c r="E354" s="4"/>
      <c r="F354" s="4"/>
      <c r="I354" s="4" t="s">
        <v>75</v>
      </c>
      <c r="P354" s="1346"/>
      <c r="Q354" s="1346"/>
      <c r="R354" s="1346"/>
      <c r="S354" s="1346"/>
      <c r="T354" s="1346"/>
      <c r="U354" s="1346"/>
      <c r="V354" s="1346"/>
      <c r="W354" s="1346"/>
      <c r="X354" s="1346"/>
      <c r="Y354" s="1346"/>
      <c r="Z354" s="1346"/>
      <c r="AA354" s="1346"/>
      <c r="AB354" s="1346"/>
      <c r="AC354" s="1346"/>
      <c r="AD354" s="1346"/>
      <c r="AE354" s="1346"/>
    </row>
    <row r="355" spans="1:66" ht="12.95" customHeight="1">
      <c r="B355" s="4"/>
      <c r="C355" s="4"/>
      <c r="D355" s="4"/>
      <c r="E355" s="4"/>
      <c r="F355" s="4"/>
      <c r="G355" s="4"/>
      <c r="I355" s="4" t="s">
        <v>87</v>
      </c>
      <c r="P355" s="1346"/>
      <c r="Q355" s="1346"/>
      <c r="R355" s="1346"/>
      <c r="S355" s="1346"/>
      <c r="T355" s="1346"/>
      <c r="U355" s="1346"/>
      <c r="V355" s="1346"/>
      <c r="W355" s="1346"/>
      <c r="X355" s="1346"/>
      <c r="Y355" s="1346"/>
      <c r="Z355" s="1346"/>
      <c r="AA355" s="1346"/>
      <c r="AB355" s="1346"/>
      <c r="AC355" s="1346"/>
      <c r="AD355" s="1346"/>
      <c r="AE355" s="1346"/>
    </row>
    <row r="356" spans="1:66" ht="12.95" customHeight="1">
      <c r="B356" s="4"/>
      <c r="C356" s="4"/>
      <c r="D356" s="4"/>
      <c r="E356" s="4"/>
      <c r="F356" s="4"/>
      <c r="G356" s="4"/>
      <c r="H356" s="302"/>
      <c r="I356" s="4" t="s">
        <v>88</v>
      </c>
      <c r="P356" s="1535"/>
      <c r="Q356" s="1535"/>
      <c r="R356" s="1535"/>
      <c r="S356" s="1535"/>
      <c r="T356" s="1535"/>
      <c r="U356" s="1535"/>
      <c r="V356" s="1535"/>
      <c r="W356" s="1535"/>
      <c r="X356" s="1535"/>
      <c r="Y356" s="1535"/>
      <c r="Z356" s="1535"/>
      <c r="AA356" s="4" t="s">
        <v>206</v>
      </c>
      <c r="AB356" s="4"/>
      <c r="AC356" s="1474"/>
      <c r="AD356" s="1474"/>
      <c r="AE356" s="1474"/>
      <c r="AF356" s="302"/>
      <c r="AG356" s="4"/>
      <c r="AH356" s="4"/>
      <c r="AI356" s="4"/>
      <c r="AJ356" s="4"/>
      <c r="AK356" s="4"/>
    </row>
    <row r="357" spans="1:66" ht="12.95" customHeight="1">
      <c r="B357" s="4"/>
      <c r="C357" s="4"/>
      <c r="D357" s="4"/>
      <c r="E357" s="4"/>
      <c r="F357" s="4"/>
      <c r="G357" s="4"/>
      <c r="H357" s="302"/>
      <c r="I357" s="4" t="s">
        <v>89</v>
      </c>
      <c r="P357" s="1535"/>
      <c r="Q357" s="1535"/>
      <c r="R357" s="1535"/>
      <c r="S357" s="1535"/>
      <c r="T357" s="1535"/>
      <c r="U357" s="1535"/>
      <c r="V357" s="1535"/>
      <c r="W357" s="1535"/>
      <c r="X357" s="1535"/>
      <c r="Y357" s="1535"/>
      <c r="Z357" s="1535"/>
      <c r="AF357" s="302"/>
      <c r="AG357" s="4"/>
      <c r="AH357" s="4"/>
      <c r="AI357" s="35"/>
      <c r="AJ357" s="35"/>
      <c r="AK357" s="35"/>
    </row>
    <row r="358" spans="1:66" ht="12.95" customHeight="1">
      <c r="B358" s="4"/>
      <c r="C358" s="4"/>
      <c r="D358" s="4"/>
      <c r="E358" s="4"/>
      <c r="F358" s="4"/>
      <c r="G358" s="4"/>
      <c r="I358" s="4" t="s">
        <v>76</v>
      </c>
      <c r="P358" s="1484"/>
      <c r="Q358" s="1484"/>
      <c r="R358" s="1484"/>
      <c r="S358" s="1484"/>
      <c r="T358" s="1484"/>
      <c r="U358" s="1484"/>
      <c r="V358" s="1484"/>
      <c r="W358" s="1484"/>
      <c r="X358" s="1484"/>
      <c r="Y358" s="1484"/>
      <c r="Z358" s="1484"/>
      <c r="AA358" s="1484"/>
      <c r="AB358" s="1484"/>
      <c r="AC358" s="1484"/>
      <c r="AD358" s="1484"/>
      <c r="AE358" s="1484"/>
    </row>
    <row r="359" spans="1:66" ht="12.95" customHeight="1">
      <c r="T359" s="8"/>
      <c r="U359" s="8"/>
      <c r="V359" s="8"/>
      <c r="W359" s="8"/>
      <c r="X359" s="8"/>
      <c r="Y359" s="8"/>
      <c r="Z359" s="8"/>
      <c r="AU359" s="95"/>
      <c r="AV359" s="95"/>
      <c r="AW359" s="95"/>
      <c r="AX359" s="95"/>
      <c r="AY359" s="95"/>
    </row>
    <row r="360" spans="1:66" ht="12.95" customHeight="1">
      <c r="A360" s="1548" t="s">
        <v>542</v>
      </c>
      <c r="B360" s="1548"/>
      <c r="C360" s="1548"/>
      <c r="D360" s="1548"/>
      <c r="E360" s="1548"/>
      <c r="F360" s="1548"/>
      <c r="G360" s="1548"/>
      <c r="H360" s="1548"/>
      <c r="I360" s="1548"/>
      <c r="J360" s="1548"/>
      <c r="K360" s="1548"/>
      <c r="L360" s="1548"/>
      <c r="M360" s="1548"/>
      <c r="N360" s="1548"/>
      <c r="O360" s="1548"/>
      <c r="P360" s="1548"/>
      <c r="Q360" s="1548"/>
      <c r="R360" s="1548"/>
      <c r="S360" s="1548"/>
      <c r="T360" s="1548"/>
      <c r="U360" s="1548"/>
      <c r="V360" s="1548"/>
      <c r="W360" s="1548"/>
      <c r="X360" s="1548"/>
      <c r="Y360" s="1548"/>
      <c r="Z360" s="1548"/>
      <c r="AA360" s="1548"/>
      <c r="AB360" s="1548"/>
      <c r="AC360" s="1548"/>
      <c r="AD360" s="1548"/>
      <c r="AE360" s="1548"/>
      <c r="AF360" s="1548"/>
      <c r="AG360" s="1548"/>
      <c r="AH360" s="1548"/>
      <c r="AI360" s="1548"/>
      <c r="AJ360" s="1548"/>
      <c r="AK360" s="1548"/>
      <c r="AL360" s="1548"/>
      <c r="AM360" s="1548"/>
      <c r="AN360" s="1548"/>
      <c r="AO360" s="1548"/>
      <c r="AP360" s="1548"/>
      <c r="AQ360" s="1548"/>
      <c r="AR360" s="1548"/>
      <c r="AS360" s="1548"/>
      <c r="AT360" s="1548"/>
      <c r="AU360" s="95"/>
      <c r="AV360" s="95"/>
      <c r="AW360" s="95"/>
      <c r="AX360" s="95"/>
      <c r="AY360" s="95"/>
    </row>
    <row r="361" spans="1:66" ht="12.95" customHeight="1">
      <c r="A361" s="1548"/>
      <c r="B361" s="1548"/>
      <c r="C361" s="1548"/>
      <c r="D361" s="1548"/>
      <c r="E361" s="1548"/>
      <c r="F361" s="1548"/>
      <c r="G361" s="1548"/>
      <c r="H361" s="1548"/>
      <c r="I361" s="1548"/>
      <c r="J361" s="1548"/>
      <c r="K361" s="1548"/>
      <c r="L361" s="1548"/>
      <c r="M361" s="1548"/>
      <c r="N361" s="1548"/>
      <c r="O361" s="1548"/>
      <c r="P361" s="1548"/>
      <c r="Q361" s="1548"/>
      <c r="R361" s="1548"/>
      <c r="S361" s="1548"/>
      <c r="T361" s="1548"/>
      <c r="U361" s="1548"/>
      <c r="V361" s="1548"/>
      <c r="W361" s="1548"/>
      <c r="X361" s="1548"/>
      <c r="Y361" s="1548"/>
      <c r="Z361" s="1548"/>
      <c r="AA361" s="1548"/>
      <c r="AB361" s="1548"/>
      <c r="AC361" s="1548"/>
      <c r="AD361" s="1548"/>
      <c r="AE361" s="1548"/>
      <c r="AF361" s="1548"/>
      <c r="AG361" s="1548"/>
      <c r="AH361" s="1548"/>
      <c r="AI361" s="1548"/>
      <c r="AJ361" s="1548"/>
      <c r="AK361" s="1548"/>
      <c r="AL361" s="1548"/>
      <c r="AM361" s="1548"/>
      <c r="AN361" s="1548"/>
      <c r="AO361" s="1548"/>
      <c r="AP361" s="1548"/>
      <c r="AQ361" s="1548"/>
      <c r="AR361" s="1548"/>
      <c r="AS361" s="1548"/>
      <c r="AT361" s="1548"/>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782</v>
      </c>
    </row>
    <row r="364" spans="1:66" ht="12.95" customHeight="1">
      <c r="D364" s="3" t="s">
        <v>2055</v>
      </c>
      <c r="M364" s="1440" t="s">
        <v>591</v>
      </c>
      <c r="N364" s="1440"/>
      <c r="P364" t="s">
        <v>1639</v>
      </c>
      <c r="AJ364" s="1440" t="s">
        <v>591</v>
      </c>
      <c r="AK364" s="1440"/>
    </row>
    <row r="365" spans="1:66" ht="12.95" customHeight="1">
      <c r="D365" s="3" t="s">
        <v>1628</v>
      </c>
      <c r="M365" s="1440" t="s">
        <v>591</v>
      </c>
      <c r="N365" s="1440"/>
      <c r="P365" s="3" t="s">
        <v>1708</v>
      </c>
      <c r="AJ365" s="1492"/>
      <c r="AK365" s="1492"/>
    </row>
    <row r="366" spans="1:66" ht="12.95" customHeight="1">
      <c r="D366" s="3" t="s">
        <v>704</v>
      </c>
      <c r="M366" s="1440" t="s">
        <v>591</v>
      </c>
      <c r="N366" s="1440"/>
      <c r="P366" t="s">
        <v>1638</v>
      </c>
      <c r="AJ366" s="1440" t="s">
        <v>591</v>
      </c>
      <c r="AK366" s="1440"/>
    </row>
    <row r="367" spans="1:66" ht="12.95" customHeight="1">
      <c r="D367" s="3" t="s">
        <v>705</v>
      </c>
      <c r="M367" s="1440" t="s">
        <v>545</v>
      </c>
      <c r="N367" s="1440"/>
      <c r="Q367" s="4"/>
    </row>
    <row r="368" spans="1:66" ht="12.95" customHeight="1">
      <c r="Q368" s="4"/>
    </row>
    <row r="369" spans="1:34" ht="12.95" customHeight="1">
      <c r="Q369" s="4"/>
    </row>
    <row r="370" spans="1:34" ht="12.95" customHeight="1">
      <c r="A370" s="2" t="s">
        <v>576</v>
      </c>
      <c r="B370" s="2"/>
      <c r="C370" s="2" t="s">
        <v>552</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440" t="s">
        <v>545</v>
      </c>
      <c r="O372" s="1440"/>
      <c r="P372" s="40"/>
      <c r="Q372" s="40"/>
      <c r="R372" s="40"/>
      <c r="S372" s="40"/>
      <c r="T372" s="40"/>
      <c r="U372" s="40"/>
      <c r="V372" s="40"/>
      <c r="W372" s="40"/>
      <c r="X372" s="40"/>
      <c r="Y372" s="40"/>
      <c r="Z372" s="40"/>
      <c r="AC372" s="40"/>
      <c r="AD372" s="40"/>
      <c r="AE372" s="40"/>
    </row>
    <row r="373" spans="1:34" ht="12.95" customHeight="1">
      <c r="E373" t="s">
        <v>370</v>
      </c>
      <c r="Y373" s="1440" t="s">
        <v>591</v>
      </c>
      <c r="Z373" s="1440"/>
    </row>
    <row r="374" spans="1:34" ht="12.95" customHeight="1">
      <c r="D374" s="4" t="s">
        <v>978</v>
      </c>
      <c r="Q374" s="1484" t="s">
        <v>2718</v>
      </c>
      <c r="R374" s="1484"/>
      <c r="S374" s="1484"/>
      <c r="T374" s="1484"/>
      <c r="U374" s="1484"/>
      <c r="V374" s="1484"/>
      <c r="W374" s="1484"/>
      <c r="X374" s="1484"/>
      <c r="Y374" s="1484"/>
      <c r="Z374" s="1484"/>
      <c r="AA374" s="1484"/>
      <c r="AB374" s="1484"/>
      <c r="AC374" s="1484"/>
      <c r="AD374" s="1484"/>
      <c r="AE374" s="1484"/>
      <c r="AF374" s="1484"/>
      <c r="AG374" s="1484"/>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440" t="s">
        <v>545</v>
      </c>
      <c r="K376" s="1440"/>
      <c r="L376" s="40"/>
      <c r="M376" s="40"/>
      <c r="N376" s="40"/>
      <c r="O376" s="40"/>
      <c r="P376" s="40"/>
      <c r="Q376" s="40"/>
      <c r="R376" s="40"/>
      <c r="S376" s="40"/>
      <c r="T376" s="40"/>
      <c r="U376" s="40"/>
      <c r="V376" s="40"/>
      <c r="W376" s="40"/>
      <c r="X376" s="40"/>
      <c r="Y376" s="40"/>
      <c r="Z376" s="40"/>
      <c r="AC376" s="40"/>
      <c r="AD376" s="40"/>
      <c r="AE376" s="40"/>
    </row>
    <row r="377" spans="1:34" ht="12.95" customHeight="1">
      <c r="E377" s="1556" t="s">
        <v>706</v>
      </c>
      <c r="F377" s="1556"/>
      <c r="G377" s="1556"/>
      <c r="H377" s="1556"/>
      <c r="I377" s="1556"/>
      <c r="J377" s="1556"/>
      <c r="K377" s="1556"/>
      <c r="L377" s="1556"/>
      <c r="M377" s="1556"/>
      <c r="N377" s="1556"/>
      <c r="O377" s="1556"/>
      <c r="P377" s="1556"/>
      <c r="Q377" s="1556"/>
      <c r="R377" s="1556"/>
      <c r="S377" s="1556"/>
      <c r="T377" s="1556"/>
      <c r="U377" s="1556"/>
      <c r="V377" s="1556"/>
      <c r="W377" s="1556"/>
      <c r="X377" s="1556"/>
      <c r="Y377" s="1556"/>
      <c r="Z377" s="1556"/>
      <c r="AA377" s="1556"/>
      <c r="AB377" s="1556"/>
      <c r="AC377" s="1556"/>
      <c r="AD377" s="1556"/>
      <c r="AE377" s="1556"/>
      <c r="AF377" s="1556"/>
      <c r="AG377" s="1556"/>
      <c r="AH377" s="1556"/>
    </row>
    <row r="378" spans="1:34" ht="12.95" customHeight="1">
      <c r="E378" s="1556"/>
      <c r="F378" s="1556"/>
      <c r="G378" s="1556"/>
      <c r="H378" s="1556"/>
      <c r="I378" s="1556"/>
      <c r="J378" s="1556"/>
      <c r="K378" s="1556"/>
      <c r="L378" s="1556"/>
      <c r="M378" s="1556"/>
      <c r="N378" s="1556"/>
      <c r="O378" s="1556"/>
      <c r="P378" s="1556"/>
      <c r="Q378" s="1556"/>
      <c r="R378" s="1556"/>
      <c r="S378" s="1556"/>
      <c r="T378" s="1556"/>
      <c r="U378" s="1556"/>
      <c r="V378" s="1556"/>
      <c r="W378" s="1556"/>
      <c r="X378" s="1556"/>
      <c r="Y378" s="1556"/>
      <c r="Z378" s="1556"/>
      <c r="AA378" s="1556"/>
      <c r="AB378" s="1556"/>
      <c r="AC378" s="1556"/>
      <c r="AD378" s="1556"/>
      <c r="AE378" s="1556"/>
      <c r="AF378" s="1556"/>
      <c r="AG378" s="1556"/>
      <c r="AH378" s="1556"/>
    </row>
    <row r="379" spans="1:34" ht="12.95" customHeight="1">
      <c r="E379" s="4" t="s">
        <v>448</v>
      </c>
      <c r="F379" s="4"/>
      <c r="G379" s="4"/>
      <c r="H379" s="4"/>
      <c r="I379" s="4"/>
      <c r="J379" s="4"/>
      <c r="K379" s="4"/>
      <c r="L379" s="4"/>
      <c r="N379" s="1392" t="s">
        <v>2719</v>
      </c>
      <c r="O379" s="1392"/>
      <c r="P379" s="1392"/>
      <c r="Q379" s="1392"/>
      <c r="R379" s="4"/>
      <c r="U379" s="4" t="s">
        <v>449</v>
      </c>
      <c r="V379" s="4"/>
      <c r="W379" s="4"/>
      <c r="X379" s="4"/>
      <c r="Y379" s="4"/>
      <c r="Z379" s="4"/>
      <c r="AA379" s="4"/>
      <c r="AB379" s="4"/>
      <c r="AC379" s="1392">
        <v>12</v>
      </c>
      <c r="AD379" s="1392"/>
      <c r="AE379" s="1392"/>
      <c r="AF379" s="1392"/>
    </row>
    <row r="380" spans="1:34" ht="12.95" customHeight="1">
      <c r="E380" s="4" t="s">
        <v>450</v>
      </c>
      <c r="F380" s="4"/>
      <c r="G380" s="4"/>
      <c r="H380" s="4"/>
      <c r="I380" s="4"/>
      <c r="J380" s="4"/>
      <c r="K380" s="4"/>
      <c r="L380" s="4"/>
      <c r="N380" s="1392">
        <v>12</v>
      </c>
      <c r="O380" s="1392"/>
      <c r="P380" s="1392"/>
      <c r="Q380" s="1392"/>
      <c r="R380" s="4"/>
      <c r="U380" s="4" t="s">
        <v>0</v>
      </c>
      <c r="V380" s="4"/>
      <c r="W380" s="4"/>
      <c r="X380" s="4"/>
      <c r="Y380" s="4"/>
      <c r="Z380" s="4"/>
      <c r="AA380" s="4"/>
      <c r="AB380" s="4"/>
      <c r="AC380" s="1392">
        <v>78</v>
      </c>
      <c r="AD380" s="1392"/>
      <c r="AE380" s="1392"/>
      <c r="AF380" s="1392"/>
    </row>
    <row r="381" spans="1:34" ht="12.95" customHeight="1">
      <c r="E381" s="4" t="s">
        <v>1</v>
      </c>
      <c r="F381" s="4"/>
      <c r="G381" s="4"/>
      <c r="H381" s="4"/>
      <c r="I381" s="4"/>
      <c r="J381" s="4"/>
      <c r="K381" s="4"/>
      <c r="L381" s="4"/>
      <c r="N381" s="1392">
        <v>2</v>
      </c>
      <c r="O381" s="1392"/>
      <c r="P381" s="1392"/>
      <c r="Q381" s="1392"/>
      <c r="R381" s="4"/>
      <c r="V381" s="4"/>
      <c r="W381" s="4"/>
      <c r="X381" s="4"/>
      <c r="Y381" s="4"/>
      <c r="Z381" s="4"/>
      <c r="AA381" s="4"/>
      <c r="AB381" s="4"/>
    </row>
    <row r="382" spans="1:34" ht="12.95" customHeight="1">
      <c r="E382" s="4" t="s">
        <v>2</v>
      </c>
      <c r="F382" s="4"/>
      <c r="G382" s="4"/>
      <c r="H382" s="4"/>
      <c r="I382" s="4"/>
      <c r="J382" s="4"/>
      <c r="K382" s="4"/>
      <c r="L382" s="4"/>
      <c r="N382" s="1536" t="s">
        <v>2720</v>
      </c>
      <c r="O382" s="1536"/>
      <c r="P382" s="1536"/>
      <c r="Q382" s="1536"/>
      <c r="R382" s="1536"/>
      <c r="S382" s="1536"/>
      <c r="T382" s="1536"/>
      <c r="U382" s="1536"/>
      <c r="V382" s="1536"/>
      <c r="W382" s="1536"/>
      <c r="X382" s="1536"/>
      <c r="Y382" s="1536"/>
      <c r="Z382" s="1536"/>
      <c r="AA382" s="1536"/>
      <c r="AB382" s="1536"/>
      <c r="AC382" s="1536"/>
      <c r="AD382" s="1536"/>
      <c r="AE382" s="1536"/>
      <c r="AF382" s="1536"/>
    </row>
    <row r="383" spans="1:34" ht="12.95" customHeight="1">
      <c r="E383" s="4"/>
      <c r="F383" s="4"/>
      <c r="G383" s="4"/>
      <c r="H383" s="4"/>
      <c r="I383" s="4"/>
      <c r="J383" s="4"/>
      <c r="K383" s="4"/>
      <c r="L383" s="4"/>
      <c r="N383" s="1537"/>
      <c r="O383" s="1537"/>
      <c r="P383" s="1537"/>
      <c r="Q383" s="1537"/>
      <c r="R383" s="1537"/>
      <c r="S383" s="1537"/>
      <c r="T383" s="1537"/>
      <c r="U383" s="1537"/>
      <c r="V383" s="1537"/>
      <c r="W383" s="1537"/>
      <c r="X383" s="1537"/>
      <c r="Y383" s="1537"/>
      <c r="Z383" s="1537"/>
      <c r="AA383" s="1537"/>
      <c r="AB383" s="1537"/>
      <c r="AC383" s="1537"/>
      <c r="AD383" s="1537"/>
      <c r="AE383" s="1537"/>
      <c r="AF383" s="1537"/>
    </row>
    <row r="384" spans="1:34" ht="12.95" customHeight="1">
      <c r="C384" s="512"/>
      <c r="E384" s="4"/>
      <c r="F384" s="4"/>
      <c r="G384" s="4"/>
      <c r="H384" s="4"/>
      <c r="I384" s="4"/>
      <c r="J384" s="4"/>
      <c r="K384" s="4"/>
      <c r="L384" s="4"/>
    </row>
    <row r="385" spans="1:36" ht="12.95" customHeight="1">
      <c r="D385" s="2" t="s">
        <v>975</v>
      </c>
      <c r="E385" s="2"/>
      <c r="F385" s="4"/>
      <c r="G385" s="4"/>
      <c r="H385" s="4"/>
      <c r="I385" s="4"/>
      <c r="J385" s="4"/>
      <c r="K385" s="4"/>
      <c r="L385" s="4"/>
    </row>
    <row r="386" spans="1:36" ht="12.95" customHeight="1">
      <c r="E386" s="4" t="s">
        <v>2041</v>
      </c>
      <c r="F386" s="4"/>
      <c r="G386" s="4"/>
      <c r="H386" s="4"/>
      <c r="I386" s="4"/>
      <c r="J386" s="4"/>
      <c r="K386" s="4"/>
      <c r="L386" s="4"/>
      <c r="N386" t="s">
        <v>2037</v>
      </c>
      <c r="R386" s="27" t="s">
        <v>305</v>
      </c>
      <c r="S386" s="1540">
        <v>2006</v>
      </c>
      <c r="T386" s="1540"/>
      <c r="U386" s="1" t="s">
        <v>306</v>
      </c>
      <c r="V386" s="1540">
        <v>859</v>
      </c>
      <c r="W386" s="1540"/>
      <c r="Y386" t="s">
        <v>2037</v>
      </c>
      <c r="AC386" s="27" t="s">
        <v>305</v>
      </c>
      <c r="AD386" s="1540">
        <v>2007</v>
      </c>
      <c r="AE386" s="1540"/>
      <c r="AF386" s="1" t="s">
        <v>306</v>
      </c>
      <c r="AG386" s="1540">
        <v>923</v>
      </c>
      <c r="AH386" s="1540"/>
    </row>
    <row r="387" spans="1:36" ht="12.95" customHeight="1">
      <c r="E387" s="4" t="s">
        <v>987</v>
      </c>
      <c r="F387" s="4"/>
      <c r="G387" s="4"/>
      <c r="H387" s="4"/>
      <c r="I387" s="4"/>
      <c r="J387" s="4"/>
      <c r="K387" s="4"/>
      <c r="L387" s="4"/>
      <c r="N387" s="1540" t="s">
        <v>2721</v>
      </c>
      <c r="O387" s="1540"/>
      <c r="P387" s="1540"/>
    </row>
    <row r="388" spans="1:36" ht="12.95" customHeight="1">
      <c r="E388" s="204" t="s">
        <v>2042</v>
      </c>
      <c r="F388" s="4"/>
      <c r="G388" s="4"/>
      <c r="H388" s="4"/>
      <c r="I388" s="4"/>
      <c r="J388" s="4"/>
      <c r="K388" s="4"/>
      <c r="L388" s="4"/>
      <c r="AG388" s="1442" t="s">
        <v>591</v>
      </c>
      <c r="AH388" s="1442"/>
    </row>
    <row r="389" spans="1:36" ht="12.95" customHeight="1">
      <c r="E389" s="4"/>
      <c r="F389" s="4"/>
      <c r="G389" s="4" t="s">
        <v>2043</v>
      </c>
      <c r="H389" s="4"/>
      <c r="I389" s="4"/>
      <c r="J389" s="4"/>
      <c r="K389" s="4"/>
      <c r="L389" s="4"/>
      <c r="AG389" s="1442" t="s">
        <v>591</v>
      </c>
      <c r="AH389" s="1442"/>
    </row>
    <row r="390" spans="1:36" ht="12.95" customHeight="1">
      <c r="E390" s="4"/>
      <c r="F390" s="4"/>
      <c r="G390" s="320" t="s">
        <v>988</v>
      </c>
      <c r="H390" s="4"/>
      <c r="I390" s="4"/>
      <c r="J390" s="4"/>
      <c r="K390" s="4"/>
      <c r="L390" s="4"/>
      <c r="V390" s="1440" t="s">
        <v>591</v>
      </c>
      <c r="W390" s="1440"/>
      <c r="Y390" s="22" t="s">
        <v>980</v>
      </c>
    </row>
    <row r="391" spans="1:36" ht="12.95" customHeight="1">
      <c r="E391" s="4" t="s">
        <v>981</v>
      </c>
      <c r="F391" s="4"/>
      <c r="G391" s="4"/>
      <c r="H391" s="4"/>
      <c r="I391" s="4"/>
      <c r="J391" s="4"/>
      <c r="K391" s="4"/>
      <c r="L391" s="4"/>
      <c r="V391" s="1440" t="s">
        <v>591</v>
      </c>
      <c r="W391" s="1440"/>
      <c r="Y391" s="4" t="s">
        <v>982</v>
      </c>
    </row>
    <row r="392" spans="1:36" ht="12.95" customHeight="1"/>
    <row r="393" spans="1:36" ht="12.95" customHeight="1">
      <c r="A393" s="2" t="s">
        <v>78</v>
      </c>
      <c r="B393" s="2"/>
    </row>
    <row r="394" spans="1:36" ht="12.95" customHeight="1">
      <c r="D394" t="s">
        <v>428</v>
      </c>
      <c r="J394" s="1266" t="s">
        <v>2722</v>
      </c>
      <c r="K394" s="1266"/>
      <c r="L394" s="1266"/>
      <c r="M394" s="1266"/>
      <c r="N394" s="1266"/>
      <c r="O394" s="1266"/>
      <c r="P394" s="1266"/>
      <c r="Q394" s="1266"/>
      <c r="R394" s="1266"/>
      <c r="S394" s="1266"/>
      <c r="T394" s="1266"/>
      <c r="U394" s="1266"/>
      <c r="V394" s="8" t="s">
        <v>83</v>
      </c>
      <c r="W394" s="8"/>
      <c r="X394" s="8"/>
      <c r="Y394" s="8"/>
      <c r="Z394" s="8"/>
      <c r="AA394" s="8"/>
      <c r="AB394" s="8"/>
      <c r="AC394" s="1266" t="s">
        <v>2723</v>
      </c>
      <c r="AD394" s="1266"/>
      <c r="AE394" s="1266"/>
      <c r="AF394" s="1266"/>
      <c r="AG394" s="1266"/>
      <c r="AH394" s="1266"/>
      <c r="AI394" s="1266"/>
      <c r="AJ394" s="1266"/>
    </row>
    <row r="395" spans="1:36" ht="12.95" customHeight="1">
      <c r="D395" s="3" t="s">
        <v>1182</v>
      </c>
      <c r="J395" s="251" t="s">
        <v>2723</v>
      </c>
      <c r="K395" s="251"/>
      <c r="L395" s="251"/>
      <c r="M395" s="251"/>
      <c r="N395" s="251"/>
      <c r="O395" s="251"/>
      <c r="P395" s="251"/>
      <c r="Q395" s="251"/>
      <c r="R395" s="251"/>
      <c r="S395" s="251"/>
      <c r="T395" s="251"/>
      <c r="U395" s="251"/>
      <c r="V395" s="3" t="s">
        <v>1182</v>
      </c>
      <c r="W395" s="8"/>
      <c r="X395" s="8"/>
      <c r="Y395" s="8"/>
      <c r="Z395" s="8"/>
      <c r="AA395" s="8"/>
      <c r="AB395" s="8"/>
      <c r="AC395" s="1266" t="s">
        <v>2726</v>
      </c>
      <c r="AD395" s="1266"/>
      <c r="AE395" s="1266"/>
      <c r="AF395" s="1266"/>
      <c r="AG395" s="1266"/>
      <c r="AH395" s="1266"/>
      <c r="AI395" s="1266"/>
      <c r="AJ395" s="1266"/>
    </row>
    <row r="396" spans="1:36" ht="12.95" customHeight="1">
      <c r="D396" s="3" t="s">
        <v>441</v>
      </c>
      <c r="J396" s="251" t="s">
        <v>2724</v>
      </c>
      <c r="K396" s="251"/>
      <c r="L396" s="251"/>
      <c r="M396" s="251"/>
      <c r="N396" s="251"/>
      <c r="O396" s="251"/>
      <c r="P396" s="251"/>
      <c r="Q396" s="251"/>
      <c r="R396" s="251"/>
      <c r="S396" s="251"/>
      <c r="T396" s="251"/>
      <c r="U396" s="251"/>
      <c r="V396" s="3" t="s">
        <v>441</v>
      </c>
      <c r="W396" s="8"/>
      <c r="X396" s="8"/>
      <c r="Y396" s="8"/>
      <c r="Z396" s="8"/>
      <c r="AA396" s="8"/>
      <c r="AB396" s="8"/>
      <c r="AC396" s="1266" t="s">
        <v>2727</v>
      </c>
      <c r="AD396" s="1266"/>
      <c r="AE396" s="1266"/>
      <c r="AF396" s="1266"/>
      <c r="AG396" s="1266"/>
      <c r="AH396" s="1266"/>
      <c r="AI396" s="1266"/>
      <c r="AJ396" s="1266"/>
    </row>
    <row r="397" spans="1:36" ht="12.95" customHeight="1">
      <c r="D397" t="s">
        <v>1178</v>
      </c>
      <c r="J397" s="1267"/>
      <c r="K397" s="1267"/>
      <c r="L397" s="1267"/>
      <c r="M397" s="1267" t="s">
        <v>2725</v>
      </c>
      <c r="N397" s="1267"/>
      <c r="O397" s="1267"/>
      <c r="P397" s="1267"/>
      <c r="Q397" s="1267"/>
      <c r="R397" s="1267"/>
      <c r="S397" s="1267"/>
      <c r="T397" s="1267"/>
      <c r="U397" s="1267"/>
      <c r="V397" s="1484" t="s">
        <v>2728</v>
      </c>
      <c r="W397" s="1484"/>
      <c r="X397" s="1484"/>
      <c r="Y397" s="1484"/>
      <c r="Z397" s="1484"/>
      <c r="AA397" s="1484"/>
      <c r="AB397" s="1484"/>
      <c r="AC397" s="1484"/>
      <c r="AD397" s="1484"/>
      <c r="AE397" s="1484"/>
      <c r="AF397" s="1484"/>
      <c r="AG397" s="1484"/>
      <c r="AH397" s="1484"/>
      <c r="AI397" s="1484"/>
      <c r="AJ397" s="1484"/>
    </row>
    <row r="398" spans="1:36" ht="12.95" customHeight="1">
      <c r="D398" t="s">
        <v>4</v>
      </c>
      <c r="Q398" s="1590">
        <v>45902</v>
      </c>
      <c r="R398" s="1590"/>
      <c r="S398" s="1590"/>
      <c r="T398" s="1590"/>
      <c r="U398" s="1590"/>
      <c r="V398" t="s">
        <v>309</v>
      </c>
      <c r="AI398" s="1440" t="s">
        <v>669</v>
      </c>
      <c r="AJ398" s="1440"/>
    </row>
    <row r="399" spans="1:36" ht="12.95" customHeight="1">
      <c r="D399" t="s">
        <v>5</v>
      </c>
      <c r="Q399" s="1538">
        <v>46205</v>
      </c>
      <c r="R399" s="1538"/>
      <c r="S399" s="1538"/>
      <c r="T399" s="1538"/>
      <c r="U399" s="1538"/>
      <c r="W399" s="21" t="s">
        <v>74</v>
      </c>
      <c r="AG399" s="1444"/>
      <c r="AH399" s="1444"/>
      <c r="AI399" s="1444"/>
      <c r="AJ399" s="1444"/>
    </row>
    <row r="400" spans="1:36" ht="12.95" customHeight="1">
      <c r="D400" t="s">
        <v>427</v>
      </c>
      <c r="Q400" s="1445">
        <v>15457394</v>
      </c>
      <c r="R400" s="1445"/>
      <c r="S400" s="1445"/>
      <c r="T400" s="1445"/>
      <c r="U400" s="1445"/>
      <c r="V400" s="3" t="s">
        <v>1181</v>
      </c>
      <c r="AG400" s="1542">
        <v>45840</v>
      </c>
      <c r="AH400" s="1542"/>
      <c r="AI400" s="1542"/>
      <c r="AJ400" s="1542"/>
    </row>
    <row r="401" spans="4:36" ht="12.95" customHeight="1">
      <c r="D401" t="s">
        <v>88</v>
      </c>
      <c r="I401" s="1554"/>
      <c r="J401" s="1554"/>
      <c r="K401" s="1554"/>
      <c r="L401" s="1554"/>
      <c r="M401" s="1554"/>
      <c r="N401" s="1554"/>
      <c r="Q401" s="4" t="s">
        <v>206</v>
      </c>
      <c r="S401" s="1443"/>
      <c r="T401" s="1443"/>
      <c r="U401" s="1443"/>
      <c r="V401" t="s">
        <v>73</v>
      </c>
      <c r="AI401" s="1440" t="s">
        <v>669</v>
      </c>
      <c r="AJ401" s="1440"/>
    </row>
    <row r="402" spans="4:36" ht="12.95" customHeight="1">
      <c r="D402" t="s">
        <v>310</v>
      </c>
      <c r="Q402" s="1541"/>
      <c r="R402" s="1541"/>
      <c r="S402" s="1541"/>
      <c r="T402" s="1541"/>
      <c r="U402" s="1541"/>
      <c r="V402" t="s">
        <v>311</v>
      </c>
      <c r="AG402" s="1444"/>
      <c r="AH402" s="1444"/>
      <c r="AI402" s="1444"/>
      <c r="AJ402" s="1444"/>
    </row>
    <row r="403" spans="4:36" ht="12.95" customHeight="1">
      <c r="D403" t="s">
        <v>312</v>
      </c>
      <c r="Q403" s="1544"/>
      <c r="R403" s="1544"/>
      <c r="S403" s="1544"/>
      <c r="T403" s="1544"/>
      <c r="U403" s="1544"/>
      <c r="V403" t="s">
        <v>1163</v>
      </c>
      <c r="AG403" s="1444"/>
      <c r="AH403" s="1444"/>
      <c r="AI403" s="1444"/>
      <c r="AJ403" s="1444"/>
    </row>
    <row r="404" spans="4:36" ht="12.95" customHeight="1">
      <c r="D404" t="s">
        <v>1162</v>
      </c>
      <c r="AG404" s="1444"/>
      <c r="AH404" s="1444"/>
      <c r="AI404" s="1444"/>
      <c r="AJ404" s="1444"/>
    </row>
    <row r="405" spans="4:36" ht="12.95" customHeight="1">
      <c r="AG405" s="456"/>
      <c r="AH405" s="456"/>
      <c r="AI405" s="456"/>
      <c r="AJ405" s="456"/>
    </row>
    <row r="406" spans="4:36" ht="12.95" customHeight="1">
      <c r="D406" s="3" t="s">
        <v>2099</v>
      </c>
      <c r="AG406" s="456"/>
      <c r="AH406" s="456"/>
      <c r="AI406" s="1440" t="s">
        <v>669</v>
      </c>
      <c r="AJ406" s="1440"/>
    </row>
    <row r="407" spans="4:36" ht="12.95" customHeight="1">
      <c r="D407" s="3" t="s">
        <v>1656</v>
      </c>
      <c r="T407" s="1461"/>
      <c r="U407" s="1461"/>
      <c r="V407" s="1461"/>
      <c r="W407" s="1461"/>
      <c r="X407" s="1461"/>
      <c r="Y407" s="1461"/>
      <c r="Z407" s="1461"/>
      <c r="AA407" s="1461"/>
      <c r="AB407" s="1461"/>
      <c r="AC407" s="1461"/>
      <c r="AD407" s="1461"/>
      <c r="AE407" s="1461"/>
      <c r="AF407" s="1461"/>
      <c r="AG407" s="1461"/>
      <c r="AH407" s="1461"/>
      <c r="AI407" s="1461"/>
      <c r="AJ407" s="1461"/>
    </row>
    <row r="408" spans="4:36" ht="12.95" customHeight="1">
      <c r="D408" s="3" t="s">
        <v>1655</v>
      </c>
      <c r="T408" s="1461"/>
      <c r="U408" s="1461"/>
      <c r="V408" s="1461"/>
      <c r="W408" s="1461"/>
      <c r="X408" s="1461"/>
      <c r="Y408" s="1461"/>
      <c r="Z408" s="1461"/>
      <c r="AA408" s="1461"/>
      <c r="AB408" s="1461"/>
      <c r="AC408" s="1461"/>
      <c r="AD408" s="1461"/>
      <c r="AE408" s="1461"/>
      <c r="AF408" s="1461"/>
      <c r="AG408" s="1461"/>
      <c r="AH408" s="1461"/>
      <c r="AI408" s="1461"/>
      <c r="AJ408" s="1461"/>
    </row>
    <row r="409" spans="4:36" ht="12.95" customHeight="1">
      <c r="AG409" s="456"/>
      <c r="AH409" s="456"/>
      <c r="AI409" s="456"/>
      <c r="AJ409" s="456"/>
    </row>
    <row r="410" spans="4:36" ht="12.95" customHeight="1">
      <c r="D410" s="3" t="s">
        <v>1649</v>
      </c>
      <c r="S410" s="1461" t="s">
        <v>669</v>
      </c>
      <c r="T410" s="1461"/>
      <c r="U410" s="1461"/>
      <c r="V410" t="s">
        <v>1650</v>
      </c>
      <c r="AG410" s="1539"/>
      <c r="AH410" s="1539"/>
      <c r="AI410" s="1539"/>
      <c r="AJ410" s="1539"/>
    </row>
    <row r="411" spans="4:36" ht="12.95" customHeight="1">
      <c r="D411" s="3" t="s">
        <v>1647</v>
      </c>
      <c r="S411" s="1461" t="s">
        <v>591</v>
      </c>
      <c r="T411" s="1461"/>
      <c r="U411" s="1461"/>
      <c r="V411" t="s">
        <v>1652</v>
      </c>
      <c r="AE411" s="1589"/>
      <c r="AF411" s="1589"/>
      <c r="AG411" s="1589"/>
      <c r="AH411" s="1589"/>
      <c r="AI411" s="1589"/>
      <c r="AJ411" s="1589"/>
    </row>
    <row r="412" spans="4:36" ht="12.95" customHeight="1">
      <c r="D412" s="3" t="s">
        <v>1648</v>
      </c>
      <c r="K412" s="1543"/>
      <c r="L412" s="1543"/>
      <c r="M412" s="1543"/>
      <c r="N412" s="1543"/>
      <c r="O412" s="1543"/>
      <c r="P412" s="1543"/>
      <c r="Q412" s="1543"/>
      <c r="R412" s="1543"/>
      <c r="S412" s="1543"/>
      <c r="T412" s="1543"/>
      <c r="U412" s="1543"/>
      <c r="V412" s="1543"/>
      <c r="W412" s="1543"/>
      <c r="X412" s="1543"/>
      <c r="Y412" s="1543"/>
      <c r="Z412" s="1543"/>
      <c r="AA412" s="1543"/>
      <c r="AB412" s="1543"/>
      <c r="AC412" s="1543"/>
      <c r="AD412" s="1543"/>
      <c r="AE412" s="1543"/>
      <c r="AF412" s="1543"/>
      <c r="AG412" s="1543"/>
      <c r="AH412" s="1543"/>
      <c r="AI412" s="1543"/>
      <c r="AJ412" s="1543"/>
    </row>
    <row r="413" spans="4:36" ht="12.95" customHeight="1">
      <c r="D413" s="3" t="s">
        <v>1651</v>
      </c>
      <c r="K413" s="1543"/>
      <c r="L413" s="1543"/>
      <c r="M413" s="1543"/>
      <c r="N413" s="1543"/>
      <c r="O413" s="1543"/>
      <c r="P413" s="1543"/>
      <c r="Q413" s="1543"/>
      <c r="R413" s="1543"/>
      <c r="S413" s="1543"/>
      <c r="T413" s="1543"/>
      <c r="U413" s="1543"/>
      <c r="V413" s="1543"/>
      <c r="W413" s="1543"/>
      <c r="X413" s="1543"/>
      <c r="Y413" s="1543"/>
      <c r="Z413" s="1543"/>
      <c r="AA413" s="1543"/>
      <c r="AB413" s="1543"/>
      <c r="AC413" s="1543"/>
      <c r="AD413" s="1543"/>
      <c r="AE413" s="1543"/>
      <c r="AF413" s="1543"/>
      <c r="AG413" s="1543"/>
      <c r="AH413" s="1543"/>
      <c r="AI413" s="1543"/>
      <c r="AJ413" s="1543"/>
    </row>
    <row r="414" spans="4:36" ht="12.95" customHeight="1">
      <c r="D414" s="3" t="s">
        <v>1654</v>
      </c>
      <c r="E414" s="477"/>
      <c r="F414" s="477"/>
      <c r="G414" s="477"/>
      <c r="H414" s="477"/>
      <c r="I414" s="477"/>
      <c r="J414" s="477"/>
      <c r="K414" s="477"/>
      <c r="L414" s="477"/>
      <c r="M414" s="477"/>
      <c r="N414" s="477"/>
      <c r="O414" s="477"/>
      <c r="P414" s="477"/>
      <c r="Q414" s="477"/>
      <c r="R414" s="477"/>
      <c r="S414" s="1441" t="s">
        <v>2729</v>
      </c>
      <c r="T414" s="1441"/>
      <c r="U414" s="1441"/>
      <c r="V414" s="1441"/>
      <c r="W414" s="1441"/>
      <c r="X414" s="1441"/>
      <c r="Y414" s="1441"/>
      <c r="Z414" s="1441"/>
      <c r="AA414" s="1441"/>
      <c r="AB414" s="1441"/>
      <c r="AC414" s="1441"/>
      <c r="AD414" s="1441"/>
      <c r="AE414" s="1441"/>
      <c r="AF414" s="1441"/>
      <c r="AG414" s="1441"/>
      <c r="AH414" s="1441"/>
      <c r="AI414" s="1441"/>
      <c r="AJ414" s="1441"/>
    </row>
    <row r="415" spans="4:36" ht="12.95" customHeight="1">
      <c r="D415" s="1274" t="s">
        <v>1653</v>
      </c>
      <c r="E415" s="1274"/>
      <c r="F415" s="1274"/>
      <c r="G415" s="1274"/>
      <c r="H415" s="1274"/>
      <c r="I415" s="1274"/>
      <c r="J415" s="1274"/>
      <c r="K415" s="1274"/>
      <c r="L415" s="1274"/>
      <c r="M415" s="1274"/>
      <c r="N415" s="1274"/>
      <c r="O415" s="1274"/>
      <c r="P415" s="1274"/>
      <c r="Q415" s="1274"/>
      <c r="R415" s="1274"/>
      <c r="S415" s="1274"/>
      <c r="T415" s="1274"/>
      <c r="U415" s="1274"/>
      <c r="V415" s="1274"/>
      <c r="W415" s="1274"/>
      <c r="X415" s="1274"/>
      <c r="Y415" s="1274"/>
      <c r="Z415" s="1274"/>
      <c r="AA415" s="1274"/>
      <c r="AB415" s="1274"/>
      <c r="AC415" s="1274"/>
      <c r="AD415" s="1274"/>
      <c r="AE415" s="1274"/>
      <c r="AF415" s="1274"/>
      <c r="AG415" s="1274"/>
      <c r="AH415" s="1274"/>
      <c r="AI415" s="1274"/>
      <c r="AJ415" s="1274"/>
    </row>
    <row r="416" spans="4:36" ht="12.95" customHeight="1">
      <c r="D416" s="1274"/>
      <c r="E416" s="1274"/>
      <c r="F416" s="1274"/>
      <c r="G416" s="1274"/>
      <c r="H416" s="1274"/>
      <c r="I416" s="1274"/>
      <c r="J416" s="1274"/>
      <c r="K416" s="1274"/>
      <c r="L416" s="1274"/>
      <c r="M416" s="1274"/>
      <c r="N416" s="1274"/>
      <c r="O416" s="1274"/>
      <c r="P416" s="1274"/>
      <c r="Q416" s="1274"/>
      <c r="R416" s="1274"/>
      <c r="S416" s="1274"/>
      <c r="T416" s="1274"/>
      <c r="U416" s="1274"/>
      <c r="V416" s="1274"/>
      <c r="W416" s="1274"/>
      <c r="X416" s="1274"/>
      <c r="Y416" s="1274"/>
      <c r="Z416" s="1274"/>
      <c r="AA416" s="1274"/>
      <c r="AB416" s="1274"/>
      <c r="AC416" s="1274"/>
      <c r="AD416" s="1274"/>
      <c r="AE416" s="1274"/>
      <c r="AF416" s="1274"/>
      <c r="AG416" s="1274"/>
      <c r="AH416" s="1274"/>
      <c r="AI416" s="1274"/>
      <c r="AJ416" s="1274"/>
    </row>
    <row r="417" spans="1:39" ht="12.95" customHeight="1">
      <c r="AG417" s="456"/>
      <c r="AH417" s="456"/>
      <c r="AI417" s="456"/>
      <c r="AJ417" s="456"/>
    </row>
    <row r="418" spans="1:39" ht="12.95" customHeight="1">
      <c r="A418" s="2" t="s">
        <v>589</v>
      </c>
      <c r="B418" s="2"/>
      <c r="C418" s="2" t="s">
        <v>111</v>
      </c>
    </row>
    <row r="419" spans="1:39" ht="12.95" customHeight="1">
      <c r="B419" s="2"/>
      <c r="C419" s="2"/>
      <c r="D419" s="2" t="s">
        <v>1204</v>
      </c>
      <c r="I419" s="1344" t="s">
        <v>2730</v>
      </c>
      <c r="J419" s="1344"/>
      <c r="K419" s="1344"/>
      <c r="L419" s="1344"/>
      <c r="M419" s="1344"/>
      <c r="N419" s="1344"/>
      <c r="O419" s="1344"/>
      <c r="P419" s="1344"/>
      <c r="Q419" s="1344"/>
      <c r="R419" s="1344"/>
      <c r="S419" s="1344"/>
      <c r="T419" s="1344"/>
      <c r="U419" s="1344"/>
      <c r="V419" s="1344"/>
      <c r="W419" s="1344"/>
      <c r="X419" s="1344"/>
      <c r="Y419" s="1344"/>
      <c r="Z419" s="1344"/>
      <c r="AA419" s="1344"/>
      <c r="AB419" s="1344"/>
      <c r="AC419" s="1344"/>
      <c r="AD419" s="1344"/>
      <c r="AE419" s="1344"/>
    </row>
    <row r="420" spans="1:39" ht="12.95" customHeight="1">
      <c r="E420" t="s">
        <v>106</v>
      </c>
      <c r="R420" s="1440" t="s">
        <v>591</v>
      </c>
      <c r="S420" s="1440"/>
      <c r="AC420" s="27" t="s">
        <v>570</v>
      </c>
      <c r="AD420" s="1392"/>
      <c r="AE420" s="1392"/>
    </row>
    <row r="421" spans="1:39" ht="12.95" customHeight="1">
      <c r="E421" t="s">
        <v>107</v>
      </c>
      <c r="R421" s="1440" t="s">
        <v>545</v>
      </c>
      <c r="S421" s="1440"/>
      <c r="AC421" s="27" t="s">
        <v>570</v>
      </c>
      <c r="AD421" s="1392">
        <v>2</v>
      </c>
      <c r="AE421" s="1392"/>
    </row>
    <row r="422" spans="1:39" ht="12.95" customHeight="1">
      <c r="E422" t="s">
        <v>108</v>
      </c>
      <c r="S422" s="1440" t="s">
        <v>591</v>
      </c>
      <c r="T422" s="1440"/>
    </row>
    <row r="423" spans="1:39" ht="12.95" customHeight="1">
      <c r="E423" t="s">
        <v>170</v>
      </c>
      <c r="H423" s="1587" t="s">
        <v>334</v>
      </c>
      <c r="I423" s="1587"/>
      <c r="J423" s="1587"/>
      <c r="K423" s="1587"/>
      <c r="L423" s="1587"/>
      <c r="M423" s="1587"/>
      <c r="N423" s="1587"/>
      <c r="O423" s="1587"/>
      <c r="P423" s="1587"/>
      <c r="Q423" s="1587"/>
      <c r="R423" s="1587"/>
      <c r="S423" s="1587"/>
      <c r="T423" s="1587"/>
      <c r="U423" s="1587"/>
      <c r="V423" s="1587"/>
      <c r="W423" s="1587"/>
      <c r="X423" s="1587"/>
      <c r="Y423" s="1587"/>
      <c r="Z423" s="1587"/>
      <c r="AA423" s="1587"/>
      <c r="AB423" s="1587"/>
      <c r="AC423" s="1587"/>
      <c r="AD423" s="1587"/>
      <c r="AE423" s="1587"/>
    </row>
    <row r="424" spans="1:39" ht="12.95" customHeight="1">
      <c r="H424" s="1588"/>
      <c r="I424" s="1588"/>
      <c r="J424" s="1588"/>
      <c r="K424" s="1588"/>
      <c r="L424" s="1588"/>
      <c r="M424" s="1588"/>
      <c r="N424" s="1588"/>
      <c r="O424" s="1588"/>
      <c r="P424" s="1588"/>
      <c r="Q424" s="1588"/>
      <c r="R424" s="1588"/>
      <c r="S424" s="1588"/>
      <c r="T424" s="1588"/>
      <c r="U424" s="1588"/>
      <c r="V424" s="1588"/>
      <c r="W424" s="1588"/>
      <c r="X424" s="1588"/>
      <c r="Y424" s="1588"/>
      <c r="Z424" s="1588"/>
      <c r="AA424" s="1588"/>
      <c r="AB424" s="1588"/>
      <c r="AC424" s="1588"/>
      <c r="AD424" s="1588"/>
      <c r="AE424" s="1588"/>
    </row>
    <row r="425" spans="1:39" ht="12.95" customHeight="1"/>
    <row r="426" spans="1:39" ht="12.95" customHeight="1">
      <c r="A426" s="2" t="s">
        <v>590</v>
      </c>
      <c r="B426" s="2"/>
      <c r="C426" s="2"/>
      <c r="D426" s="2" t="s">
        <v>114</v>
      </c>
      <c r="AF426" s="2" t="s">
        <v>957</v>
      </c>
    </row>
    <row r="427" spans="1:39" ht="12.95" customHeight="1">
      <c r="E427" s="1540"/>
      <c r="F427" s="1540"/>
      <c r="G427" s="1540"/>
      <c r="H427" s="13" t="s">
        <v>115</v>
      </c>
      <c r="I427" s="1540"/>
      <c r="J427" s="1540"/>
      <c r="K427" s="1540"/>
      <c r="L427" t="s">
        <v>116</v>
      </c>
      <c r="N427" s="27" t="s">
        <v>575</v>
      </c>
      <c r="P427" s="1592">
        <v>5.23</v>
      </c>
      <c r="Q427" s="1592"/>
      <c r="R427" s="1592"/>
      <c r="S427" t="s">
        <v>117</v>
      </c>
      <c r="W427" s="1604">
        <f>IF(E427&gt;0,(E427*I427),(P427*43560))</f>
        <v>227818.80000000002</v>
      </c>
      <c r="X427" s="1604"/>
      <c r="Y427" s="1604"/>
      <c r="Z427" t="s">
        <v>118</v>
      </c>
      <c r="AF427" s="1605">
        <f>IFERROR(IF(P427&gt;0,(AG446/P427),(AG446/(W427/43560))),0)</f>
        <v>14.913957934990439</v>
      </c>
      <c r="AG427" s="1605"/>
      <c r="AH427" s="1605"/>
      <c r="AM427" s="3"/>
    </row>
    <row r="428" spans="1:39" ht="12.95" customHeight="1">
      <c r="E428" t="s">
        <v>51</v>
      </c>
    </row>
    <row r="429" spans="1:39" ht="12.95" customHeight="1">
      <c r="E429" s="1596"/>
      <c r="F429" s="1596"/>
      <c r="G429" s="1596"/>
      <c r="H429" s="1596"/>
      <c r="I429" s="1596"/>
      <c r="J429" s="1596"/>
      <c r="K429" s="1596"/>
      <c r="L429" s="1596"/>
      <c r="M429" s="1596"/>
      <c r="N429" s="1596"/>
      <c r="O429" s="1596"/>
      <c r="P429" s="1596"/>
      <c r="Q429" s="1596"/>
      <c r="R429" s="1596"/>
      <c r="S429" s="1596"/>
      <c r="T429" s="1596"/>
      <c r="U429" s="1596"/>
      <c r="V429" s="1596"/>
      <c r="W429" s="1596"/>
      <c r="X429" s="1596"/>
      <c r="Y429" s="1596"/>
      <c r="Z429" s="1596"/>
      <c r="AA429" s="1596"/>
      <c r="AB429" s="1596"/>
      <c r="AC429" s="1596"/>
      <c r="AD429" s="1596"/>
      <c r="AE429" s="1596"/>
      <c r="AF429" s="1596"/>
      <c r="AG429" s="1596"/>
      <c r="AH429" s="1596"/>
      <c r="AI429" s="1596"/>
      <c r="AJ429" s="1596"/>
    </row>
    <row r="430" spans="1:39" ht="12.95" customHeight="1">
      <c r="E430" s="118" t="s">
        <v>1725</v>
      </c>
      <c r="F430" s="1008"/>
      <c r="G430" s="1008"/>
      <c r="H430" s="1008"/>
      <c r="I430" s="1591">
        <v>5.23</v>
      </c>
      <c r="J430" s="1591"/>
      <c r="K430" s="1591"/>
      <c r="L430" s="1008"/>
      <c r="M430" s="118"/>
      <c r="N430" s="1008"/>
      <c r="O430" s="1008"/>
      <c r="P430" s="1855">
        <f>(DU763+DU786+DU808)/I430</f>
        <v>38.240917782026763</v>
      </c>
      <c r="Q430" s="1855"/>
      <c r="R430" s="1855"/>
      <c r="S430" s="118" t="s">
        <v>1726</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592</v>
      </c>
      <c r="B432" s="2"/>
      <c r="C432" s="2"/>
      <c r="D432" s="2" t="s">
        <v>120</v>
      </c>
    </row>
    <row r="433" spans="1:36" ht="12.95" customHeight="1">
      <c r="E433" t="s">
        <v>121</v>
      </c>
      <c r="P433" s="1440">
        <v>12</v>
      </c>
      <c r="Q433" s="1440"/>
      <c r="S433" t="s">
        <v>189</v>
      </c>
      <c r="AE433" s="1440">
        <v>12</v>
      </c>
      <c r="AF433" s="1440"/>
    </row>
    <row r="434" spans="1:36" ht="12.95" customHeight="1">
      <c r="E434" t="s">
        <v>190</v>
      </c>
      <c r="P434" s="1440">
        <v>0</v>
      </c>
      <c r="Q434" s="1440"/>
      <c r="S434" t="s">
        <v>131</v>
      </c>
      <c r="AE434" s="1440" t="s">
        <v>591</v>
      </c>
      <c r="AF434" s="1440"/>
    </row>
    <row r="435" spans="1:36" ht="12.95" customHeight="1">
      <c r="F435" s="28" t="s">
        <v>132</v>
      </c>
    </row>
    <row r="436" spans="1:36" ht="12.95" customHeight="1">
      <c r="F436" s="1347"/>
      <c r="G436" s="1347"/>
      <c r="H436" s="1347"/>
      <c r="I436" s="1347"/>
      <c r="J436" s="1347"/>
      <c r="K436" s="1347"/>
      <c r="L436" s="1347"/>
      <c r="M436" s="1347"/>
      <c r="N436" s="1347"/>
      <c r="O436" s="1347"/>
      <c r="P436" s="1347"/>
      <c r="Q436" s="1347"/>
      <c r="R436" s="1347"/>
      <c r="S436" s="1347"/>
      <c r="T436" s="1347"/>
      <c r="U436" s="1347"/>
      <c r="V436" s="1347"/>
      <c r="W436" s="1347"/>
      <c r="X436" s="1347"/>
      <c r="Y436" s="1347"/>
      <c r="Z436" s="1347"/>
      <c r="AA436" s="1347"/>
      <c r="AB436" s="1347"/>
      <c r="AC436" s="1347"/>
      <c r="AD436" s="1347"/>
      <c r="AE436" s="1347"/>
      <c r="AF436" s="1347"/>
      <c r="AG436" s="1347"/>
      <c r="AH436" s="1347"/>
    </row>
    <row r="437" spans="1:36" ht="12.95" customHeight="1">
      <c r="F437" s="1348"/>
      <c r="G437" s="1348"/>
      <c r="H437" s="1348"/>
      <c r="I437" s="1348"/>
      <c r="J437" s="1348"/>
      <c r="K437" s="1348"/>
      <c r="L437" s="1348"/>
      <c r="M437" s="1348"/>
      <c r="N437" s="1348"/>
      <c r="O437" s="1348"/>
      <c r="P437" s="1348"/>
      <c r="Q437" s="1348"/>
      <c r="R437" s="1348"/>
      <c r="S437" s="1348"/>
      <c r="T437" s="1348"/>
      <c r="U437" s="1348"/>
      <c r="V437" s="1348"/>
      <c r="W437" s="1348"/>
      <c r="X437" s="1348"/>
      <c r="Y437" s="1348"/>
      <c r="Z437" s="1348"/>
      <c r="AA437" s="1348"/>
      <c r="AB437" s="1348"/>
      <c r="AC437" s="1348"/>
      <c r="AD437" s="1348"/>
      <c r="AE437" s="1348"/>
      <c r="AF437" s="1348"/>
      <c r="AG437" s="1348"/>
      <c r="AH437" s="1348"/>
    </row>
    <row r="438" spans="1:36" ht="12.95" customHeight="1">
      <c r="E438" t="s">
        <v>608</v>
      </c>
      <c r="P438" s="1"/>
      <c r="Q438" s="1440" t="s">
        <v>669</v>
      </c>
      <c r="R438" s="1440"/>
    </row>
    <row r="439" spans="1:36" ht="12.95" customHeight="1">
      <c r="F439" t="s">
        <v>609</v>
      </c>
      <c r="P439" s="1"/>
      <c r="Q439" s="1"/>
      <c r="AF439" s="1440" t="s">
        <v>545</v>
      </c>
      <c r="AG439" s="1550"/>
    </row>
    <row r="440" spans="1:36" ht="12.95" customHeight="1"/>
    <row r="441" spans="1:36" ht="12.95" customHeight="1">
      <c r="A441" s="2"/>
      <c r="B441" s="2"/>
      <c r="C441" s="2"/>
      <c r="E441" s="4" t="s">
        <v>308</v>
      </c>
      <c r="Z441" s="1440" t="s">
        <v>669</v>
      </c>
      <c r="AA441" s="1440"/>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707</v>
      </c>
      <c r="G443" s="40"/>
      <c r="I443" s="40"/>
      <c r="J443" s="40"/>
      <c r="K443" s="40"/>
      <c r="L443" s="40"/>
      <c r="M443" s="40"/>
      <c r="N443" s="40"/>
      <c r="O443" s="28"/>
      <c r="P443" s="40"/>
      <c r="Q443" s="40"/>
      <c r="R443" s="40"/>
      <c r="S443" s="40"/>
      <c r="T443" s="40"/>
      <c r="U443" s="40"/>
      <c r="V443" s="40"/>
      <c r="W443" s="40"/>
      <c r="Z443" s="1440" t="s">
        <v>591</v>
      </c>
      <c r="AA443" s="1440"/>
    </row>
    <row r="444" spans="1:36" ht="12.95" customHeight="1"/>
    <row r="445" spans="1:36" ht="12.95" customHeight="1">
      <c r="A445" s="2" t="s">
        <v>467</v>
      </c>
      <c r="B445" s="2"/>
      <c r="C445" s="2"/>
      <c r="D445" s="2" t="s">
        <v>764</v>
      </c>
      <c r="AF445" s="48"/>
    </row>
    <row r="446" spans="1:36" ht="12.95" customHeight="1">
      <c r="D446" s="1534" t="s">
        <v>43</v>
      </c>
      <c r="E446" s="1532"/>
      <c r="F446" s="1532"/>
      <c r="G446" s="1532"/>
      <c r="H446" s="1532"/>
      <c r="I446" s="1532"/>
      <c r="J446" s="1532"/>
      <c r="K446" s="1532"/>
      <c r="L446" s="1532"/>
      <c r="M446" s="1532"/>
      <c r="N446" s="1532"/>
      <c r="O446" s="1532"/>
      <c r="P446" s="1532"/>
      <c r="Q446" s="1532"/>
      <c r="R446" s="1532"/>
      <c r="S446" s="1532"/>
      <c r="T446" s="1532"/>
      <c r="U446" s="1532"/>
      <c r="V446" s="1532"/>
      <c r="W446" s="1532"/>
      <c r="X446" s="1532"/>
      <c r="Y446" s="1532"/>
      <c r="Z446" s="1532"/>
      <c r="AA446" s="1532"/>
      <c r="AB446" s="1532"/>
      <c r="AC446" s="1532"/>
      <c r="AD446" s="1532"/>
      <c r="AE446" s="1532"/>
      <c r="AF446" s="1533"/>
      <c r="AG446" s="1462">
        <v>78</v>
      </c>
      <c r="AH446" s="1462"/>
      <c r="AI446" s="1462"/>
      <c r="AJ446" s="1462"/>
    </row>
    <row r="447" spans="1:36" ht="12.95" customHeight="1">
      <c r="D447" s="1408" t="s">
        <v>1222</v>
      </c>
      <c r="E447" s="1409"/>
      <c r="F447" s="1409"/>
      <c r="G447" s="1409"/>
      <c r="H447" s="1409"/>
      <c r="I447" s="1409"/>
      <c r="J447" s="1409"/>
      <c r="K447" s="1409"/>
      <c r="L447" s="1409"/>
      <c r="M447" s="1409"/>
      <c r="N447" s="1409"/>
      <c r="O447" s="1409"/>
      <c r="P447" s="1409"/>
      <c r="Q447" s="1409"/>
      <c r="R447" s="1409"/>
      <c r="S447" s="1409"/>
      <c r="T447" s="1409"/>
      <c r="U447" s="1409"/>
      <c r="V447" s="1409"/>
      <c r="W447" s="1409"/>
      <c r="X447" s="1409"/>
      <c r="Y447" s="1409"/>
      <c r="Z447" s="1409"/>
      <c r="AA447" s="1409"/>
      <c r="AB447" s="1409"/>
      <c r="AC447" s="1409"/>
      <c r="AD447" s="1409"/>
      <c r="AE447" s="1409"/>
      <c r="AF447" s="1410"/>
      <c r="AG447" s="1602">
        <v>0</v>
      </c>
      <c r="AH447" s="1603"/>
      <c r="AI447" s="1603"/>
      <c r="AJ447" s="1603"/>
    </row>
    <row r="448" spans="1:36" ht="12.95" customHeight="1">
      <c r="D448" s="1408" t="s">
        <v>1031</v>
      </c>
      <c r="E448" s="1409"/>
      <c r="F448" s="1409"/>
      <c r="G448" s="1409"/>
      <c r="H448" s="1409"/>
      <c r="I448" s="1409"/>
      <c r="J448" s="1409"/>
      <c r="K448" s="1409"/>
      <c r="L448" s="1409"/>
      <c r="M448" s="1409"/>
      <c r="N448" s="1409"/>
      <c r="O448" s="1409"/>
      <c r="P448" s="1409"/>
      <c r="Q448" s="1409"/>
      <c r="R448" s="1409"/>
      <c r="S448" s="1409"/>
      <c r="T448" s="1409"/>
      <c r="U448" s="1409"/>
      <c r="V448" s="1409"/>
      <c r="W448" s="1409"/>
      <c r="X448" s="1409"/>
      <c r="Y448" s="1409"/>
      <c r="Z448" s="1409"/>
      <c r="AA448" s="1409"/>
      <c r="AB448" s="1409"/>
      <c r="AC448" s="1409"/>
      <c r="AD448" s="1409"/>
      <c r="AE448" s="1409"/>
      <c r="AF448" s="1410"/>
      <c r="AG448" s="1462">
        <v>77</v>
      </c>
      <c r="AH448" s="1462"/>
      <c r="AI448" s="1462"/>
      <c r="AJ448" s="1462"/>
    </row>
    <row r="449" spans="4:55" ht="12.95" customHeight="1">
      <c r="D449" s="1408" t="s">
        <v>1032</v>
      </c>
      <c r="E449" s="1409"/>
      <c r="F449" s="1409"/>
      <c r="G449" s="1409"/>
      <c r="H449" s="1409"/>
      <c r="I449" s="1409"/>
      <c r="J449" s="1409"/>
      <c r="K449" s="1409"/>
      <c r="L449" s="1409"/>
      <c r="M449" s="1409"/>
      <c r="N449" s="1409"/>
      <c r="O449" s="1409"/>
      <c r="P449" s="1409"/>
      <c r="Q449" s="1409"/>
      <c r="R449" s="1409"/>
      <c r="S449" s="1409"/>
      <c r="T449" s="1409"/>
      <c r="U449" s="1409"/>
      <c r="V449" s="1409"/>
      <c r="W449" s="1409"/>
      <c r="X449" s="1409"/>
      <c r="Y449" s="1409"/>
      <c r="Z449" s="1409"/>
      <c r="AA449" s="1409"/>
      <c r="AB449" s="1409"/>
      <c r="AC449" s="1409"/>
      <c r="AD449" s="1409"/>
      <c r="AE449" s="1409"/>
      <c r="AF449" s="1410"/>
      <c r="AG449" s="1462">
        <v>77</v>
      </c>
      <c r="AH449" s="1462"/>
      <c r="AI449" s="1462"/>
      <c r="AJ449" s="1462"/>
    </row>
    <row r="450" spans="4:55" ht="12.95" customHeight="1">
      <c r="D450" s="1408" t="s">
        <v>1034</v>
      </c>
      <c r="E450" s="1409"/>
      <c r="F450" s="1409"/>
      <c r="G450" s="1409"/>
      <c r="H450" s="1409"/>
      <c r="I450" s="1409"/>
      <c r="J450" s="1409"/>
      <c r="K450" s="1409"/>
      <c r="L450" s="1409"/>
      <c r="M450" s="1409"/>
      <c r="N450" s="1409"/>
      <c r="O450" s="1409"/>
      <c r="P450" s="1409"/>
      <c r="Q450" s="1409"/>
      <c r="R450" s="1409"/>
      <c r="S450" s="1409"/>
      <c r="T450" s="1409"/>
      <c r="U450" s="1409"/>
      <c r="V450" s="1409"/>
      <c r="W450" s="1409"/>
      <c r="X450" s="1409"/>
      <c r="Y450" s="1409"/>
      <c r="Z450" s="1409"/>
      <c r="AA450" s="1409"/>
      <c r="AB450" s="1409"/>
      <c r="AC450" s="1409"/>
      <c r="AD450" s="1409"/>
      <c r="AE450" s="1409"/>
      <c r="AF450" s="1410"/>
      <c r="AG450" s="1407">
        <f>IF(ISERROR(AG449/AG448),0,AG449/AG448)</f>
        <v>1</v>
      </c>
      <c r="AH450" s="1407"/>
      <c r="AI450" s="1407"/>
      <c r="AJ450" s="1407"/>
    </row>
    <row r="451" spans="4:55" ht="12.95" customHeight="1">
      <c r="D451" s="1408" t="s">
        <v>1033</v>
      </c>
      <c r="E451" s="1409"/>
      <c r="F451" s="1409"/>
      <c r="G451" s="1409"/>
      <c r="H451" s="1409"/>
      <c r="I451" s="1409"/>
      <c r="J451" s="1409"/>
      <c r="K451" s="1409"/>
      <c r="L451" s="1409"/>
      <c r="M451" s="1409"/>
      <c r="N451" s="1409"/>
      <c r="O451" s="1409"/>
      <c r="P451" s="1409"/>
      <c r="Q451" s="1409"/>
      <c r="R451" s="1409"/>
      <c r="S451" s="1409"/>
      <c r="T451" s="1409"/>
      <c r="U451" s="1409"/>
      <c r="V451" s="1409"/>
      <c r="W451" s="1409"/>
      <c r="X451" s="1409"/>
      <c r="Y451" s="1409"/>
      <c r="Z451" s="1409"/>
      <c r="AA451" s="1409"/>
      <c r="AB451" s="1409"/>
      <c r="AC451" s="1409"/>
      <c r="AD451" s="1409"/>
      <c r="AE451" s="1409"/>
      <c r="AF451" s="1410"/>
      <c r="AG451" s="1406">
        <v>86179</v>
      </c>
      <c r="AH451" s="1406"/>
      <c r="AI451" s="1406"/>
      <c r="AJ451" s="1406"/>
    </row>
    <row r="452" spans="4:55" ht="12.95" customHeight="1">
      <c r="D452" s="1408" t="s">
        <v>1035</v>
      </c>
      <c r="E452" s="1409"/>
      <c r="F452" s="1409"/>
      <c r="G452" s="1409"/>
      <c r="H452" s="1409"/>
      <c r="I452" s="1409"/>
      <c r="J452" s="1409"/>
      <c r="K452" s="1409"/>
      <c r="L452" s="1409"/>
      <c r="M452" s="1409"/>
      <c r="N452" s="1409"/>
      <c r="O452" s="1409"/>
      <c r="P452" s="1409"/>
      <c r="Q452" s="1409"/>
      <c r="R452" s="1409"/>
      <c r="S452" s="1409"/>
      <c r="T452" s="1409"/>
      <c r="U452" s="1409"/>
      <c r="V452" s="1409"/>
      <c r="W452" s="1409"/>
      <c r="X452" s="1409"/>
      <c r="Y452" s="1409"/>
      <c r="Z452" s="1409"/>
      <c r="AA452" s="1409"/>
      <c r="AB452" s="1409"/>
      <c r="AC452" s="1409"/>
      <c r="AD452" s="1409"/>
      <c r="AE452" s="1409"/>
      <c r="AF452" s="1410"/>
      <c r="AG452" s="1406">
        <v>86179</v>
      </c>
      <c r="AH452" s="1406"/>
      <c r="AI452" s="1406"/>
      <c r="AJ452" s="1406"/>
    </row>
    <row r="453" spans="4:55" ht="12.95" customHeight="1">
      <c r="D453" s="1408" t="s">
        <v>1036</v>
      </c>
      <c r="E453" s="1409"/>
      <c r="F453" s="1409"/>
      <c r="G453" s="1409"/>
      <c r="H453" s="1409"/>
      <c r="I453" s="1409"/>
      <c r="J453" s="1409"/>
      <c r="K453" s="1409"/>
      <c r="L453" s="1409"/>
      <c r="M453" s="1409"/>
      <c r="N453" s="1409"/>
      <c r="O453" s="1409"/>
      <c r="P453" s="1409"/>
      <c r="Q453" s="1409"/>
      <c r="R453" s="1409"/>
      <c r="S453" s="1409"/>
      <c r="T453" s="1409"/>
      <c r="U453" s="1409"/>
      <c r="V453" s="1409"/>
      <c r="W453" s="1409"/>
      <c r="X453" s="1409"/>
      <c r="Y453" s="1409"/>
      <c r="Z453" s="1409"/>
      <c r="AA453" s="1409"/>
      <c r="AB453" s="1409"/>
      <c r="AC453" s="1409"/>
      <c r="AD453" s="1409"/>
      <c r="AE453" s="1409"/>
      <c r="AF453" s="1410"/>
      <c r="AG453" s="1407">
        <f>IF(ISERROR(AG452/AG451),0,AG452/AG451)</f>
        <v>1</v>
      </c>
      <c r="AH453" s="1407"/>
      <c r="AI453" s="1407"/>
      <c r="AJ453" s="1407"/>
    </row>
    <row r="454" spans="4:55" ht="12.95" customHeight="1">
      <c r="D454" s="1408" t="s">
        <v>1037</v>
      </c>
      <c r="E454" s="1409"/>
      <c r="F454" s="1409"/>
      <c r="G454" s="1409"/>
      <c r="H454" s="1409"/>
      <c r="I454" s="1409"/>
      <c r="J454" s="1409"/>
      <c r="K454" s="1409"/>
      <c r="L454" s="1409"/>
      <c r="M454" s="1409"/>
      <c r="N454" s="1409"/>
      <c r="O454" s="1409"/>
      <c r="P454" s="1409"/>
      <c r="Q454" s="1409"/>
      <c r="R454" s="1409"/>
      <c r="S454" s="1409"/>
      <c r="T454" s="1409"/>
      <c r="U454" s="1409"/>
      <c r="V454" s="1409"/>
      <c r="W454" s="1409"/>
      <c r="X454" s="1409"/>
      <c r="Y454" s="1409"/>
      <c r="Z454" s="1409"/>
      <c r="AA454" s="1409"/>
      <c r="AB454" s="1409"/>
      <c r="AC454" s="1409"/>
      <c r="AD454" s="1409"/>
      <c r="AE454" s="1409"/>
      <c r="AF454" s="1410"/>
      <c r="AG454" s="1407">
        <f>MIN(IF(AG450&gt;AG453,AG453,AG450),1)</f>
        <v>1</v>
      </c>
      <c r="AH454" s="1407"/>
      <c r="AI454" s="1407"/>
      <c r="AJ454" s="1407"/>
    </row>
    <row r="455" spans="4:55" ht="12.95" customHeight="1">
      <c r="D455" s="1408" t="s">
        <v>2044</v>
      </c>
      <c r="E455" s="1532"/>
      <c r="F455" s="1532"/>
      <c r="G455" s="1532"/>
      <c r="H455" s="1532"/>
      <c r="I455" s="1532"/>
      <c r="J455" s="1532"/>
      <c r="K455" s="1532"/>
      <c r="L455" s="1532"/>
      <c r="M455" s="1532"/>
      <c r="N455" s="1532"/>
      <c r="O455" s="1532"/>
      <c r="P455" s="1532"/>
      <c r="Q455" s="1532"/>
      <c r="R455" s="1532"/>
      <c r="S455" s="1532"/>
      <c r="T455" s="1532"/>
      <c r="U455" s="1532"/>
      <c r="V455" s="1532"/>
      <c r="W455" s="1532"/>
      <c r="X455" s="1532"/>
      <c r="Y455" s="1532"/>
      <c r="Z455" s="1532"/>
      <c r="AA455" s="1532"/>
      <c r="AB455" s="1532"/>
      <c r="AC455" s="1532"/>
      <c r="AD455" s="1532"/>
      <c r="AE455" s="1532"/>
      <c r="AF455" s="1533"/>
      <c r="AG455" s="1406">
        <v>0</v>
      </c>
      <c r="AH455" s="1406"/>
      <c r="AI455" s="1406"/>
      <c r="AJ455" s="1406"/>
      <c r="AZ455" s="34"/>
      <c r="BA455" s="34"/>
      <c r="BB455" s="34"/>
      <c r="BC455" s="34"/>
    </row>
    <row r="456" spans="4:55" ht="12.95" customHeight="1">
      <c r="D456" s="1534" t="s">
        <v>569</v>
      </c>
      <c r="E456" s="1532"/>
      <c r="F456" s="1532"/>
      <c r="G456" s="1532"/>
      <c r="H456" s="1532"/>
      <c r="I456" s="1532"/>
      <c r="J456" s="1532"/>
      <c r="K456" s="1532"/>
      <c r="L456" s="1532"/>
      <c r="M456" s="1532"/>
      <c r="N456" s="1532"/>
      <c r="O456" s="1532"/>
      <c r="P456" s="1532"/>
      <c r="Q456" s="1532"/>
      <c r="R456" s="1532"/>
      <c r="S456" s="1532"/>
      <c r="T456" s="1532"/>
      <c r="U456" s="1532"/>
      <c r="V456" s="1532"/>
      <c r="W456" s="1532"/>
      <c r="X456" s="1532"/>
      <c r="Y456" s="1532"/>
      <c r="Z456" s="1532"/>
      <c r="AA456" s="1532"/>
      <c r="AB456" s="1532"/>
      <c r="AC456" s="1532"/>
      <c r="AD456" s="1532"/>
      <c r="AE456" s="1532"/>
      <c r="AF456" s="1533"/>
      <c r="AG456" s="1406">
        <v>0</v>
      </c>
      <c r="AH456" s="1406"/>
      <c r="AI456" s="1406"/>
      <c r="AJ456" s="1406"/>
      <c r="AZ456" s="3"/>
      <c r="BA456" s="3"/>
      <c r="BB456" s="3"/>
      <c r="BC456" s="3"/>
    </row>
    <row r="457" spans="4:55" ht="12.95" customHeight="1">
      <c r="D457" s="1408" t="s">
        <v>1205</v>
      </c>
      <c r="E457" s="1532"/>
      <c r="F457" s="1532"/>
      <c r="G457" s="1532"/>
      <c r="H457" s="1532"/>
      <c r="I457" s="1532"/>
      <c r="J457" s="1532"/>
      <c r="K457" s="1532"/>
      <c r="L457" s="1532"/>
      <c r="M457" s="1532"/>
      <c r="N457" s="1532"/>
      <c r="O457" s="1532"/>
      <c r="P457" s="1532"/>
      <c r="Q457" s="1532"/>
      <c r="R457" s="1532"/>
      <c r="S457" s="1532"/>
      <c r="T457" s="1532"/>
      <c r="U457" s="1532"/>
      <c r="V457" s="1532"/>
      <c r="W457" s="1532"/>
      <c r="X457" s="1532"/>
      <c r="Y457" s="1532"/>
      <c r="Z457" s="1532"/>
      <c r="AA457" s="1532"/>
      <c r="AB457" s="1532"/>
      <c r="AC457" s="1532"/>
      <c r="AD457" s="1532"/>
      <c r="AE457" s="1532"/>
      <c r="AF457" s="1533"/>
      <c r="AG457" s="1406">
        <v>1199</v>
      </c>
      <c r="AH457" s="1406"/>
      <c r="AI457" s="1406"/>
      <c r="AJ457" s="1406"/>
      <c r="AZ457" s="3"/>
      <c r="BA457" s="3"/>
      <c r="BB457" s="3"/>
      <c r="BC457" s="3"/>
    </row>
    <row r="458" spans="4:55" ht="12.95" customHeight="1">
      <c r="D458" s="1408" t="s">
        <v>1038</v>
      </c>
      <c r="E458" s="1532"/>
      <c r="F458" s="1532"/>
      <c r="G458" s="1532"/>
      <c r="H458" s="1532"/>
      <c r="I458" s="1532"/>
      <c r="J458" s="1532"/>
      <c r="K458" s="1532"/>
      <c r="L458" s="1532"/>
      <c r="M458" s="1532"/>
      <c r="N458" s="1532"/>
      <c r="O458" s="1532"/>
      <c r="P458" s="1532"/>
      <c r="Q458" s="1532"/>
      <c r="R458" s="1532"/>
      <c r="S458" s="1532"/>
      <c r="T458" s="1532"/>
      <c r="U458" s="1532"/>
      <c r="V458" s="1532"/>
      <c r="W458" s="1532"/>
      <c r="X458" s="1532"/>
      <c r="Y458" s="1532"/>
      <c r="Z458" s="1532"/>
      <c r="AA458" s="1532"/>
      <c r="AB458" s="1532"/>
      <c r="AC458" s="1532"/>
      <c r="AD458" s="1532"/>
      <c r="AE458" s="1532"/>
      <c r="AF458" s="1533"/>
      <c r="AG458" s="1406">
        <v>0</v>
      </c>
      <c r="AH458" s="1406"/>
      <c r="AI458" s="1406"/>
      <c r="AJ458" s="1406"/>
      <c r="BB458" s="3"/>
      <c r="BC458" s="3"/>
    </row>
    <row r="459" spans="4:55" ht="12.95" customHeight="1">
      <c r="D459" s="1609" t="s">
        <v>1039</v>
      </c>
      <c r="E459" s="1610"/>
      <c r="F459" s="1610"/>
      <c r="G459" s="1610"/>
      <c r="H459" s="1610"/>
      <c r="I459" s="1610"/>
      <c r="J459" s="1610"/>
      <c r="K459" s="1610"/>
      <c r="L459" s="1610"/>
      <c r="M459" s="1610"/>
      <c r="N459" s="1610"/>
      <c r="O459" s="1610"/>
      <c r="P459" s="1610"/>
      <c r="Q459" s="1610"/>
      <c r="R459" s="1610"/>
      <c r="S459" s="1610"/>
      <c r="T459" s="1610"/>
      <c r="U459" s="1610"/>
      <c r="V459" s="1610"/>
      <c r="W459" s="1610"/>
      <c r="X459" s="1610"/>
      <c r="Y459" s="1610"/>
      <c r="Z459" s="1610"/>
      <c r="AA459" s="1610"/>
      <c r="AB459" s="1610"/>
      <c r="AC459" s="1610"/>
      <c r="AD459" s="1610"/>
      <c r="AE459" s="1610"/>
      <c r="AF459" s="1611"/>
      <c r="AG459" s="1421">
        <f>AG451+AG455+AG457+AG458</f>
        <v>87378</v>
      </c>
      <c r="AH459" s="1421"/>
      <c r="AI459" s="1421"/>
      <c r="AJ459" s="1421"/>
      <c r="AZ459" s="3"/>
      <c r="BA459" s="3"/>
      <c r="BB459" s="3"/>
      <c r="BC459" s="3"/>
    </row>
    <row r="460" spans="4:55" ht="12.95" customHeight="1">
      <c r="D460" s="1594" t="s">
        <v>1206</v>
      </c>
      <c r="E460" s="1594"/>
      <c r="F460" s="1594"/>
      <c r="G460" s="1594"/>
      <c r="H460" s="1594"/>
      <c r="I460" s="1594"/>
      <c r="J460" s="1594"/>
      <c r="K460" s="1594"/>
      <c r="L460" s="1594"/>
      <c r="M460" s="1594"/>
      <c r="N460" s="1594"/>
      <c r="O460" s="1594"/>
      <c r="P460" s="1594"/>
      <c r="Q460" s="1594"/>
      <c r="R460" s="1594"/>
      <c r="S460" s="1594"/>
      <c r="T460" s="1594"/>
      <c r="U460" s="1594"/>
      <c r="V460" s="1594"/>
      <c r="W460" s="1594"/>
      <c r="X460" s="1594"/>
      <c r="Y460" s="1594"/>
      <c r="Z460" s="1594"/>
      <c r="AA460" s="1594"/>
      <c r="AB460" s="1594"/>
      <c r="AC460" s="1594"/>
      <c r="AD460" s="1594"/>
      <c r="AE460" s="1594"/>
      <c r="AF460" s="1594"/>
      <c r="AG460" s="1594"/>
      <c r="AH460" s="1594"/>
      <c r="AI460" s="1594"/>
      <c r="AJ460" s="1594"/>
      <c r="AZ460" s="3"/>
      <c r="BA460" s="3"/>
      <c r="BB460" s="3"/>
      <c r="BC460" s="3"/>
    </row>
    <row r="461" spans="4:55" ht="12.95" customHeight="1">
      <c r="D461" s="1595"/>
      <c r="E461" s="1595"/>
      <c r="F461" s="1595"/>
      <c r="G461" s="1595"/>
      <c r="H461" s="1595"/>
      <c r="I461" s="1595"/>
      <c r="J461" s="1595"/>
      <c r="K461" s="1595"/>
      <c r="L461" s="1595"/>
      <c r="M461" s="1595"/>
      <c r="N461" s="1595"/>
      <c r="O461" s="1595"/>
      <c r="P461" s="1595"/>
      <c r="Q461" s="1595"/>
      <c r="R461" s="1595"/>
      <c r="S461" s="1595"/>
      <c r="T461" s="1595"/>
      <c r="U461" s="1595"/>
      <c r="V461" s="1595"/>
      <c r="W461" s="1595"/>
      <c r="X461" s="1595"/>
      <c r="Y461" s="1595"/>
      <c r="Z461" s="1595"/>
      <c r="AA461" s="1595"/>
      <c r="AB461" s="1595"/>
      <c r="AC461" s="1595"/>
      <c r="AD461" s="1595"/>
      <c r="AE461" s="1595"/>
      <c r="AF461" s="1595"/>
      <c r="AG461" s="1595"/>
      <c r="AH461" s="1595"/>
      <c r="AI461" s="1595"/>
      <c r="AJ461" s="1595"/>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528">
        <f>IF(AG446=0,"",'Sources and Uses Budget'!B105/Application!AG446)</f>
        <v>427515.73076923075</v>
      </c>
      <c r="AD463" s="1528"/>
      <c r="AE463" s="1528"/>
      <c r="AF463" s="1528"/>
      <c r="AG463" s="177"/>
      <c r="AH463" s="177"/>
      <c r="AI463" s="177"/>
      <c r="AJ463" s="183"/>
      <c r="AZ463" s="3"/>
      <c r="BA463" s="3" t="str">
        <f>AG583</f>
        <v>Yes</v>
      </c>
      <c r="BB463" s="3"/>
      <c r="BC463" s="3"/>
    </row>
    <row r="464" spans="4:55" ht="12.95"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528">
        <f>IF(AG446=0,"",'Sources and Uses Budget'!C105/Application!AG446)</f>
        <v>427515.73076923075</v>
      </c>
      <c r="AD464" s="1528"/>
      <c r="AE464" s="1528"/>
      <c r="AF464" s="1528"/>
      <c r="AG464" s="177"/>
      <c r="AH464" s="177"/>
      <c r="AI464" s="177"/>
      <c r="AJ464" s="183"/>
      <c r="AZ464" s="3"/>
      <c r="BA464" s="3"/>
      <c r="BB464" s="3"/>
      <c r="BC464" s="3"/>
    </row>
    <row r="465" spans="1:55" ht="12.95"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528">
        <f>IF(AG446=0,"",('Sources and Uses Budget'!$S$107+'Sources and Uses Budget'!$T$107)/Application!AG446)</f>
        <v>398025.66666666669</v>
      </c>
      <c r="AD465" s="1528"/>
      <c r="AE465" s="1528"/>
      <c r="AF465" s="1528"/>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1850</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1851</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1852</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423" t="s">
        <v>2056</v>
      </c>
      <c r="E473" s="1447"/>
      <c r="F473" s="1447"/>
      <c r="G473" s="1447"/>
      <c r="H473" s="1447"/>
      <c r="I473" s="1447"/>
      <c r="J473" s="1447"/>
      <c r="K473" s="1447"/>
      <c r="L473" s="1447"/>
      <c r="M473" s="1447"/>
      <c r="N473" s="1447"/>
      <c r="O473" s="1447"/>
      <c r="P473" s="1447"/>
      <c r="Q473" s="1447"/>
      <c r="R473" s="1447"/>
      <c r="S473" s="1447"/>
      <c r="T473" s="1447"/>
      <c r="U473" s="1447"/>
      <c r="V473" s="1448"/>
      <c r="W473" s="1426">
        <v>0</v>
      </c>
      <c r="X473" s="1427"/>
      <c r="Y473" s="1428"/>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446" t="s">
        <v>693</v>
      </c>
      <c r="E474" s="1447"/>
      <c r="F474" s="1447"/>
      <c r="G474" s="1447"/>
      <c r="H474" s="1447"/>
      <c r="I474" s="1447"/>
      <c r="J474" s="1447"/>
      <c r="K474" s="1447"/>
      <c r="L474" s="1447"/>
      <c r="M474" s="1447"/>
      <c r="N474" s="1447"/>
      <c r="O474" s="1447"/>
      <c r="P474" s="1447"/>
      <c r="Q474" s="1447"/>
      <c r="R474" s="1447"/>
      <c r="S474" s="1447"/>
      <c r="T474" s="1447"/>
      <c r="U474" s="1447"/>
      <c r="V474" s="1448"/>
      <c r="W474" s="1426">
        <v>0</v>
      </c>
      <c r="X474" s="1427"/>
      <c r="Y474" s="1428"/>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446" t="s">
        <v>694</v>
      </c>
      <c r="E475" s="1447"/>
      <c r="F475" s="1447"/>
      <c r="G475" s="1447"/>
      <c r="H475" s="1447"/>
      <c r="I475" s="1447"/>
      <c r="J475" s="1447"/>
      <c r="K475" s="1447"/>
      <c r="L475" s="1447"/>
      <c r="M475" s="1447"/>
      <c r="N475" s="1447"/>
      <c r="O475" s="1447"/>
      <c r="P475" s="1447"/>
      <c r="Q475" s="1447"/>
      <c r="R475" s="1447"/>
      <c r="S475" s="1447"/>
      <c r="T475" s="1447"/>
      <c r="U475" s="1447"/>
      <c r="V475" s="1448"/>
      <c r="W475" s="1426">
        <v>0</v>
      </c>
      <c r="X475" s="1427"/>
      <c r="Y475" s="1428"/>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446" t="s">
        <v>695</v>
      </c>
      <c r="E476" s="1447"/>
      <c r="F476" s="1447"/>
      <c r="G476" s="1447"/>
      <c r="H476" s="1447"/>
      <c r="I476" s="1447"/>
      <c r="J476" s="1447"/>
      <c r="K476" s="1447"/>
      <c r="L476" s="1447"/>
      <c r="M476" s="1447"/>
      <c r="N476" s="1447"/>
      <c r="O476" s="1447"/>
      <c r="P476" s="1447"/>
      <c r="Q476" s="1447"/>
      <c r="R476" s="1447"/>
      <c r="S476" s="1447"/>
      <c r="T476" s="1447"/>
      <c r="U476" s="1447"/>
      <c r="V476" s="1448"/>
      <c r="W476" s="1426">
        <v>0</v>
      </c>
      <c r="X476" s="1427"/>
      <c r="Y476" s="1428"/>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446" t="s">
        <v>881</v>
      </c>
      <c r="E477" s="1447"/>
      <c r="F477" s="1447"/>
      <c r="G477" s="1447"/>
      <c r="H477" s="1447"/>
      <c r="I477" s="1447"/>
      <c r="J477" s="1447"/>
      <c r="K477" s="1447"/>
      <c r="L477" s="1447"/>
      <c r="M477" s="1447"/>
      <c r="N477" s="1447"/>
      <c r="O477" s="1447"/>
      <c r="P477" s="1447"/>
      <c r="Q477" s="1447"/>
      <c r="R477" s="1447"/>
      <c r="S477" s="1447"/>
      <c r="T477" s="1447"/>
      <c r="U477" s="1447"/>
      <c r="V477" s="1448"/>
      <c r="W477" s="1426">
        <v>0</v>
      </c>
      <c r="X477" s="1427"/>
      <c r="Y477" s="1428"/>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446" t="s">
        <v>696</v>
      </c>
      <c r="E478" s="1447"/>
      <c r="F478" s="1447"/>
      <c r="G478" s="1447"/>
      <c r="H478" s="1447"/>
      <c r="I478" s="1447"/>
      <c r="J478" s="1447"/>
      <c r="K478" s="1447"/>
      <c r="L478" s="1447"/>
      <c r="M478" s="1447"/>
      <c r="N478" s="1447"/>
      <c r="O478" s="1447"/>
      <c r="P478" s="1447"/>
      <c r="Q478" s="1447"/>
      <c r="R478" s="1447"/>
      <c r="S478" s="1447"/>
      <c r="T478" s="1447"/>
      <c r="U478" s="1447"/>
      <c r="V478" s="1448"/>
      <c r="W478" s="1426">
        <v>0</v>
      </c>
      <c r="X478" s="1427"/>
      <c r="Y478" s="1428"/>
      <c r="Z478" s="184"/>
      <c r="AA478" s="184"/>
      <c r="AB478" s="184"/>
      <c r="AC478" s="184"/>
      <c r="AD478" s="177"/>
      <c r="AE478" s="177"/>
      <c r="AF478" s="177"/>
      <c r="AG478" s="177"/>
      <c r="AH478" s="177"/>
      <c r="AI478" s="177"/>
      <c r="AJ478" s="183"/>
      <c r="AZ478" s="3"/>
      <c r="BA478" s="3" t="str">
        <f>AG599</f>
        <v>Yes</v>
      </c>
      <c r="BB478" s="3"/>
      <c r="BC478" s="3"/>
    </row>
    <row r="479" spans="1:55" ht="12.95" customHeight="1">
      <c r="A479" s="3"/>
      <c r="B479" s="3"/>
      <c r="C479" s="3"/>
      <c r="D479" s="1446" t="s">
        <v>1012</v>
      </c>
      <c r="E479" s="1447"/>
      <c r="F479" s="1447"/>
      <c r="G479" s="1447"/>
      <c r="H479" s="1447"/>
      <c r="I479" s="1447"/>
      <c r="J479" s="1447"/>
      <c r="K479" s="1447"/>
      <c r="L479" s="1447"/>
      <c r="M479" s="1447"/>
      <c r="N479" s="1447"/>
      <c r="O479" s="1447"/>
      <c r="P479" s="1447"/>
      <c r="Q479" s="1447"/>
      <c r="R479" s="1447"/>
      <c r="S479" s="1447"/>
      <c r="T479" s="1447"/>
      <c r="U479" s="1447"/>
      <c r="V479" s="1448"/>
      <c r="W479" s="1426">
        <v>0</v>
      </c>
      <c r="X479" s="1427"/>
      <c r="Y479" s="1428"/>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423" t="s">
        <v>2146</v>
      </c>
      <c r="E480" s="1424"/>
      <c r="F480" s="1424"/>
      <c r="G480" s="1424"/>
      <c r="H480" s="1424"/>
      <c r="I480" s="1424"/>
      <c r="J480" s="1424"/>
      <c r="K480" s="1424"/>
      <c r="L480" s="1424"/>
      <c r="M480" s="1424"/>
      <c r="N480" s="1424"/>
      <c r="O480" s="1424"/>
      <c r="P480" s="1424"/>
      <c r="Q480" s="1424"/>
      <c r="R480" s="1424"/>
      <c r="S480" s="1424"/>
      <c r="T480" s="1424"/>
      <c r="U480" s="1424"/>
      <c r="V480" s="1425"/>
      <c r="W480" s="1426">
        <v>0</v>
      </c>
      <c r="X480" s="1427"/>
      <c r="Y480" s="1428"/>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423" t="s">
        <v>1643</v>
      </c>
      <c r="E481" s="1447"/>
      <c r="F481" s="1447"/>
      <c r="G481" s="1447"/>
      <c r="H481" s="1447"/>
      <c r="I481" s="1447"/>
      <c r="J481" s="1447"/>
      <c r="K481" s="1447"/>
      <c r="L481" s="1447"/>
      <c r="M481" s="1447"/>
      <c r="N481" s="1447"/>
      <c r="O481" s="1447"/>
      <c r="P481" s="1447"/>
      <c r="Q481" s="1447"/>
      <c r="R481" s="1447"/>
      <c r="S481" s="1447"/>
      <c r="T481" s="1447"/>
      <c r="U481" s="1447"/>
      <c r="V481" s="1448"/>
      <c r="W481" s="1426">
        <v>0</v>
      </c>
      <c r="X481" s="1427"/>
      <c r="Y481" s="1428"/>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606" t="s">
        <v>2746</v>
      </c>
      <c r="H482" s="1607"/>
      <c r="I482" s="1607"/>
      <c r="J482" s="1607"/>
      <c r="K482" s="1607"/>
      <c r="L482" s="1607"/>
      <c r="M482" s="1607"/>
      <c r="N482" s="1607"/>
      <c r="O482" s="1607"/>
      <c r="P482" s="1607"/>
      <c r="Q482" s="1607"/>
      <c r="R482" s="1607"/>
      <c r="S482" s="1607"/>
      <c r="T482" s="1607"/>
      <c r="U482" s="1607"/>
      <c r="V482" s="1608"/>
      <c r="W482" s="1426">
        <v>78</v>
      </c>
      <c r="X482" s="1427"/>
      <c r="Y482" s="1428"/>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2.95" customHeight="1">
      <c r="AU487" s="95"/>
      <c r="AV487" s="95"/>
      <c r="AW487" s="95"/>
      <c r="AX487" s="95"/>
      <c r="AY487" s="95"/>
      <c r="AZ487" s="3"/>
      <c r="BA487" s="3" t="str">
        <f>AG607</f>
        <v>No</v>
      </c>
      <c r="BB487" s="3"/>
      <c r="BC487" s="3"/>
    </row>
    <row r="488" spans="1:55" ht="12.95" customHeight="1">
      <c r="A488" s="1548" t="s">
        <v>810</v>
      </c>
      <c r="B488" s="1548"/>
      <c r="C488" s="1548"/>
      <c r="D488" s="1548"/>
      <c r="E488" s="1548"/>
      <c r="F488" s="1548"/>
      <c r="G488" s="1548"/>
      <c r="H488" s="1548"/>
      <c r="I488" s="1548"/>
      <c r="J488" s="1548"/>
      <c r="K488" s="1548"/>
      <c r="L488" s="1548"/>
      <c r="M488" s="1548"/>
      <c r="N488" s="1548"/>
      <c r="O488" s="1548"/>
      <c r="P488" s="1548"/>
      <c r="Q488" s="1548"/>
      <c r="R488" s="1548"/>
      <c r="S488" s="1548"/>
      <c r="T488" s="1548"/>
      <c r="U488" s="1548"/>
      <c r="V488" s="1548"/>
      <c r="W488" s="1548"/>
      <c r="X488" s="1548"/>
      <c r="Y488" s="1548"/>
      <c r="Z488" s="1548"/>
      <c r="AA488" s="1548"/>
      <c r="AB488" s="1548"/>
      <c r="AC488" s="1548"/>
      <c r="AD488" s="1548"/>
      <c r="AE488" s="1548"/>
      <c r="AF488" s="1548"/>
      <c r="AG488" s="1548"/>
      <c r="AH488" s="1548"/>
      <c r="AI488" s="1548"/>
      <c r="AJ488" s="1548"/>
      <c r="AK488" s="1548"/>
      <c r="AL488" s="1548"/>
      <c r="AM488" s="1548"/>
      <c r="AN488" s="1548"/>
      <c r="AO488" s="1548"/>
      <c r="AP488" s="1548"/>
      <c r="AQ488" s="1548"/>
      <c r="AR488" s="1548"/>
      <c r="AS488" s="1548"/>
      <c r="AT488" s="1548"/>
      <c r="AU488" s="95"/>
      <c r="AV488" s="95"/>
      <c r="AW488" s="95"/>
      <c r="AX488" s="95"/>
      <c r="AY488" s="95"/>
      <c r="AZ488" s="3"/>
      <c r="BB488" s="3"/>
      <c r="BC488" s="3"/>
    </row>
    <row r="489" spans="1:55" ht="12.95" customHeight="1">
      <c r="A489" s="1548"/>
      <c r="B489" s="1548"/>
      <c r="C489" s="1548"/>
      <c r="D489" s="1548"/>
      <c r="E489" s="1548"/>
      <c r="F489" s="1548"/>
      <c r="G489" s="1548"/>
      <c r="H489" s="1548"/>
      <c r="I489" s="1548"/>
      <c r="J489" s="1548"/>
      <c r="K489" s="1548"/>
      <c r="L489" s="1548"/>
      <c r="M489" s="1548"/>
      <c r="N489" s="1548"/>
      <c r="O489" s="1548"/>
      <c r="P489" s="1548"/>
      <c r="Q489" s="1548"/>
      <c r="R489" s="1548"/>
      <c r="S489" s="1548"/>
      <c r="T489" s="1548"/>
      <c r="U489" s="1548"/>
      <c r="V489" s="1548"/>
      <c r="W489" s="1548"/>
      <c r="X489" s="1548"/>
      <c r="Y489" s="1548"/>
      <c r="Z489" s="1548"/>
      <c r="AA489" s="1548"/>
      <c r="AB489" s="1548"/>
      <c r="AC489" s="1548"/>
      <c r="AD489" s="1548"/>
      <c r="AE489" s="1548"/>
      <c r="AF489" s="1548"/>
      <c r="AG489" s="1548"/>
      <c r="AH489" s="1548"/>
      <c r="AI489" s="1548"/>
      <c r="AJ489" s="1548"/>
      <c r="AK489" s="1548"/>
      <c r="AL489" s="1548"/>
      <c r="AM489" s="1548"/>
      <c r="AN489" s="1548"/>
      <c r="AO489" s="1548"/>
      <c r="AP489" s="1548"/>
      <c r="AQ489" s="1548"/>
      <c r="AR489" s="1548"/>
      <c r="AS489" s="1548"/>
      <c r="AT489" s="1548"/>
      <c r="AZ489" s="3"/>
      <c r="BB489" s="3"/>
      <c r="BC489" s="3"/>
    </row>
    <row r="490" spans="1:55" ht="12.95" customHeight="1">
      <c r="AZ490" s="3"/>
      <c r="BB490" s="3"/>
      <c r="BC490" s="3"/>
    </row>
    <row r="491" spans="1:55" ht="12.95" customHeight="1">
      <c r="A491" s="2" t="s">
        <v>319</v>
      </c>
      <c r="C491" s="2" t="s">
        <v>808</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419" t="s">
        <v>393</v>
      </c>
      <c r="R493" s="1420"/>
      <c r="S493" s="1420"/>
      <c r="T493" s="1420"/>
      <c r="U493" s="1420"/>
      <c r="V493" s="1420"/>
      <c r="W493" s="1420"/>
      <c r="X493" s="1420"/>
      <c r="Y493" s="1420"/>
      <c r="Z493" s="1420"/>
      <c r="AA493" s="1420"/>
      <c r="AB493" s="1420"/>
      <c r="AC493" s="1420"/>
      <c r="AD493" s="1420"/>
      <c r="AE493" s="1420"/>
      <c r="AF493" s="1420"/>
      <c r="AG493" s="1420"/>
      <c r="AH493" s="1420"/>
      <c r="AI493" s="1420"/>
      <c r="AJ493" s="1420"/>
      <c r="AK493" s="1463"/>
      <c r="AZ493" s="3"/>
      <c r="BB493" s="3"/>
      <c r="BC493" s="3"/>
    </row>
    <row r="494" spans="1:55" ht="12.95" customHeight="1">
      <c r="B494" s="45" t="s">
        <v>394</v>
      </c>
      <c r="C494" s="5"/>
      <c r="D494" s="5"/>
      <c r="E494" s="5"/>
      <c r="F494" s="5"/>
      <c r="G494" s="5"/>
      <c r="H494" s="5"/>
      <c r="I494" s="5"/>
      <c r="J494" s="5"/>
      <c r="K494" s="5"/>
      <c r="L494" s="5"/>
      <c r="M494" s="5"/>
      <c r="N494" s="5"/>
      <c r="O494" s="5"/>
      <c r="P494" s="5"/>
      <c r="Q494" s="1458" t="s">
        <v>2731</v>
      </c>
      <c r="R494" s="1346"/>
      <c r="S494" s="1346"/>
      <c r="T494" s="1346"/>
      <c r="U494" s="1346"/>
      <c r="V494" s="1346"/>
      <c r="W494" s="1346"/>
      <c r="X494" s="1346"/>
      <c r="Y494" s="1346"/>
      <c r="Z494" s="1346"/>
      <c r="AA494" s="1346"/>
      <c r="AB494" s="1346"/>
      <c r="AC494" s="1346"/>
      <c r="AD494" s="1346"/>
      <c r="AE494" s="1346"/>
      <c r="AF494" s="1346"/>
      <c r="AG494" s="1346"/>
      <c r="AH494" s="1346"/>
      <c r="AI494" s="1346"/>
      <c r="AJ494" s="1346"/>
      <c r="AK494" s="1459"/>
      <c r="AZ494" s="3"/>
      <c r="BB494" s="3"/>
      <c r="BC494" s="3"/>
    </row>
    <row r="495" spans="1:55" ht="12.95" customHeight="1">
      <c r="B495" s="45" t="s">
        <v>395</v>
      </c>
      <c r="C495" s="5"/>
      <c r="D495" s="5"/>
      <c r="E495" s="5"/>
      <c r="F495" s="5"/>
      <c r="G495" s="5"/>
      <c r="H495" s="5"/>
      <c r="I495" s="5"/>
      <c r="J495" s="5"/>
      <c r="K495" s="5"/>
      <c r="L495" s="5"/>
      <c r="M495" s="5"/>
      <c r="N495" s="5"/>
      <c r="O495" s="5"/>
      <c r="P495" s="5"/>
      <c r="Q495" s="1458" t="s">
        <v>2731</v>
      </c>
      <c r="R495" s="1346"/>
      <c r="S495" s="1346"/>
      <c r="T495" s="1346"/>
      <c r="U495" s="1346"/>
      <c r="V495" s="1346"/>
      <c r="W495" s="1346"/>
      <c r="X495" s="1346"/>
      <c r="Y495" s="1346"/>
      <c r="Z495" s="1346"/>
      <c r="AA495" s="1346"/>
      <c r="AB495" s="1346"/>
      <c r="AC495" s="1346"/>
      <c r="AD495" s="1346"/>
      <c r="AE495" s="1346"/>
      <c r="AF495" s="1346"/>
      <c r="AG495" s="1346"/>
      <c r="AH495" s="1346"/>
      <c r="AI495" s="1346"/>
      <c r="AJ495" s="1346"/>
      <c r="AK495" s="1459"/>
      <c r="AZ495" s="3"/>
      <c r="BB495" s="3"/>
      <c r="BC495" s="3"/>
    </row>
    <row r="496" spans="1:55" ht="12.95" customHeight="1">
      <c r="B496" s="45" t="s">
        <v>396</v>
      </c>
      <c r="C496" s="5"/>
      <c r="D496" s="5"/>
      <c r="E496" s="5"/>
      <c r="F496" s="5"/>
      <c r="G496" s="5"/>
      <c r="H496" s="5"/>
      <c r="I496" s="5"/>
      <c r="J496" s="5"/>
      <c r="K496" s="5"/>
      <c r="L496" s="5"/>
      <c r="M496" s="5"/>
      <c r="N496" s="5"/>
      <c r="O496" s="5"/>
      <c r="P496" s="5"/>
      <c r="Q496" s="1458" t="s">
        <v>2731</v>
      </c>
      <c r="R496" s="1346"/>
      <c r="S496" s="1346"/>
      <c r="T496" s="1346"/>
      <c r="U496" s="1346"/>
      <c r="V496" s="1346"/>
      <c r="W496" s="1346"/>
      <c r="X496" s="1346"/>
      <c r="Y496" s="1346"/>
      <c r="Z496" s="1346"/>
      <c r="AA496" s="1346"/>
      <c r="AB496" s="1346"/>
      <c r="AC496" s="1346"/>
      <c r="AD496" s="1346"/>
      <c r="AE496" s="1346"/>
      <c r="AF496" s="1346"/>
      <c r="AG496" s="1346"/>
      <c r="AH496" s="1346"/>
      <c r="AI496" s="1346"/>
      <c r="AJ496" s="1346"/>
      <c r="AK496" s="1459"/>
      <c r="AZ496" s="3"/>
      <c r="BA496" s="3"/>
      <c r="BB496" s="3"/>
      <c r="BC496" s="3"/>
    </row>
    <row r="497" spans="1:66" ht="12.95" customHeight="1">
      <c r="B497" s="1452" t="s">
        <v>397</v>
      </c>
      <c r="C497" s="1453"/>
      <c r="D497" s="1453"/>
      <c r="E497" s="1453"/>
      <c r="F497" s="1453"/>
      <c r="G497" s="1453"/>
      <c r="H497" s="1453"/>
      <c r="I497" s="1453"/>
      <c r="J497" s="1453"/>
      <c r="K497" s="1453"/>
      <c r="L497" s="1453"/>
      <c r="M497" s="1453"/>
      <c r="N497" s="1453"/>
      <c r="O497" s="1453"/>
      <c r="P497" s="1454"/>
      <c r="Q497" s="1524" t="s">
        <v>669</v>
      </c>
      <c r="R497" s="1525"/>
      <c r="S497" s="1597" t="s">
        <v>166</v>
      </c>
      <c r="T497" s="1598"/>
      <c r="U497" s="1598"/>
      <c r="V497" s="1598"/>
      <c r="W497" s="1598"/>
      <c r="X497" s="1598"/>
      <c r="Y497" s="1598"/>
      <c r="Z497" s="1598"/>
      <c r="AA497" s="1598"/>
      <c r="AB497" s="1598"/>
      <c r="AC497" s="1598"/>
      <c r="AD497" s="1598"/>
      <c r="AE497" s="1598"/>
      <c r="AF497" s="1598"/>
      <c r="AG497" s="1598"/>
      <c r="AH497" s="1598"/>
      <c r="AI497" s="1598"/>
      <c r="AJ497" s="1598"/>
      <c r="AK497" s="1599"/>
      <c r="AZ497" s="3"/>
      <c r="BA497" s="3"/>
      <c r="BB497" s="3"/>
      <c r="BC497" s="3"/>
    </row>
    <row r="498" spans="1:66" ht="12.95" customHeight="1">
      <c r="B498" s="1455"/>
      <c r="C498" s="1456"/>
      <c r="D498" s="1456"/>
      <c r="E498" s="1456"/>
      <c r="F498" s="1456"/>
      <c r="G498" s="1456"/>
      <c r="H498" s="1456"/>
      <c r="I498" s="1456"/>
      <c r="J498" s="1456"/>
      <c r="K498" s="1456"/>
      <c r="L498" s="1456"/>
      <c r="M498" s="1456"/>
      <c r="N498" s="1456"/>
      <c r="O498" s="1456"/>
      <c r="P498" s="1457"/>
      <c r="Q498" s="1526"/>
      <c r="R498" s="1527"/>
      <c r="S498" s="1600"/>
      <c r="T498" s="1348"/>
      <c r="U498" s="1348"/>
      <c r="V498" s="1348"/>
      <c r="W498" s="1348"/>
      <c r="X498" s="1348"/>
      <c r="Y498" s="1348"/>
      <c r="Z498" s="1348"/>
      <c r="AA498" s="1348"/>
      <c r="AB498" s="1348"/>
      <c r="AC498" s="1348"/>
      <c r="AD498" s="1348"/>
      <c r="AE498" s="1348"/>
      <c r="AF498" s="1348"/>
      <c r="AG498" s="1348"/>
      <c r="AH498" s="1348"/>
      <c r="AI498" s="1348"/>
      <c r="AJ498" s="1348"/>
      <c r="AK498" s="1601"/>
      <c r="AZ498" s="3"/>
      <c r="BA498" s="3"/>
      <c r="BB498" s="3"/>
      <c r="BC498" s="3"/>
    </row>
    <row r="499" spans="1:66" ht="12.95" customHeight="1">
      <c r="B499" s="891" t="s">
        <v>1660</v>
      </c>
      <c r="C499" s="869"/>
      <c r="D499" s="869"/>
      <c r="E499" s="869"/>
      <c r="F499" s="869"/>
      <c r="G499" s="869"/>
      <c r="H499" s="869"/>
      <c r="I499" s="869"/>
      <c r="J499" s="869"/>
      <c r="K499" s="869"/>
      <c r="L499" s="869"/>
      <c r="M499" s="869"/>
      <c r="N499" s="869"/>
      <c r="O499" s="869"/>
      <c r="P499" s="869"/>
      <c r="Q499" s="1529" t="s">
        <v>2732</v>
      </c>
      <c r="R499" s="1530"/>
      <c r="S499" s="1530"/>
      <c r="T499" s="1530"/>
      <c r="U499" s="1530"/>
      <c r="V499" s="1530"/>
      <c r="W499" s="1530"/>
      <c r="X499" s="1530"/>
      <c r="Y499" s="1530"/>
      <c r="Z499" s="1530"/>
      <c r="AA499" s="1530"/>
      <c r="AB499" s="1530"/>
      <c r="AC499" s="1530"/>
      <c r="AD499" s="1530"/>
      <c r="AE499" s="1530"/>
      <c r="AF499" s="1530"/>
      <c r="AG499" s="1530"/>
      <c r="AH499" s="1530"/>
      <c r="AI499" s="1530"/>
      <c r="AJ499" s="1530"/>
      <c r="AK499" s="1531"/>
      <c r="AZ499" s="3"/>
      <c r="BA499" s="3"/>
      <c r="BB499" s="3"/>
      <c r="BC499" s="3"/>
    </row>
    <row r="500" spans="1:66" ht="12.95" customHeight="1">
      <c r="B500" s="45" t="s">
        <v>398</v>
      </c>
      <c r="C500" s="5"/>
      <c r="D500" s="5"/>
      <c r="E500" s="5"/>
      <c r="F500" s="5"/>
      <c r="G500" s="5"/>
      <c r="H500" s="5"/>
      <c r="I500" s="5"/>
      <c r="J500" s="5"/>
      <c r="K500" s="5"/>
      <c r="L500" s="5"/>
      <c r="M500" s="5"/>
      <c r="N500" s="5"/>
      <c r="O500" s="5"/>
      <c r="P500" s="5"/>
      <c r="Q500" s="1458" t="s">
        <v>2733</v>
      </c>
      <c r="R500" s="1346"/>
      <c r="S500" s="1346"/>
      <c r="T500" s="1346"/>
      <c r="U500" s="1346"/>
      <c r="V500" s="1346"/>
      <c r="W500" s="1346"/>
      <c r="X500" s="1346"/>
      <c r="Y500" s="1346"/>
      <c r="Z500" s="1346"/>
      <c r="AA500" s="1346"/>
      <c r="AB500" s="1346"/>
      <c r="AC500" s="1346"/>
      <c r="AD500" s="1346"/>
      <c r="AE500" s="1346"/>
      <c r="AF500" s="1346"/>
      <c r="AG500" s="1346"/>
      <c r="AH500" s="1346"/>
      <c r="AI500" s="1346"/>
      <c r="AJ500" s="1346"/>
      <c r="AK500" s="1459"/>
      <c r="AZ500" s="3"/>
      <c r="BA500" s="3"/>
      <c r="BB500" s="3"/>
      <c r="BC500" s="3"/>
    </row>
    <row r="501" spans="1:66" ht="12.95" customHeight="1">
      <c r="B501" s="45" t="s">
        <v>399</v>
      </c>
      <c r="C501" s="5"/>
      <c r="D501" s="5"/>
      <c r="E501" s="5"/>
      <c r="F501" s="5"/>
      <c r="G501" s="5"/>
      <c r="H501" s="5"/>
      <c r="I501" s="5"/>
      <c r="J501" s="5"/>
      <c r="K501" s="5"/>
      <c r="L501" s="5"/>
      <c r="M501" s="5"/>
      <c r="N501" s="5"/>
      <c r="O501" s="5"/>
      <c r="P501" s="5"/>
      <c r="Q501" s="1593">
        <v>4.2361111111111113E-2</v>
      </c>
      <c r="R501" s="1346"/>
      <c r="S501" s="1346"/>
      <c r="T501" s="1346"/>
      <c r="U501" s="1346"/>
      <c r="V501" s="1346"/>
      <c r="W501" s="1346"/>
      <c r="X501" s="1346"/>
      <c r="Y501" s="1346"/>
      <c r="Z501" s="1346"/>
      <c r="AA501" s="1346"/>
      <c r="AB501" s="1346"/>
      <c r="AC501" s="1346"/>
      <c r="AD501" s="1346"/>
      <c r="AE501" s="1346"/>
      <c r="AF501" s="1346"/>
      <c r="AG501" s="1346"/>
      <c r="AH501" s="1346"/>
      <c r="AI501" s="1346"/>
      <c r="AJ501" s="1346"/>
      <c r="AK501" s="1459"/>
      <c r="AZ501" s="3"/>
      <c r="BA501" s="3"/>
      <c r="BB501" s="3"/>
      <c r="BC501" s="3"/>
    </row>
    <row r="502" spans="1:66" ht="12.95" customHeight="1">
      <c r="B502" s="121" t="s">
        <v>1657</v>
      </c>
      <c r="C502" s="5"/>
      <c r="D502" s="5"/>
      <c r="E502" s="5"/>
      <c r="F502" s="5"/>
      <c r="G502" s="5"/>
      <c r="H502" s="5"/>
      <c r="I502" s="5"/>
      <c r="J502" s="5"/>
      <c r="K502" s="5"/>
      <c r="L502" s="5"/>
      <c r="M502" s="5"/>
      <c r="N502" s="5"/>
      <c r="O502" s="5"/>
      <c r="P502" s="5"/>
      <c r="Q502" s="1458">
        <v>138</v>
      </c>
      <c r="R502" s="1346"/>
      <c r="S502" s="1346"/>
      <c r="T502" s="1346"/>
      <c r="U502" s="1346"/>
      <c r="V502" s="1346"/>
      <c r="W502" s="1346"/>
      <c r="X502" s="1346"/>
      <c r="Y502" s="1346"/>
      <c r="Z502" s="1346"/>
      <c r="AA502" s="1346"/>
      <c r="AB502" s="1346"/>
      <c r="AC502" s="1346"/>
      <c r="AD502" s="1346"/>
      <c r="AE502" s="1346"/>
      <c r="AF502" s="1346"/>
      <c r="AG502" s="1346"/>
      <c r="AH502" s="1346"/>
      <c r="AI502" s="1346"/>
      <c r="AJ502" s="1346"/>
      <c r="AK502" s="1459"/>
      <c r="AZ502" s="3"/>
      <c r="BA502" s="3"/>
      <c r="BB502" s="3"/>
      <c r="BC502" s="3"/>
    </row>
    <row r="503" spans="1:66" ht="12.95" customHeight="1">
      <c r="B503" s="121" t="s">
        <v>1658</v>
      </c>
      <c r="C503" s="5"/>
      <c r="D503" s="5"/>
      <c r="E503" s="5"/>
      <c r="F503" s="5"/>
      <c r="G503" s="5"/>
      <c r="H503" s="5"/>
      <c r="I503" s="5"/>
      <c r="J503" s="5"/>
      <c r="K503" s="5"/>
      <c r="L503" s="5"/>
      <c r="M503" s="1491"/>
      <c r="N503" s="1492"/>
      <c r="O503" s="1492"/>
      <c r="P503" s="1493"/>
      <c r="Q503" s="121" t="s">
        <v>1659</v>
      </c>
      <c r="R503" s="5"/>
      <c r="S503" s="5"/>
      <c r="T503" s="5"/>
      <c r="U503" s="5"/>
      <c r="V503" s="5"/>
      <c r="W503" s="5"/>
      <c r="X503" s="5"/>
      <c r="Y503" s="5"/>
      <c r="Z503" s="5"/>
      <c r="AA503" s="5"/>
      <c r="AB503" s="5"/>
      <c r="AC503" s="5"/>
      <c r="AD503" s="5"/>
      <c r="AE503" s="5"/>
      <c r="AF503" s="5"/>
      <c r="AG503" s="5"/>
      <c r="AH503" s="1491">
        <v>138</v>
      </c>
      <c r="AI503" s="1492"/>
      <c r="AJ503" s="1492"/>
      <c r="AK503" s="1493"/>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419" t="s">
        <v>401</v>
      </c>
      <c r="AD507" s="1420"/>
      <c r="AE507" s="1420"/>
      <c r="AF507" s="1420"/>
      <c r="AG507" s="1420"/>
      <c r="AH507" s="1420"/>
      <c r="AI507" s="1420"/>
      <c r="AJ507" s="1420"/>
      <c r="AK507" s="1463"/>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419" t="s">
        <v>402</v>
      </c>
      <c r="AD508" s="1420"/>
      <c r="AE508" s="1420"/>
      <c r="AF508" s="1420"/>
      <c r="AG508" s="50" t="s">
        <v>403</v>
      </c>
      <c r="AH508" s="1420" t="s">
        <v>404</v>
      </c>
      <c r="AI508" s="1420"/>
      <c r="AJ508" s="1420"/>
      <c r="AK508" s="1463"/>
      <c r="AZ508" s="3"/>
      <c r="BA508" s="3"/>
      <c r="BB508" s="3"/>
      <c r="BC508" s="3"/>
      <c r="BD508" s="3"/>
      <c r="BE508" s="3"/>
      <c r="BF508" s="3"/>
      <c r="BG508" s="3"/>
      <c r="BH508" s="3"/>
      <c r="BI508" s="3"/>
      <c r="BJ508" s="3"/>
      <c r="BK508" s="3"/>
      <c r="BL508" s="3"/>
      <c r="BM508" s="3"/>
      <c r="BN508" s="3"/>
    </row>
    <row r="509" spans="1:66" ht="12.95" customHeight="1">
      <c r="B509" s="1429" t="s">
        <v>405</v>
      </c>
      <c r="C509" s="1430"/>
      <c r="D509" s="1430"/>
      <c r="E509" s="1430"/>
      <c r="F509" s="1430"/>
      <c r="G509" s="1430"/>
      <c r="H509" s="1431"/>
      <c r="I509" s="42" t="s">
        <v>406</v>
      </c>
      <c r="J509" s="42"/>
      <c r="K509" s="42"/>
      <c r="L509" s="42"/>
      <c r="M509" s="42"/>
      <c r="N509" s="42"/>
      <c r="O509" s="42"/>
      <c r="P509" s="42"/>
      <c r="Q509" s="42"/>
      <c r="R509" s="42"/>
      <c r="S509" s="42"/>
      <c r="T509" s="42"/>
      <c r="U509" s="42"/>
      <c r="V509" s="42"/>
      <c r="W509" s="42"/>
      <c r="AC509" s="1402" t="s">
        <v>591</v>
      </c>
      <c r="AD509" s="1392"/>
      <c r="AE509" s="1392"/>
      <c r="AF509" s="1392"/>
      <c r="AG509" s="13" t="s">
        <v>403</v>
      </c>
      <c r="AH509" s="1417">
        <v>0</v>
      </c>
      <c r="AI509" s="1417"/>
      <c r="AJ509" s="1417"/>
      <c r="AK509" s="1418"/>
      <c r="AZ509" s="3"/>
      <c r="BA509" s="3"/>
      <c r="BB509" s="3"/>
      <c r="BC509" s="3"/>
      <c r="BD509" s="3"/>
      <c r="BE509" s="3"/>
      <c r="BF509" s="3"/>
      <c r="BG509" s="3"/>
      <c r="BH509" s="3"/>
      <c r="BI509" s="3"/>
      <c r="BJ509" s="3"/>
      <c r="BK509" s="3"/>
      <c r="BL509" s="3"/>
      <c r="BM509" s="3"/>
      <c r="BN509" s="3"/>
    </row>
    <row r="510" spans="1:66" ht="12.95" customHeight="1">
      <c r="B510" s="1432"/>
      <c r="C510" s="1433"/>
      <c r="D510" s="1433"/>
      <c r="E510" s="1433"/>
      <c r="F510" s="1433"/>
      <c r="G510" s="1433"/>
      <c r="H510" s="1434"/>
      <c r="I510" s="48" t="s">
        <v>407</v>
      </c>
      <c r="J510" s="48"/>
      <c r="K510" s="48"/>
      <c r="L510" s="48"/>
      <c r="M510" s="48"/>
      <c r="N510" s="48"/>
      <c r="O510" s="48"/>
      <c r="P510" s="48"/>
      <c r="Q510" s="48"/>
      <c r="R510" s="48"/>
      <c r="S510" s="48"/>
      <c r="T510" s="48"/>
      <c r="U510" s="48"/>
      <c r="V510" s="48"/>
      <c r="W510" s="48"/>
      <c r="X510" s="48"/>
      <c r="Y510" s="48"/>
      <c r="Z510" s="48"/>
      <c r="AA510" s="48"/>
      <c r="AB510" s="48"/>
      <c r="AC510" s="1402">
        <v>10</v>
      </c>
      <c r="AD510" s="1392"/>
      <c r="AE510" s="1392"/>
      <c r="AF510" s="1392"/>
      <c r="AG510" s="38" t="s">
        <v>403</v>
      </c>
      <c r="AH510" s="1417">
        <v>2026</v>
      </c>
      <c r="AI510" s="1417"/>
      <c r="AJ510" s="1417"/>
      <c r="AK510" s="1418"/>
      <c r="AZ510" s="3"/>
      <c r="BA510" s="3"/>
      <c r="BB510" s="3"/>
      <c r="BC510" s="3"/>
      <c r="BD510" s="3"/>
      <c r="BE510" s="3"/>
      <c r="BF510" s="3"/>
      <c r="BG510" s="3"/>
      <c r="BH510" s="3"/>
      <c r="BI510" s="3"/>
      <c r="BJ510" s="3"/>
      <c r="BK510" s="3"/>
      <c r="BL510" s="3"/>
      <c r="BM510" s="3"/>
      <c r="BN510" s="3"/>
    </row>
    <row r="511" spans="1:66" ht="12.95" customHeight="1">
      <c r="B511" s="1429" t="s">
        <v>408</v>
      </c>
      <c r="C511" s="1430"/>
      <c r="D511" s="1430"/>
      <c r="E511" s="1430"/>
      <c r="F511" s="1430"/>
      <c r="G511" s="1430"/>
      <c r="H511" s="1431"/>
      <c r="I511" s="42" t="s">
        <v>409</v>
      </c>
      <c r="J511" s="42"/>
      <c r="K511" s="42"/>
      <c r="L511" s="42"/>
      <c r="M511" s="42"/>
      <c r="N511" s="42"/>
      <c r="O511" s="42"/>
      <c r="P511" s="42"/>
      <c r="Q511" s="42"/>
      <c r="R511" s="42"/>
      <c r="S511" s="42"/>
      <c r="T511" s="42"/>
      <c r="U511" s="42"/>
      <c r="V511" s="42"/>
      <c r="W511" s="42"/>
      <c r="AC511" s="1402" t="s">
        <v>591</v>
      </c>
      <c r="AD511" s="1392"/>
      <c r="AE511" s="1392"/>
      <c r="AF511" s="1392"/>
      <c r="AG511" s="13" t="s">
        <v>403</v>
      </c>
      <c r="AH511" s="1417"/>
      <c r="AI511" s="1417"/>
      <c r="AJ511" s="1417"/>
      <c r="AK511" s="1418"/>
      <c r="AZ511" s="3"/>
      <c r="BA511" s="3"/>
      <c r="BB511" s="3"/>
      <c r="BC511" s="3"/>
      <c r="BD511" s="3"/>
      <c r="BE511" s="3"/>
      <c r="BF511" s="3"/>
      <c r="BG511" s="3"/>
      <c r="BH511" s="3"/>
      <c r="BI511" s="3"/>
      <c r="BJ511" s="3"/>
      <c r="BK511" s="3"/>
      <c r="BL511" s="3"/>
      <c r="BM511" s="3"/>
      <c r="BN511" s="3"/>
    </row>
    <row r="512" spans="1:66" ht="12.95" customHeight="1">
      <c r="B512" s="1432"/>
      <c r="C512" s="1433"/>
      <c r="D512" s="1433"/>
      <c r="E512" s="1433"/>
      <c r="F512" s="1433"/>
      <c r="G512" s="1433"/>
      <c r="H512" s="1434"/>
      <c r="I512" t="s">
        <v>410</v>
      </c>
      <c r="AC512" s="1402" t="s">
        <v>591</v>
      </c>
      <c r="AD512" s="1392"/>
      <c r="AE512" s="1392"/>
      <c r="AF512" s="1392"/>
      <c r="AG512" s="13" t="s">
        <v>403</v>
      </c>
      <c r="AH512" s="1417"/>
      <c r="AI512" s="1417"/>
      <c r="AJ512" s="1417"/>
      <c r="AK512" s="1418"/>
      <c r="AZ512" s="3"/>
      <c r="BA512" s="3"/>
      <c r="BB512" s="3"/>
      <c r="BC512" s="3"/>
      <c r="BD512" s="3"/>
      <c r="BE512" s="3"/>
      <c r="BF512" s="3"/>
      <c r="BG512" s="3"/>
      <c r="BH512" s="3"/>
      <c r="BI512" s="3"/>
      <c r="BJ512" s="3"/>
      <c r="BK512" s="3"/>
      <c r="BL512" s="3"/>
      <c r="BM512" s="3"/>
      <c r="BN512" s="3"/>
    </row>
    <row r="513" spans="2:66" ht="12.95" customHeight="1">
      <c r="B513" s="1432"/>
      <c r="C513" s="1433"/>
      <c r="D513" s="1433"/>
      <c r="E513" s="1433"/>
      <c r="F513" s="1433"/>
      <c r="G513" s="1433"/>
      <c r="H513" s="1434"/>
      <c r="I513" t="s">
        <v>411</v>
      </c>
      <c r="AC513" s="1402" t="s">
        <v>591</v>
      </c>
      <c r="AD513" s="1392"/>
      <c r="AE513" s="1392"/>
      <c r="AF513" s="1392"/>
      <c r="AG513" s="13" t="s">
        <v>403</v>
      </c>
      <c r="AH513" s="1417"/>
      <c r="AI513" s="1417"/>
      <c r="AJ513" s="1417"/>
      <c r="AK513" s="1418"/>
      <c r="AZ513" s="3"/>
      <c r="BA513" s="3"/>
      <c r="BB513" s="3"/>
      <c r="BC513" s="3"/>
      <c r="BD513" s="3"/>
      <c r="BE513" s="3"/>
      <c r="BF513" s="3"/>
      <c r="BG513" s="3"/>
      <c r="BH513" s="3"/>
      <c r="BI513" s="3"/>
      <c r="BJ513" s="3"/>
      <c r="BK513" s="3"/>
      <c r="BL513" s="3"/>
      <c r="BM513" s="3"/>
      <c r="BN513" s="3"/>
    </row>
    <row r="514" spans="2:66" ht="12.95" customHeight="1">
      <c r="B514" s="1432"/>
      <c r="C514" s="1433"/>
      <c r="D514" s="1433"/>
      <c r="E514" s="1433"/>
      <c r="F514" s="1433"/>
      <c r="G514" s="1433"/>
      <c r="H514" s="1434"/>
      <c r="I514" t="s">
        <v>412</v>
      </c>
      <c r="AC514" s="1402" t="s">
        <v>591</v>
      </c>
      <c r="AD514" s="1392"/>
      <c r="AE514" s="1392"/>
      <c r="AF514" s="1392"/>
      <c r="AG514" s="13" t="s">
        <v>403</v>
      </c>
      <c r="AH514" s="1417"/>
      <c r="AI514" s="1417"/>
      <c r="AJ514" s="1417"/>
      <c r="AK514" s="1418"/>
      <c r="AZ514" s="3"/>
      <c r="BA514" s="3"/>
      <c r="BB514" s="3"/>
      <c r="BC514" s="3"/>
      <c r="BD514" s="3"/>
      <c r="BE514" s="3"/>
      <c r="BF514" s="3"/>
      <c r="BG514" s="3"/>
      <c r="BH514" s="3"/>
      <c r="BI514" s="3"/>
      <c r="BJ514" s="3"/>
      <c r="BK514" s="3"/>
      <c r="BL514" s="3"/>
      <c r="BM514" s="3"/>
      <c r="BN514" s="3"/>
    </row>
    <row r="515" spans="2:66" ht="12.95" customHeight="1">
      <c r="B515" s="1432"/>
      <c r="C515" s="1433"/>
      <c r="D515" s="1433"/>
      <c r="E515" s="1433"/>
      <c r="F515" s="1433"/>
      <c r="G515" s="1433"/>
      <c r="H515" s="1434"/>
      <c r="I515" s="3" t="s">
        <v>413</v>
      </c>
      <c r="AC515" s="1389" t="s">
        <v>591</v>
      </c>
      <c r="AD515" s="1390"/>
      <c r="AE515" s="1390"/>
      <c r="AF515" s="1390"/>
      <c r="AG515" s="13" t="s">
        <v>403</v>
      </c>
      <c r="AH515" s="1417"/>
      <c r="AI515" s="1417"/>
      <c r="AJ515" s="1417"/>
      <c r="AK515" s="1418"/>
      <c r="AZ515" s="3"/>
      <c r="BA515" s="3"/>
      <c r="BB515" s="3"/>
      <c r="BC515" s="3"/>
      <c r="BD515" s="3"/>
      <c r="BE515" s="3"/>
      <c r="BF515" s="3"/>
      <c r="BG515" s="3"/>
      <c r="BH515" s="3"/>
      <c r="BI515" s="3"/>
      <c r="BJ515" s="3"/>
      <c r="BK515" s="3"/>
      <c r="BL515" s="3"/>
      <c r="BM515" s="3"/>
      <c r="BN515" s="3"/>
    </row>
    <row r="516" spans="2:66" ht="12.95" customHeight="1">
      <c r="B516" s="1432"/>
      <c r="C516" s="1433"/>
      <c r="D516" s="1433"/>
      <c r="E516" s="1433"/>
      <c r="F516" s="1433"/>
      <c r="G516" s="1433"/>
      <c r="H516" s="1434"/>
      <c r="I516" s="892" t="s">
        <v>170</v>
      </c>
      <c r="J516" s="48"/>
      <c r="K516" s="48"/>
      <c r="L516" s="1460" t="s">
        <v>334</v>
      </c>
      <c r="M516" s="1461"/>
      <c r="N516" s="1461"/>
      <c r="O516" s="1461"/>
      <c r="P516" s="1461"/>
      <c r="Q516" s="1461"/>
      <c r="R516" s="1461"/>
      <c r="S516" s="1461"/>
      <c r="T516" s="1461"/>
      <c r="U516" s="1461"/>
      <c r="V516" s="1461"/>
      <c r="W516" s="1461"/>
      <c r="X516" s="1461"/>
      <c r="Y516" s="1461"/>
      <c r="Z516" s="1461"/>
      <c r="AA516" s="1461"/>
      <c r="AB516" s="1523"/>
      <c r="AC516" s="1402" t="s">
        <v>591</v>
      </c>
      <c r="AD516" s="1392"/>
      <c r="AE516" s="1392"/>
      <c r="AF516" s="1392"/>
      <c r="AG516" s="38" t="s">
        <v>403</v>
      </c>
      <c r="AH516" s="1417"/>
      <c r="AI516" s="1417"/>
      <c r="AJ516" s="1417"/>
      <c r="AK516" s="1418"/>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1664</v>
      </c>
      <c r="AC517" s="1462" t="s">
        <v>1184</v>
      </c>
      <c r="AD517" s="1462"/>
      <c r="AE517" s="1462"/>
      <c r="AF517" s="1462"/>
      <c r="AG517" s="13"/>
      <c r="AH517" s="1464"/>
      <c r="AI517" s="1464"/>
      <c r="AJ517" s="1464"/>
      <c r="AK517" s="1465"/>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1661</v>
      </c>
      <c r="AC518" s="1389"/>
      <c r="AD518" s="1390"/>
      <c r="AE518" s="1390"/>
      <c r="AF518" s="1391"/>
      <c r="AG518" s="13"/>
      <c r="AH518" s="1464"/>
      <c r="AI518" s="1464"/>
      <c r="AJ518" s="1464"/>
      <c r="AK518" s="1465"/>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1449"/>
      <c r="AD520" s="1450"/>
      <c r="AE520" s="1450"/>
      <c r="AF520" s="1451"/>
      <c r="AG520" s="38"/>
      <c r="AH520" s="1674"/>
      <c r="AI520" s="1674"/>
      <c r="AJ520" s="1674"/>
      <c r="AK520" s="1675"/>
      <c r="AZ520" s="3"/>
      <c r="BA520" s="3"/>
      <c r="BB520" s="3"/>
      <c r="BC520" s="3"/>
      <c r="BD520" s="3"/>
      <c r="BE520" s="3"/>
      <c r="BF520" s="3"/>
      <c r="BG520" s="3"/>
      <c r="BH520" s="3"/>
      <c r="BI520" s="3"/>
      <c r="BJ520" s="3"/>
      <c r="BK520" s="3"/>
      <c r="BL520" s="3"/>
      <c r="BM520" s="3"/>
      <c r="BN520" s="3" t="s">
        <v>1184</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849" t="s">
        <v>402</v>
      </c>
      <c r="AD521" s="1466"/>
      <c r="AE521" s="1466"/>
      <c r="AF521" s="1466"/>
      <c r="AG521" s="38" t="s">
        <v>403</v>
      </c>
      <c r="AH521" s="1466" t="s">
        <v>404</v>
      </c>
      <c r="AI521" s="1466"/>
      <c r="AJ521" s="1466"/>
      <c r="AK521" s="1467"/>
      <c r="AZ521" s="3"/>
      <c r="BA521" s="3"/>
      <c r="BB521" s="3"/>
      <c r="BC521" s="3"/>
      <c r="BD521" s="3"/>
      <c r="BE521" s="3"/>
      <c r="BF521" s="3"/>
      <c r="BG521" s="3"/>
      <c r="BH521" s="3"/>
      <c r="BI521" s="3"/>
      <c r="BJ521" s="3"/>
      <c r="BK521" s="3"/>
      <c r="BL521" s="3"/>
      <c r="BM521" s="3"/>
      <c r="BN521" s="3" t="s">
        <v>2061</v>
      </c>
    </row>
    <row r="522" spans="2:66" ht="12.95" customHeight="1">
      <c r="B522" s="1429" t="s">
        <v>414</v>
      </c>
      <c r="C522" s="1430"/>
      <c r="D522" s="1430"/>
      <c r="E522" s="1430"/>
      <c r="F522" s="1430"/>
      <c r="G522" s="1430"/>
      <c r="H522" s="1431"/>
      <c r="I522" s="42" t="s">
        <v>415</v>
      </c>
      <c r="J522" s="42"/>
      <c r="K522" s="42"/>
      <c r="L522" s="42"/>
      <c r="M522" s="42"/>
      <c r="N522" s="42"/>
      <c r="O522" s="42"/>
      <c r="P522" s="42"/>
      <c r="Q522" s="42"/>
      <c r="R522" s="42"/>
      <c r="S522" s="42"/>
      <c r="T522" s="42"/>
      <c r="U522" s="42"/>
      <c r="V522" s="42"/>
      <c r="W522" s="42"/>
      <c r="AC522" s="1402">
        <v>1</v>
      </c>
      <c r="AD522" s="1392"/>
      <c r="AE522" s="1392"/>
      <c r="AF522" s="1392"/>
      <c r="AG522" s="13" t="s">
        <v>403</v>
      </c>
      <c r="AH522" s="1417">
        <v>2026</v>
      </c>
      <c r="AI522" s="1417"/>
      <c r="AJ522" s="1417"/>
      <c r="AK522" s="1418"/>
      <c r="AZ522" s="3"/>
      <c r="BA522" s="3"/>
      <c r="BB522" s="3"/>
      <c r="BC522" s="3"/>
      <c r="BD522" s="3"/>
      <c r="BE522" s="3"/>
      <c r="BF522" s="3"/>
      <c r="BG522" s="3"/>
      <c r="BH522" s="3"/>
      <c r="BI522" s="3"/>
      <c r="BJ522" s="3"/>
      <c r="BK522" s="3"/>
      <c r="BL522" s="3"/>
      <c r="BM522" s="3"/>
      <c r="BN522" s="3" t="s">
        <v>2062</v>
      </c>
    </row>
    <row r="523" spans="2:66" ht="12.95" customHeight="1">
      <c r="B523" s="1432"/>
      <c r="C523" s="1433"/>
      <c r="D523" s="1433"/>
      <c r="E523" s="1433"/>
      <c r="F523" s="1433"/>
      <c r="G523" s="1433"/>
      <c r="H523" s="1434"/>
      <c r="I523" t="s">
        <v>416</v>
      </c>
      <c r="AC523" s="1402">
        <v>2</v>
      </c>
      <c r="AD523" s="1392"/>
      <c r="AE523" s="1392"/>
      <c r="AF523" s="1392"/>
      <c r="AG523" s="13" t="s">
        <v>403</v>
      </c>
      <c r="AH523" s="1417">
        <v>2026</v>
      </c>
      <c r="AI523" s="1417"/>
      <c r="AJ523" s="1417"/>
      <c r="AK523" s="1418"/>
      <c r="AZ523" s="3"/>
      <c r="BA523" s="3"/>
      <c r="BB523" s="3"/>
      <c r="BC523" s="3"/>
      <c r="BD523" s="3"/>
      <c r="BE523" s="3"/>
      <c r="BF523" s="3"/>
      <c r="BG523" s="3"/>
      <c r="BH523" s="3"/>
      <c r="BI523" s="3"/>
      <c r="BJ523" s="3"/>
      <c r="BK523" s="3"/>
      <c r="BL523" s="3"/>
      <c r="BM523" s="3"/>
      <c r="BN523" s="3" t="s">
        <v>2063</v>
      </c>
    </row>
    <row r="524" spans="2:66" ht="12.95" customHeight="1">
      <c r="B524" s="1432"/>
      <c r="C524" s="1433"/>
      <c r="D524" s="1433"/>
      <c r="E524" s="1433"/>
      <c r="F524" s="1433"/>
      <c r="G524" s="1433"/>
      <c r="H524" s="1434"/>
      <c r="I524" s="48" t="s">
        <v>417</v>
      </c>
      <c r="J524" s="48"/>
      <c r="K524" s="48"/>
      <c r="L524" s="48"/>
      <c r="M524" s="48"/>
      <c r="N524" s="48"/>
      <c r="O524" s="48"/>
      <c r="P524" s="48"/>
      <c r="Q524" s="48"/>
      <c r="R524" s="48"/>
      <c r="S524" s="48"/>
      <c r="T524" s="48"/>
      <c r="U524" s="48"/>
      <c r="V524" s="48"/>
      <c r="W524" s="48"/>
      <c r="X524" s="48"/>
      <c r="Y524" s="48"/>
      <c r="Z524" s="48"/>
      <c r="AA524" s="48"/>
      <c r="AB524" s="48"/>
      <c r="AC524" s="1402">
        <v>10</v>
      </c>
      <c r="AD524" s="1392"/>
      <c r="AE524" s="1392"/>
      <c r="AF524" s="1392"/>
      <c r="AG524" s="38" t="s">
        <v>403</v>
      </c>
      <c r="AH524" s="1417">
        <v>2026</v>
      </c>
      <c r="AI524" s="1417"/>
      <c r="AJ524" s="1417"/>
      <c r="AK524" s="1418"/>
      <c r="AZ524" s="3"/>
      <c r="BA524" s="3"/>
      <c r="BB524" s="3"/>
      <c r="BC524" s="3"/>
      <c r="BD524" s="3"/>
      <c r="BE524" s="3"/>
      <c r="BF524" s="3"/>
      <c r="BG524" s="3"/>
      <c r="BH524" s="3"/>
      <c r="BI524" s="3"/>
      <c r="BJ524" s="3"/>
      <c r="BK524" s="3"/>
      <c r="BL524" s="3"/>
      <c r="BM524" s="3"/>
      <c r="BN524" s="3" t="s">
        <v>2064</v>
      </c>
    </row>
    <row r="525" spans="2:66" ht="12.95" customHeight="1">
      <c r="B525" s="1429" t="s">
        <v>418</v>
      </c>
      <c r="C525" s="1430"/>
      <c r="D525" s="1430"/>
      <c r="E525" s="1430"/>
      <c r="F525" s="1430"/>
      <c r="G525" s="1430"/>
      <c r="H525" s="1431"/>
      <c r="I525" s="42" t="s">
        <v>415</v>
      </c>
      <c r="J525" s="42"/>
      <c r="K525" s="42"/>
      <c r="L525" s="42"/>
      <c r="M525" s="42"/>
      <c r="N525" s="42"/>
      <c r="O525" s="42"/>
      <c r="P525" s="42"/>
      <c r="Q525" s="42"/>
      <c r="R525" s="42"/>
      <c r="S525" s="42"/>
      <c r="T525" s="42"/>
      <c r="U525" s="42"/>
      <c r="V525" s="42"/>
      <c r="W525" s="42"/>
      <c r="X525" s="42"/>
      <c r="Y525" s="42"/>
      <c r="Z525" s="42"/>
      <c r="AA525" s="42"/>
      <c r="AB525" s="42"/>
      <c r="AC525" s="1389">
        <v>1</v>
      </c>
      <c r="AD525" s="1390"/>
      <c r="AE525" s="1390"/>
      <c r="AF525" s="1390"/>
      <c r="AG525" s="129" t="s">
        <v>403</v>
      </c>
      <c r="AH525" s="1417">
        <v>2026</v>
      </c>
      <c r="AI525" s="1417"/>
      <c r="AJ525" s="1417"/>
      <c r="AK525" s="1418"/>
      <c r="AZ525" s="3"/>
      <c r="BB525" s="3"/>
      <c r="BC525" s="3"/>
      <c r="BD525" s="3"/>
      <c r="BE525" s="3"/>
      <c r="BF525" s="3"/>
      <c r="BG525" s="3"/>
      <c r="BH525" s="3"/>
      <c r="BI525" s="3"/>
      <c r="BJ525" s="3"/>
      <c r="BK525" s="3"/>
      <c r="BL525" s="3"/>
      <c r="BM525" s="3"/>
      <c r="BN525" s="3" t="s">
        <v>2065</v>
      </c>
    </row>
    <row r="526" spans="2:66" ht="12.95" customHeight="1">
      <c r="B526" s="1432"/>
      <c r="C526" s="1433"/>
      <c r="D526" s="1433"/>
      <c r="E526" s="1433"/>
      <c r="F526" s="1433"/>
      <c r="G526" s="1433"/>
      <c r="H526" s="1434"/>
      <c r="I526" t="s">
        <v>416</v>
      </c>
      <c r="AC526" s="1402">
        <v>2</v>
      </c>
      <c r="AD526" s="1392"/>
      <c r="AE526" s="1392"/>
      <c r="AF526" s="1392"/>
      <c r="AG526" s="13" t="s">
        <v>403</v>
      </c>
      <c r="AH526" s="1417">
        <v>2026</v>
      </c>
      <c r="AI526" s="1417"/>
      <c r="AJ526" s="1417"/>
      <c r="AK526" s="1418"/>
      <c r="BB526" s="3"/>
      <c r="BC526" s="3"/>
      <c r="BD526" s="3"/>
      <c r="BE526" s="3"/>
      <c r="BF526" s="3"/>
      <c r="BG526" s="3"/>
      <c r="BH526" s="3"/>
      <c r="BI526" s="3"/>
      <c r="BJ526" s="3"/>
      <c r="BK526" s="3"/>
      <c r="BL526" s="3"/>
      <c r="BM526" s="3"/>
      <c r="BN526" s="3" t="s">
        <v>2066</v>
      </c>
    </row>
    <row r="527" spans="2:66" ht="12.95" customHeight="1">
      <c r="B527" s="1435"/>
      <c r="C527" s="1436"/>
      <c r="D527" s="1436"/>
      <c r="E527" s="1436"/>
      <c r="F527" s="1436"/>
      <c r="G527" s="1436"/>
      <c r="H527" s="1437"/>
      <c r="I527" s="48" t="s">
        <v>417</v>
      </c>
      <c r="J527" s="48"/>
      <c r="K527" s="48"/>
      <c r="L527" s="48"/>
      <c r="M527" s="48"/>
      <c r="N527" s="48"/>
      <c r="O527" s="48"/>
      <c r="P527" s="48"/>
      <c r="Q527" s="48"/>
      <c r="R527" s="48"/>
      <c r="S527" s="48"/>
      <c r="T527" s="48"/>
      <c r="U527" s="48"/>
      <c r="V527" s="48"/>
      <c r="W527" s="48"/>
      <c r="X527" s="48"/>
      <c r="Y527" s="48"/>
      <c r="Z527" s="48"/>
      <c r="AA527" s="48"/>
      <c r="AB527" s="48"/>
      <c r="AC527" s="1402">
        <v>10</v>
      </c>
      <c r="AD527" s="1392"/>
      <c r="AE527" s="1392"/>
      <c r="AF527" s="1392"/>
      <c r="AG527" s="38" t="s">
        <v>403</v>
      </c>
      <c r="AH527" s="1417">
        <v>2028</v>
      </c>
      <c r="AI527" s="1417"/>
      <c r="AJ527" s="1417"/>
      <c r="AK527" s="1418"/>
      <c r="BB527" s="3"/>
      <c r="BC527" s="3"/>
      <c r="BD527" s="3"/>
      <c r="BE527" s="3"/>
      <c r="BF527" s="3"/>
      <c r="BG527" s="3"/>
      <c r="BH527" s="3"/>
      <c r="BI527" s="3"/>
      <c r="BJ527" s="3"/>
      <c r="BK527" s="3"/>
      <c r="BL527" s="3"/>
      <c r="BM527" s="3"/>
      <c r="BN527" s="3" t="s">
        <v>2067</v>
      </c>
    </row>
    <row r="528" spans="2:66" ht="12.95" customHeight="1">
      <c r="B528" s="1429" t="s">
        <v>419</v>
      </c>
      <c r="C528" s="1430"/>
      <c r="D528" s="1430"/>
      <c r="E528" s="1430"/>
      <c r="F528" s="1430"/>
      <c r="G528" s="1430"/>
      <c r="H528" s="1431"/>
      <c r="I528" s="41" t="s">
        <v>420</v>
      </c>
      <c r="J528" s="42"/>
      <c r="K528" s="42"/>
      <c r="L528" s="42"/>
      <c r="M528" s="42"/>
      <c r="N528" s="42"/>
      <c r="O528" s="1460" t="s">
        <v>2734</v>
      </c>
      <c r="P528" s="1461"/>
      <c r="Q528" s="1461"/>
      <c r="R528" s="1461"/>
      <c r="S528" s="1461"/>
      <c r="T528" s="1461"/>
      <c r="U528" s="1461"/>
      <c r="V528" s="1461"/>
      <c r="W528" s="1461"/>
      <c r="X528" s="1461"/>
      <c r="Y528" s="1461"/>
      <c r="Z528" s="1461"/>
      <c r="AA528" s="1461"/>
      <c r="AB528" s="58"/>
      <c r="AC528" s="1389" t="s">
        <v>591</v>
      </c>
      <c r="AD528" s="1390"/>
      <c r="AE528" s="1390"/>
      <c r="AF528" s="1390"/>
      <c r="AG528" s="129" t="s">
        <v>403</v>
      </c>
      <c r="AH528" s="1417"/>
      <c r="AI528" s="1417"/>
      <c r="AJ528" s="1417"/>
      <c r="AK528" s="1418"/>
      <c r="AZ528" s="3"/>
      <c r="BB528" s="3"/>
      <c r="BC528" s="3"/>
      <c r="BD528" s="3"/>
      <c r="BE528" s="3"/>
      <c r="BF528" s="3"/>
      <c r="BG528" s="3"/>
      <c r="BH528" s="3"/>
      <c r="BI528" s="3"/>
      <c r="BJ528" s="3"/>
      <c r="BK528" s="3"/>
      <c r="BL528" s="3"/>
      <c r="BM528" s="3"/>
      <c r="BN528" s="3" t="s">
        <v>2068</v>
      </c>
    </row>
    <row r="529" spans="2:66" ht="12.95" customHeight="1">
      <c r="B529" s="1432"/>
      <c r="C529" s="1433"/>
      <c r="D529" s="1433"/>
      <c r="E529" s="1433"/>
      <c r="F529" s="1433"/>
      <c r="G529" s="1433"/>
      <c r="H529" s="1434"/>
      <c r="I529" s="114" t="s">
        <v>421</v>
      </c>
      <c r="AB529" s="65"/>
      <c r="AC529" s="1402">
        <v>7</v>
      </c>
      <c r="AD529" s="1392"/>
      <c r="AE529" s="1392"/>
      <c r="AF529" s="1392"/>
      <c r="AG529" s="13" t="s">
        <v>403</v>
      </c>
      <c r="AH529" s="1417">
        <v>2024</v>
      </c>
      <c r="AI529" s="1417"/>
      <c r="AJ529" s="1417"/>
      <c r="AK529" s="1418"/>
      <c r="AZ529" s="3"/>
      <c r="BB529" s="3"/>
      <c r="BC529" s="3"/>
      <c r="BD529" s="3"/>
      <c r="BE529" s="3"/>
      <c r="BF529" s="3"/>
      <c r="BG529" s="3"/>
      <c r="BH529" s="3"/>
      <c r="BI529" s="3"/>
      <c r="BJ529" s="3"/>
      <c r="BK529" s="3"/>
      <c r="BL529" s="3"/>
      <c r="BM529" s="3"/>
      <c r="BN529" s="3" t="s">
        <v>2069</v>
      </c>
    </row>
    <row r="530" spans="2:66" ht="12.95" customHeight="1">
      <c r="B530" s="1432"/>
      <c r="C530" s="1433"/>
      <c r="D530" s="1433"/>
      <c r="E530" s="1433"/>
      <c r="F530" s="1433"/>
      <c r="G530" s="1433"/>
      <c r="H530" s="1434"/>
      <c r="I530" s="47" t="s">
        <v>422</v>
      </c>
      <c r="J530" s="48"/>
      <c r="K530" s="48"/>
      <c r="L530" s="48"/>
      <c r="M530" s="48"/>
      <c r="N530" s="48"/>
      <c r="O530" s="48"/>
      <c r="P530" s="48"/>
      <c r="Q530" s="48"/>
      <c r="R530" s="48"/>
      <c r="S530" s="48"/>
      <c r="T530" s="48"/>
      <c r="U530" s="48"/>
      <c r="V530" s="48"/>
      <c r="W530" s="48"/>
      <c r="X530" s="48"/>
      <c r="Y530" s="48"/>
      <c r="Z530" s="48"/>
      <c r="AA530" s="48"/>
      <c r="AB530" s="49"/>
      <c r="AC530" s="1402">
        <v>1</v>
      </c>
      <c r="AD530" s="1392"/>
      <c r="AE530" s="1392"/>
      <c r="AF530" s="1392"/>
      <c r="AG530" s="38" t="s">
        <v>403</v>
      </c>
      <c r="AH530" s="1417">
        <v>2026</v>
      </c>
      <c r="AI530" s="1417"/>
      <c r="AJ530" s="1417"/>
      <c r="AK530" s="1418"/>
      <c r="AZ530" s="3"/>
      <c r="BA530" s="3"/>
      <c r="BB530" s="3"/>
      <c r="BC530" s="3"/>
      <c r="BD530" s="3"/>
      <c r="BE530" s="3"/>
      <c r="BF530" s="3"/>
      <c r="BG530" s="3"/>
      <c r="BH530" s="3"/>
      <c r="BI530" s="3"/>
      <c r="BJ530" s="3"/>
      <c r="BK530" s="3"/>
      <c r="BL530" s="3"/>
      <c r="BM530" s="3"/>
      <c r="BN530" s="3" t="s">
        <v>2070</v>
      </c>
    </row>
    <row r="531" spans="2:66" ht="12.95" customHeight="1">
      <c r="B531" s="1432"/>
      <c r="C531" s="1433"/>
      <c r="D531" s="1433"/>
      <c r="E531" s="1433"/>
      <c r="F531" s="1433"/>
      <c r="G531" s="1433"/>
      <c r="H531" s="1434"/>
      <c r="I531" s="42" t="s">
        <v>423</v>
      </c>
      <c r="J531" s="42"/>
      <c r="K531" s="42"/>
      <c r="L531" s="42"/>
      <c r="M531" s="42"/>
      <c r="N531" s="42"/>
      <c r="O531" s="1460" t="s">
        <v>334</v>
      </c>
      <c r="P531" s="1461"/>
      <c r="Q531" s="1461"/>
      <c r="R531" s="1461"/>
      <c r="S531" s="1461"/>
      <c r="T531" s="1461"/>
      <c r="U531" s="1461"/>
      <c r="V531" s="1461"/>
      <c r="W531" s="1461"/>
      <c r="X531" s="1461"/>
      <c r="Y531" s="1461"/>
      <c r="Z531" s="1461"/>
      <c r="AA531" s="1461"/>
      <c r="AC531" s="1402" t="s">
        <v>591</v>
      </c>
      <c r="AD531" s="1392"/>
      <c r="AE531" s="1392"/>
      <c r="AF531" s="1392"/>
      <c r="AG531" s="13" t="s">
        <v>403</v>
      </c>
      <c r="AH531" s="1417"/>
      <c r="AI531" s="1417"/>
      <c r="AJ531" s="1417"/>
      <c r="AK531" s="1418"/>
      <c r="AZ531" s="3"/>
      <c r="BA531" s="3"/>
      <c r="BB531" s="3"/>
      <c r="BC531" s="3"/>
      <c r="BD531" s="3"/>
      <c r="BE531" s="3"/>
      <c r="BF531" s="3"/>
      <c r="BG531" s="3"/>
      <c r="BH531" s="3"/>
      <c r="BI531" s="3"/>
      <c r="BJ531" s="3"/>
      <c r="BK531" s="3"/>
      <c r="BL531" s="3"/>
      <c r="BM531" s="3"/>
      <c r="BN531" s="3" t="s">
        <v>2071</v>
      </c>
    </row>
    <row r="532" spans="2:66" ht="12.95" customHeight="1">
      <c r="B532" s="1432"/>
      <c r="C532" s="1433"/>
      <c r="D532" s="1433"/>
      <c r="E532" s="1433"/>
      <c r="F532" s="1433"/>
      <c r="G532" s="1433"/>
      <c r="H532" s="1434"/>
      <c r="I532" t="s">
        <v>421</v>
      </c>
      <c r="AC532" s="1402" t="s">
        <v>591</v>
      </c>
      <c r="AD532" s="1392"/>
      <c r="AE532" s="1392"/>
      <c r="AF532" s="1392"/>
      <c r="AG532" s="13" t="s">
        <v>403</v>
      </c>
      <c r="AH532" s="1417"/>
      <c r="AI532" s="1417"/>
      <c r="AJ532" s="1417"/>
      <c r="AK532" s="1418"/>
      <c r="AZ532" s="3"/>
      <c r="BA532" s="3"/>
      <c r="BB532" s="3"/>
      <c r="BC532" s="3"/>
      <c r="BD532" s="3"/>
      <c r="BE532" s="3"/>
      <c r="BF532" s="3"/>
      <c r="BG532" s="3"/>
      <c r="BH532" s="3"/>
      <c r="BI532" s="3"/>
      <c r="BJ532" s="3"/>
      <c r="BK532" s="3"/>
      <c r="BL532" s="3"/>
      <c r="BM532" s="3"/>
      <c r="BN532" s="3" t="s">
        <v>2072</v>
      </c>
    </row>
    <row r="533" spans="2:66" ht="12.95" customHeight="1">
      <c r="B533" s="1432"/>
      <c r="C533" s="1433"/>
      <c r="D533" s="1433"/>
      <c r="E533" s="1433"/>
      <c r="F533" s="1433"/>
      <c r="G533" s="1433"/>
      <c r="H533" s="1434"/>
      <c r="I533" s="48" t="s">
        <v>422</v>
      </c>
      <c r="J533" s="48"/>
      <c r="K533" s="48"/>
      <c r="L533" s="48"/>
      <c r="M533" s="48"/>
      <c r="N533" s="48"/>
      <c r="O533" s="48"/>
      <c r="P533" s="48"/>
      <c r="Q533" s="48"/>
      <c r="R533" s="48"/>
      <c r="S533" s="48"/>
      <c r="T533" s="48"/>
      <c r="U533" s="48"/>
      <c r="V533" s="48"/>
      <c r="W533" s="48"/>
      <c r="X533" s="48"/>
      <c r="Y533" s="48"/>
      <c r="Z533" s="48"/>
      <c r="AA533" s="48"/>
      <c r="AB533" s="48"/>
      <c r="AC533" s="1402" t="s">
        <v>591</v>
      </c>
      <c r="AD533" s="1392"/>
      <c r="AE533" s="1392"/>
      <c r="AF533" s="1392"/>
      <c r="AG533" s="38" t="s">
        <v>403</v>
      </c>
      <c r="AH533" s="1417"/>
      <c r="AI533" s="1417"/>
      <c r="AJ533" s="1417"/>
      <c r="AK533" s="1418"/>
      <c r="AZ533" s="3"/>
      <c r="BA533" s="3"/>
      <c r="BB533" s="3"/>
      <c r="BC533" s="3"/>
      <c r="BD533" s="3"/>
      <c r="BE533" s="3"/>
      <c r="BF533" s="3"/>
      <c r="BG533" s="3"/>
      <c r="BH533" s="3"/>
      <c r="BI533" s="3"/>
      <c r="BJ533" s="3"/>
      <c r="BK533" s="3"/>
      <c r="BL533" s="3"/>
      <c r="BM533" s="3"/>
      <c r="BN533" s="3" t="s">
        <v>2073</v>
      </c>
    </row>
    <row r="534" spans="2:66" ht="12.95" customHeight="1">
      <c r="B534" s="1432"/>
      <c r="C534" s="1433"/>
      <c r="D534" s="1433"/>
      <c r="E534" s="1433"/>
      <c r="F534" s="1433"/>
      <c r="G534" s="1433"/>
      <c r="H534" s="1434"/>
      <c r="I534" s="42" t="s">
        <v>423</v>
      </c>
      <c r="J534" s="42"/>
      <c r="K534" s="42"/>
      <c r="L534" s="42"/>
      <c r="M534" s="42"/>
      <c r="N534" s="42"/>
      <c r="O534" s="1460" t="s">
        <v>334</v>
      </c>
      <c r="P534" s="1461"/>
      <c r="Q534" s="1461"/>
      <c r="R534" s="1461"/>
      <c r="S534" s="1461"/>
      <c r="T534" s="1461"/>
      <c r="U534" s="1461"/>
      <c r="V534" s="1461"/>
      <c r="W534" s="1461"/>
      <c r="X534" s="1461"/>
      <c r="Y534" s="1461"/>
      <c r="Z534" s="1461"/>
      <c r="AA534" s="1461"/>
      <c r="AC534" s="1402" t="s">
        <v>591</v>
      </c>
      <c r="AD534" s="1392"/>
      <c r="AE534" s="1392"/>
      <c r="AF534" s="1392"/>
      <c r="AG534" s="13" t="s">
        <v>403</v>
      </c>
      <c r="AH534" s="1417"/>
      <c r="AI534" s="1417"/>
      <c r="AJ534" s="1417"/>
      <c r="AK534" s="1418"/>
      <c r="AZ534" s="3"/>
      <c r="BA534" s="3"/>
      <c r="BB534" s="3"/>
      <c r="BC534" s="3"/>
      <c r="BD534" s="3"/>
      <c r="BE534" s="3"/>
      <c r="BF534" s="3"/>
      <c r="BG534" s="3"/>
      <c r="BH534" s="3"/>
      <c r="BI534" s="3"/>
      <c r="BJ534" s="3"/>
      <c r="BK534" s="3"/>
      <c r="BL534" s="3"/>
      <c r="BM534" s="3"/>
      <c r="BN534" s="3" t="s">
        <v>2074</v>
      </c>
    </row>
    <row r="535" spans="2:66" ht="12.95" customHeight="1">
      <c r="B535" s="1432"/>
      <c r="C535" s="1433"/>
      <c r="D535" s="1433"/>
      <c r="E535" s="1433"/>
      <c r="F535" s="1433"/>
      <c r="G535" s="1433"/>
      <c r="H535" s="1434"/>
      <c r="I535" t="s">
        <v>421</v>
      </c>
      <c r="AC535" s="1402" t="s">
        <v>591</v>
      </c>
      <c r="AD535" s="1392"/>
      <c r="AE535" s="1392"/>
      <c r="AF535" s="1392"/>
      <c r="AG535" s="13" t="s">
        <v>403</v>
      </c>
      <c r="AH535" s="1417"/>
      <c r="AI535" s="1417"/>
      <c r="AJ535" s="1417"/>
      <c r="AK535" s="1418"/>
      <c r="AZ535" s="3"/>
      <c r="BA535" s="3"/>
      <c r="BB535" s="3"/>
      <c r="BC535" s="3"/>
      <c r="BD535" s="3"/>
      <c r="BE535" s="3"/>
      <c r="BF535" s="3"/>
      <c r="BG535" s="3"/>
      <c r="BH535" s="3"/>
      <c r="BI535" s="3"/>
      <c r="BJ535" s="3"/>
      <c r="BK535" s="3"/>
      <c r="BL535" s="3"/>
      <c r="BM535" s="3"/>
      <c r="BN535" s="3" t="s">
        <v>2075</v>
      </c>
    </row>
    <row r="536" spans="2:66" ht="12.95" customHeight="1">
      <c r="B536" s="1432"/>
      <c r="C536" s="1433"/>
      <c r="D536" s="1433"/>
      <c r="E536" s="1433"/>
      <c r="F536" s="1433"/>
      <c r="G536" s="1433"/>
      <c r="H536" s="1434"/>
      <c r="I536" s="48" t="s">
        <v>422</v>
      </c>
      <c r="J536" s="48"/>
      <c r="K536" s="48"/>
      <c r="L536" s="48"/>
      <c r="M536" s="48"/>
      <c r="N536" s="48"/>
      <c r="O536" s="48"/>
      <c r="P536" s="48"/>
      <c r="Q536" s="48"/>
      <c r="R536" s="48"/>
      <c r="S536" s="48"/>
      <c r="T536" s="48"/>
      <c r="U536" s="48"/>
      <c r="V536" s="48"/>
      <c r="W536" s="48"/>
      <c r="X536" s="48"/>
      <c r="Y536" s="48"/>
      <c r="Z536" s="48"/>
      <c r="AA536" s="48"/>
      <c r="AB536" s="48"/>
      <c r="AC536" s="1402" t="s">
        <v>591</v>
      </c>
      <c r="AD536" s="1392"/>
      <c r="AE536" s="1392"/>
      <c r="AF536" s="1392"/>
      <c r="AG536" s="38" t="s">
        <v>403</v>
      </c>
      <c r="AH536" s="1417"/>
      <c r="AI536" s="1417"/>
      <c r="AJ536" s="1417"/>
      <c r="AK536" s="1418"/>
      <c r="AZ536" s="3"/>
      <c r="BA536" s="3"/>
      <c r="BB536" s="3"/>
      <c r="BC536" s="3"/>
      <c r="BD536" s="3"/>
      <c r="BE536" s="3"/>
      <c r="BF536" s="3"/>
      <c r="BG536" s="3"/>
      <c r="BH536" s="3"/>
      <c r="BI536" s="3"/>
      <c r="BJ536" s="3"/>
      <c r="BK536" s="3"/>
      <c r="BL536" s="3"/>
      <c r="BM536" s="3"/>
      <c r="BN536" s="3" t="s">
        <v>2076</v>
      </c>
    </row>
    <row r="537" spans="2:66" ht="12.95" customHeight="1">
      <c r="B537" s="1432"/>
      <c r="C537" s="1433"/>
      <c r="D537" s="1433"/>
      <c r="E537" s="1433"/>
      <c r="F537" s="1433"/>
      <c r="G537" s="1433"/>
      <c r="H537" s="1434"/>
      <c r="I537" s="42" t="s">
        <v>423</v>
      </c>
      <c r="J537" s="42"/>
      <c r="K537" s="42"/>
      <c r="L537" s="42"/>
      <c r="M537" s="42"/>
      <c r="N537" s="42"/>
      <c r="O537" s="1460" t="s">
        <v>334</v>
      </c>
      <c r="P537" s="1461"/>
      <c r="Q537" s="1461"/>
      <c r="R537" s="1461"/>
      <c r="S537" s="1461"/>
      <c r="T537" s="1461"/>
      <c r="U537" s="1461"/>
      <c r="V537" s="1461"/>
      <c r="W537" s="1461"/>
      <c r="X537" s="1461"/>
      <c r="Y537" s="1461"/>
      <c r="Z537" s="1461"/>
      <c r="AA537" s="1461"/>
      <c r="AC537" s="1402" t="s">
        <v>591</v>
      </c>
      <c r="AD537" s="1392"/>
      <c r="AE537" s="1392"/>
      <c r="AF537" s="1392"/>
      <c r="AG537" s="13" t="s">
        <v>403</v>
      </c>
      <c r="AH537" s="1417"/>
      <c r="AI537" s="1417"/>
      <c r="AJ537" s="1417"/>
      <c r="AK537" s="1418"/>
      <c r="AZ537" s="3"/>
      <c r="BA537" s="3"/>
      <c r="BB537" s="3"/>
      <c r="BC537" s="3"/>
      <c r="BD537" s="3"/>
      <c r="BE537" s="3"/>
      <c r="BF537" s="3"/>
      <c r="BG537" s="3"/>
      <c r="BH537" s="3"/>
      <c r="BI537" s="3"/>
      <c r="BJ537" s="3"/>
      <c r="BK537" s="3"/>
      <c r="BL537" s="3"/>
      <c r="BM537" s="3"/>
      <c r="BN537" s="3" t="s">
        <v>2077</v>
      </c>
    </row>
    <row r="538" spans="2:66" ht="12.95" customHeight="1">
      <c r="B538" s="1432"/>
      <c r="C538" s="1433"/>
      <c r="D538" s="1433"/>
      <c r="E538" s="1433"/>
      <c r="F538" s="1433"/>
      <c r="G538" s="1433"/>
      <c r="H538" s="1434"/>
      <c r="I538" t="s">
        <v>421</v>
      </c>
      <c r="AC538" s="1402" t="s">
        <v>591</v>
      </c>
      <c r="AD538" s="1392"/>
      <c r="AE538" s="1392"/>
      <c r="AF538" s="1392"/>
      <c r="AG538" s="13" t="s">
        <v>403</v>
      </c>
      <c r="AH538" s="1417"/>
      <c r="AI538" s="1417"/>
      <c r="AJ538" s="1417"/>
      <c r="AK538" s="1418"/>
      <c r="AZ538" s="3"/>
      <c r="BA538" s="3"/>
      <c r="BB538" s="3"/>
      <c r="BC538" s="3"/>
      <c r="BD538" s="3"/>
      <c r="BE538" s="3"/>
      <c r="BF538" s="3"/>
      <c r="BG538" s="3"/>
      <c r="BH538" s="3"/>
      <c r="BI538" s="3"/>
      <c r="BJ538" s="3"/>
      <c r="BK538" s="3"/>
      <c r="BL538" s="3"/>
      <c r="BM538" s="3"/>
      <c r="BN538" s="3" t="s">
        <v>2078</v>
      </c>
    </row>
    <row r="539" spans="2:66" ht="12.95" customHeight="1">
      <c r="B539" s="1432"/>
      <c r="C539" s="1433"/>
      <c r="D539" s="1433"/>
      <c r="E539" s="1433"/>
      <c r="F539" s="1433"/>
      <c r="G539" s="1433"/>
      <c r="H539" s="1434"/>
      <c r="I539" s="48" t="s">
        <v>422</v>
      </c>
      <c r="J539" s="48"/>
      <c r="K539" s="48"/>
      <c r="L539" s="48"/>
      <c r="M539" s="48"/>
      <c r="N539" s="48"/>
      <c r="O539" s="48"/>
      <c r="P539" s="48"/>
      <c r="Q539" s="48"/>
      <c r="R539" s="48"/>
      <c r="S539" s="48"/>
      <c r="T539" s="48"/>
      <c r="U539" s="48"/>
      <c r="V539" s="48"/>
      <c r="W539" s="48"/>
      <c r="X539" s="48"/>
      <c r="Y539" s="48"/>
      <c r="Z539" s="48"/>
      <c r="AA539" s="48"/>
      <c r="AB539" s="48"/>
      <c r="AC539" s="1402" t="s">
        <v>591</v>
      </c>
      <c r="AD539" s="1392"/>
      <c r="AE539" s="1392"/>
      <c r="AF539" s="1392"/>
      <c r="AG539" s="38" t="s">
        <v>403</v>
      </c>
      <c r="AH539" s="1417"/>
      <c r="AI539" s="1417"/>
      <c r="AJ539" s="1417"/>
      <c r="AK539" s="1418"/>
      <c r="AZ539" s="3"/>
      <c r="BA539" s="3"/>
      <c r="BB539" s="3"/>
      <c r="BC539" s="3"/>
      <c r="BD539" s="3"/>
      <c r="BE539" s="3"/>
      <c r="BF539" s="3"/>
      <c r="BG539" s="3"/>
      <c r="BH539" s="3"/>
      <c r="BI539" s="3"/>
      <c r="BJ539" s="3"/>
      <c r="BK539" s="3"/>
      <c r="BL539" s="3"/>
      <c r="BM539" s="3"/>
      <c r="BN539" s="3" t="s">
        <v>2079</v>
      </c>
    </row>
    <row r="540" spans="2:66" ht="12.95" customHeight="1">
      <c r="B540" s="1432"/>
      <c r="C540" s="1433"/>
      <c r="D540" s="1433"/>
      <c r="E540" s="1433"/>
      <c r="F540" s="1433"/>
      <c r="G540" s="1433"/>
      <c r="H540" s="1434"/>
      <c r="I540" s="42" t="s">
        <v>423</v>
      </c>
      <c r="J540" s="42"/>
      <c r="K540" s="42"/>
      <c r="L540" s="42"/>
      <c r="M540" s="42"/>
      <c r="N540" s="42"/>
      <c r="O540" s="1460" t="s">
        <v>334</v>
      </c>
      <c r="P540" s="1461"/>
      <c r="Q540" s="1461"/>
      <c r="R540" s="1461"/>
      <c r="S540" s="1461"/>
      <c r="T540" s="1461"/>
      <c r="U540" s="1461"/>
      <c r="V540" s="1461"/>
      <c r="W540" s="1461"/>
      <c r="X540" s="1461"/>
      <c r="Y540" s="1461"/>
      <c r="Z540" s="1461"/>
      <c r="AA540" s="1461"/>
      <c r="AC540" s="1402" t="s">
        <v>591</v>
      </c>
      <c r="AD540" s="1392"/>
      <c r="AE540" s="1392"/>
      <c r="AF540" s="1392"/>
      <c r="AG540" s="13" t="s">
        <v>403</v>
      </c>
      <c r="AH540" s="1417"/>
      <c r="AI540" s="1417"/>
      <c r="AJ540" s="1417"/>
      <c r="AK540" s="1418"/>
      <c r="AZ540" s="3"/>
      <c r="BA540" s="3"/>
      <c r="BB540" s="3"/>
      <c r="BC540" s="3"/>
      <c r="BD540" s="3"/>
      <c r="BE540" s="3"/>
      <c r="BF540" s="3"/>
      <c r="BG540" s="3"/>
      <c r="BH540" s="3"/>
      <c r="BI540" s="3"/>
      <c r="BJ540" s="3"/>
      <c r="BK540" s="3"/>
      <c r="BL540" s="3"/>
      <c r="BM540" s="3"/>
      <c r="BN540" s="3" t="s">
        <v>2080</v>
      </c>
    </row>
    <row r="541" spans="2:66" ht="12.95" customHeight="1">
      <c r="B541" s="1432"/>
      <c r="C541" s="1433"/>
      <c r="D541" s="1433"/>
      <c r="E541" s="1433"/>
      <c r="F541" s="1433"/>
      <c r="G541" s="1433"/>
      <c r="H541" s="1434"/>
      <c r="I541" t="s">
        <v>421</v>
      </c>
      <c r="AC541" s="1402" t="s">
        <v>591</v>
      </c>
      <c r="AD541" s="1392"/>
      <c r="AE541" s="1392"/>
      <c r="AF541" s="1392"/>
      <c r="AG541" s="38" t="s">
        <v>403</v>
      </c>
      <c r="AH541" s="1417"/>
      <c r="AI541" s="1417"/>
      <c r="AJ541" s="1417"/>
      <c r="AK541" s="1418"/>
      <c r="AZ541" s="3"/>
      <c r="BA541" s="3"/>
      <c r="BB541" s="3"/>
      <c r="BC541" s="3"/>
      <c r="BD541" s="3"/>
      <c r="BE541" s="3"/>
      <c r="BF541" s="3"/>
      <c r="BG541" s="3"/>
      <c r="BH541" s="3"/>
      <c r="BI541" s="3"/>
      <c r="BJ541" s="3"/>
      <c r="BK541" s="3"/>
      <c r="BL541" s="3"/>
      <c r="BM541" s="3"/>
      <c r="BN541" s="3" t="s">
        <v>2081</v>
      </c>
    </row>
    <row r="542" spans="2:66" ht="12.95" customHeight="1">
      <c r="B542" s="1432"/>
      <c r="C542" s="1433"/>
      <c r="D542" s="1433"/>
      <c r="E542" s="1433"/>
      <c r="F542" s="1433"/>
      <c r="G542" s="1433"/>
      <c r="H542" s="1434"/>
      <c r="I542" s="48" t="s">
        <v>422</v>
      </c>
      <c r="J542" s="48"/>
      <c r="K542" s="48"/>
      <c r="L542" s="48"/>
      <c r="M542" s="48"/>
      <c r="N542" s="48"/>
      <c r="O542" s="48"/>
      <c r="P542" s="48"/>
      <c r="Q542" s="48"/>
      <c r="R542" s="48"/>
      <c r="S542" s="48"/>
      <c r="T542" s="48"/>
      <c r="U542" s="48"/>
      <c r="V542" s="48"/>
      <c r="W542" s="48"/>
      <c r="X542" s="48"/>
      <c r="Y542" s="48"/>
      <c r="Z542" s="48"/>
      <c r="AA542" s="48"/>
      <c r="AB542" s="48"/>
      <c r="AC542" s="1402" t="s">
        <v>591</v>
      </c>
      <c r="AD542" s="1392"/>
      <c r="AE542" s="1392"/>
      <c r="AF542" s="1392"/>
      <c r="AG542" s="13" t="s">
        <v>403</v>
      </c>
      <c r="AH542" s="1417"/>
      <c r="AI542" s="1417"/>
      <c r="AJ542" s="1417"/>
      <c r="AK542" s="1418"/>
      <c r="AZ542" s="3"/>
      <c r="BA542" s="3"/>
      <c r="BB542" s="3"/>
      <c r="BC542" s="3"/>
      <c r="BD542" s="3"/>
      <c r="BE542" s="3"/>
      <c r="BF542" s="3"/>
      <c r="BG542" s="3"/>
      <c r="BH542" s="3"/>
      <c r="BI542" s="3"/>
      <c r="BJ542" s="3"/>
      <c r="BK542" s="3"/>
      <c r="BL542" s="3"/>
      <c r="BM542" s="3"/>
      <c r="BN542" s="3" t="s">
        <v>2082</v>
      </c>
    </row>
    <row r="543" spans="2:66" ht="12.95" customHeight="1">
      <c r="B543" s="1432"/>
      <c r="C543" s="1433"/>
      <c r="D543" s="1433"/>
      <c r="E543" s="1433"/>
      <c r="F543" s="1433"/>
      <c r="G543" s="1433"/>
      <c r="H543" s="1434"/>
      <c r="I543" s="42" t="s">
        <v>423</v>
      </c>
      <c r="J543" s="42"/>
      <c r="K543" s="42"/>
      <c r="L543" s="42"/>
      <c r="M543" s="42"/>
      <c r="N543" s="42"/>
      <c r="O543" s="1460" t="s">
        <v>334</v>
      </c>
      <c r="P543" s="1461"/>
      <c r="Q543" s="1461"/>
      <c r="R543" s="1461"/>
      <c r="S543" s="1461"/>
      <c r="T543" s="1461"/>
      <c r="U543" s="1461"/>
      <c r="V543" s="1461"/>
      <c r="W543" s="1461"/>
      <c r="X543" s="1461"/>
      <c r="Y543" s="1461"/>
      <c r="Z543" s="1461"/>
      <c r="AA543" s="1461"/>
      <c r="AC543" s="1402" t="s">
        <v>591</v>
      </c>
      <c r="AD543" s="1392"/>
      <c r="AE543" s="1392"/>
      <c r="AF543" s="1392"/>
      <c r="AG543" s="38" t="s">
        <v>403</v>
      </c>
      <c r="AH543" s="1417"/>
      <c r="AI543" s="1417"/>
      <c r="AJ543" s="1417"/>
      <c r="AK543" s="1418"/>
      <c r="AZ543" s="3"/>
      <c r="BA543" s="3"/>
      <c r="BB543" s="3"/>
      <c r="BC543" s="3"/>
      <c r="BD543" s="3"/>
      <c r="BE543" s="3"/>
      <c r="BF543" s="3"/>
      <c r="BG543" s="3"/>
      <c r="BH543" s="3"/>
      <c r="BI543" s="3"/>
      <c r="BJ543" s="3"/>
      <c r="BK543" s="3"/>
      <c r="BL543" s="3"/>
      <c r="BM543" s="3"/>
      <c r="BN543" s="3" t="s">
        <v>2083</v>
      </c>
    </row>
    <row r="544" spans="2:66" ht="12.95" customHeight="1">
      <c r="B544" s="1432"/>
      <c r="C544" s="1433"/>
      <c r="D544" s="1433"/>
      <c r="E544" s="1433"/>
      <c r="F544" s="1433"/>
      <c r="G544" s="1433"/>
      <c r="H544" s="1434"/>
      <c r="I544" t="s">
        <v>421</v>
      </c>
      <c r="AC544" s="1402" t="s">
        <v>591</v>
      </c>
      <c r="AD544" s="1392"/>
      <c r="AE544" s="1392"/>
      <c r="AF544" s="1392"/>
      <c r="AG544" s="13" t="s">
        <v>403</v>
      </c>
      <c r="AH544" s="1417"/>
      <c r="AI544" s="1417"/>
      <c r="AJ544" s="1417"/>
      <c r="AK544" s="1418"/>
      <c r="AZ544" s="3"/>
      <c r="BA544" s="3"/>
      <c r="BB544" s="3"/>
      <c r="BC544" s="3"/>
      <c r="BD544" s="3"/>
      <c r="BE544" s="3"/>
      <c r="BF544" s="3"/>
      <c r="BG544" s="3"/>
      <c r="BH544" s="3"/>
      <c r="BI544" s="3"/>
      <c r="BJ544" s="3"/>
      <c r="BK544" s="3"/>
      <c r="BL544" s="3"/>
      <c r="BM544" s="3"/>
      <c r="BN544" s="3" t="s">
        <v>2084</v>
      </c>
    </row>
    <row r="545" spans="1:66" ht="12.95" customHeight="1">
      <c r="B545" s="1432"/>
      <c r="C545" s="1433"/>
      <c r="D545" s="1433"/>
      <c r="E545" s="1433"/>
      <c r="F545" s="1433"/>
      <c r="G545" s="1433"/>
      <c r="H545" s="1434"/>
      <c r="I545" s="48" t="s">
        <v>422</v>
      </c>
      <c r="J545" s="48"/>
      <c r="K545" s="48"/>
      <c r="L545" s="48"/>
      <c r="M545" s="48"/>
      <c r="N545" s="48"/>
      <c r="O545" s="48"/>
      <c r="P545" s="48"/>
      <c r="Q545" s="48"/>
      <c r="R545" s="48"/>
      <c r="S545" s="48"/>
      <c r="T545" s="48"/>
      <c r="U545" s="48"/>
      <c r="V545" s="48"/>
      <c r="W545" s="48"/>
      <c r="X545" s="48"/>
      <c r="Y545" s="48"/>
      <c r="Z545" s="48"/>
      <c r="AA545" s="48"/>
      <c r="AB545" s="48"/>
      <c r="AC545" s="1402" t="s">
        <v>591</v>
      </c>
      <c r="AD545" s="1392"/>
      <c r="AE545" s="1392"/>
      <c r="AF545" s="1392"/>
      <c r="AG545" s="38" t="s">
        <v>403</v>
      </c>
      <c r="AH545" s="1417"/>
      <c r="AI545" s="1417"/>
      <c r="AJ545" s="1417"/>
      <c r="AK545" s="1418"/>
      <c r="AZ545" s="3"/>
      <c r="BA545" s="3"/>
      <c r="BB545" s="3"/>
      <c r="BC545" s="3"/>
      <c r="BD545" s="3"/>
      <c r="BE545" s="3"/>
      <c r="BF545" s="3"/>
      <c r="BG545" s="3"/>
      <c r="BH545" s="3"/>
      <c r="BI545" s="3"/>
      <c r="BJ545" s="3"/>
      <c r="BK545" s="3"/>
      <c r="BL545" s="3"/>
      <c r="BM545" s="3"/>
      <c r="BN545" s="3" t="s">
        <v>2085</v>
      </c>
    </row>
    <row r="546" spans="1:66" ht="12.95" customHeight="1">
      <c r="B546" s="1432"/>
      <c r="C546" s="1433"/>
      <c r="D546" s="1433"/>
      <c r="E546" s="1433"/>
      <c r="F546" s="1433"/>
      <c r="G546" s="1433"/>
      <c r="H546" s="1434"/>
      <c r="I546" s="42" t="s">
        <v>562</v>
      </c>
      <c r="J546" s="42"/>
      <c r="K546" s="42"/>
      <c r="L546" s="42"/>
      <c r="M546" s="42"/>
      <c r="N546" s="42"/>
      <c r="O546" s="42"/>
      <c r="P546" s="42"/>
      <c r="Q546" s="42"/>
      <c r="R546" s="42"/>
      <c r="S546" s="42"/>
      <c r="T546" s="42"/>
      <c r="U546" s="42"/>
      <c r="V546" s="42"/>
      <c r="W546" s="42"/>
      <c r="AC546" s="1402">
        <v>10</v>
      </c>
      <c r="AD546" s="1392"/>
      <c r="AE546" s="1392"/>
      <c r="AF546" s="1392"/>
      <c r="AG546" s="38" t="s">
        <v>403</v>
      </c>
      <c r="AH546" s="1417">
        <v>2026</v>
      </c>
      <c r="AI546" s="1417"/>
      <c r="AJ546" s="1417"/>
      <c r="AK546" s="1418"/>
      <c r="AZ546" s="3"/>
      <c r="BA546" s="3"/>
      <c r="BB546" s="3"/>
      <c r="BC546" s="3"/>
      <c r="BD546" s="3"/>
      <c r="BE546" s="3"/>
      <c r="BF546" s="3"/>
      <c r="BG546" s="3"/>
      <c r="BH546" s="3"/>
      <c r="BI546" s="3"/>
      <c r="BJ546" s="3"/>
      <c r="BK546" s="3"/>
      <c r="BL546" s="3"/>
      <c r="BM546" s="3"/>
      <c r="BN546" s="3"/>
    </row>
    <row r="547" spans="1:66" ht="12.95" customHeight="1">
      <c r="B547" s="1432"/>
      <c r="C547" s="1433"/>
      <c r="D547" s="1433"/>
      <c r="E547" s="1433"/>
      <c r="F547" s="1433"/>
      <c r="G547" s="1433"/>
      <c r="H547" s="1434"/>
      <c r="I547" t="s">
        <v>563</v>
      </c>
      <c r="AC547" s="1402">
        <v>10</v>
      </c>
      <c r="AD547" s="1392"/>
      <c r="AE547" s="1392"/>
      <c r="AF547" s="1392"/>
      <c r="AG547" s="13" t="s">
        <v>403</v>
      </c>
      <c r="AH547" s="1417">
        <v>2026</v>
      </c>
      <c r="AI547" s="1417"/>
      <c r="AJ547" s="1417"/>
      <c r="AK547" s="1418"/>
      <c r="AZ547" s="3"/>
      <c r="BA547" s="3"/>
      <c r="BB547" s="3"/>
      <c r="BC547" s="3"/>
      <c r="BD547" s="3"/>
      <c r="BE547" s="3"/>
      <c r="BF547" s="3"/>
      <c r="BG547" s="3"/>
      <c r="BH547" s="3"/>
      <c r="BI547" s="3"/>
      <c r="BJ547" s="3"/>
      <c r="BK547" s="3"/>
      <c r="BL547" s="3"/>
      <c r="BM547" s="3"/>
      <c r="BN547" s="3"/>
    </row>
    <row r="548" spans="1:66" ht="12.95" customHeight="1">
      <c r="B548" s="1432"/>
      <c r="C548" s="1433"/>
      <c r="D548" s="1433"/>
      <c r="E548" s="1433"/>
      <c r="F548" s="1433"/>
      <c r="G548" s="1433"/>
      <c r="H548" s="1434"/>
      <c r="I548" t="s">
        <v>564</v>
      </c>
      <c r="AC548" s="1402">
        <v>10</v>
      </c>
      <c r="AD548" s="1392"/>
      <c r="AE548" s="1392"/>
      <c r="AF548" s="1392"/>
      <c r="AG548" s="38" t="s">
        <v>403</v>
      </c>
      <c r="AH548" s="1417">
        <v>2027</v>
      </c>
      <c r="AI548" s="1417"/>
      <c r="AJ548" s="1417"/>
      <c r="AK548" s="1418"/>
      <c r="AZ548" s="3"/>
      <c r="BA548" s="3"/>
      <c r="BB548" s="3"/>
      <c r="BC548" s="3"/>
      <c r="BD548" s="3"/>
      <c r="BE548" s="3"/>
      <c r="BF548" s="3"/>
      <c r="BG548" s="3"/>
      <c r="BH548" s="3"/>
      <c r="BI548" s="3"/>
      <c r="BJ548" s="3"/>
      <c r="BK548" s="3"/>
      <c r="BL548" s="3"/>
      <c r="BM548" s="3"/>
      <c r="BN548" s="3"/>
    </row>
    <row r="549" spans="1:66" ht="12.95" customHeight="1">
      <c r="B549" s="1432"/>
      <c r="C549" s="1433"/>
      <c r="D549" s="1433"/>
      <c r="E549" s="1433"/>
      <c r="F549" s="1433"/>
      <c r="G549" s="1433"/>
      <c r="H549" s="1434"/>
      <c r="I549" t="s">
        <v>565</v>
      </c>
      <c r="AC549" s="1402">
        <v>10</v>
      </c>
      <c r="AD549" s="1392"/>
      <c r="AE549" s="1392"/>
      <c r="AF549" s="1392"/>
      <c r="AG549" s="38" t="s">
        <v>403</v>
      </c>
      <c r="AH549" s="1417">
        <v>2027</v>
      </c>
      <c r="AI549" s="1417"/>
      <c r="AJ549" s="1417"/>
      <c r="AK549" s="1418"/>
      <c r="AZ549" s="3"/>
      <c r="BA549" s="3"/>
      <c r="BB549" s="3"/>
      <c r="BC549" s="3"/>
      <c r="BD549" s="3"/>
      <c r="BE549" s="3"/>
      <c r="BF549" s="3"/>
      <c r="BG549" s="3"/>
      <c r="BH549" s="3"/>
      <c r="BI549" s="3"/>
      <c r="BJ549" s="3"/>
      <c r="BK549" s="3"/>
      <c r="BL549" s="3"/>
      <c r="BM549" s="3"/>
      <c r="BN549" s="3"/>
    </row>
    <row r="550" spans="1:66" ht="12.95" customHeight="1">
      <c r="B550" s="1435"/>
      <c r="C550" s="1436"/>
      <c r="D550" s="1436"/>
      <c r="E550" s="1436"/>
      <c r="F550" s="1436"/>
      <c r="G550" s="1436"/>
      <c r="H550" s="1437"/>
      <c r="I550" s="48" t="s">
        <v>451</v>
      </c>
      <c r="J550" s="48"/>
      <c r="K550" s="48"/>
      <c r="L550" s="48"/>
      <c r="M550" s="48"/>
      <c r="N550" s="48"/>
      <c r="O550" s="48"/>
      <c r="P550" s="48"/>
      <c r="Q550" s="48"/>
      <c r="R550" s="48"/>
      <c r="S550" s="48"/>
      <c r="T550" s="48"/>
      <c r="U550" s="48"/>
      <c r="V550" s="48"/>
      <c r="W550" s="48"/>
      <c r="X550" s="48"/>
      <c r="Y550" s="48"/>
      <c r="Z550" s="48"/>
      <c r="AA550" s="48"/>
      <c r="AB550" s="48"/>
      <c r="AC550" s="1402">
        <v>1</v>
      </c>
      <c r="AD550" s="1392"/>
      <c r="AE550" s="1392"/>
      <c r="AF550" s="1392"/>
      <c r="AG550" s="38" t="s">
        <v>403</v>
      </c>
      <c r="AH550" s="1417">
        <v>2028</v>
      </c>
      <c r="AI550" s="1417"/>
      <c r="AJ550" s="1417"/>
      <c r="AK550" s="1418"/>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278" t="s">
        <v>543</v>
      </c>
      <c r="B552" s="1278"/>
      <c r="C552" s="1278"/>
      <c r="D552" s="1278"/>
      <c r="E552" s="1278"/>
      <c r="F552" s="1278"/>
      <c r="G552" s="1278"/>
      <c r="H552" s="1278"/>
      <c r="I552" s="1278"/>
      <c r="J552" s="1278"/>
      <c r="K552" s="1278"/>
      <c r="L552" s="1278"/>
      <c r="M552" s="1278"/>
      <c r="N552" s="1278"/>
      <c r="O552" s="1278"/>
      <c r="P552" s="1278"/>
      <c r="Q552" s="1278"/>
      <c r="R552" s="1278"/>
      <c r="S552" s="1278"/>
      <c r="T552" s="1278"/>
      <c r="U552" s="1278"/>
      <c r="V552" s="1278"/>
      <c r="W552" s="1278"/>
      <c r="X552" s="1278"/>
      <c r="Y552" s="1278"/>
      <c r="Z552" s="1278"/>
      <c r="AA552" s="1278"/>
      <c r="AB552" s="1278"/>
      <c r="AC552" s="1278"/>
      <c r="AD552" s="1278"/>
      <c r="AE552" s="1278"/>
      <c r="AF552" s="1278"/>
      <c r="AG552" s="1278"/>
      <c r="AH552" s="1278"/>
      <c r="AI552" s="1278"/>
      <c r="AJ552" s="1278"/>
      <c r="AK552" s="1278"/>
      <c r="AL552" s="1278"/>
      <c r="AM552" s="1278"/>
      <c r="AN552" s="1278"/>
      <c r="AO552" s="1278"/>
      <c r="AP552" s="1278"/>
      <c r="AQ552" s="1278"/>
      <c r="AR552" s="1278"/>
      <c r="AS552" s="1278"/>
      <c r="AT552" s="1278"/>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278"/>
      <c r="B553" s="1278"/>
      <c r="C553" s="1278"/>
      <c r="D553" s="1278"/>
      <c r="E553" s="1278"/>
      <c r="F553" s="1278"/>
      <c r="G553" s="1278"/>
      <c r="H553" s="1278"/>
      <c r="I553" s="1278"/>
      <c r="J553" s="1278"/>
      <c r="K553" s="1278"/>
      <c r="L553" s="1278"/>
      <c r="M553" s="1278"/>
      <c r="N553" s="1278"/>
      <c r="O553" s="1278"/>
      <c r="P553" s="1278"/>
      <c r="Q553" s="1278"/>
      <c r="R553" s="1278"/>
      <c r="S553" s="1278"/>
      <c r="T553" s="1278"/>
      <c r="U553" s="1278"/>
      <c r="V553" s="1278"/>
      <c r="W553" s="1278"/>
      <c r="X553" s="1278"/>
      <c r="Y553" s="1278"/>
      <c r="Z553" s="1278"/>
      <c r="AA553" s="1278"/>
      <c r="AB553" s="1278"/>
      <c r="AC553" s="1278"/>
      <c r="AD553" s="1278"/>
      <c r="AE553" s="1278"/>
      <c r="AF553" s="1278"/>
      <c r="AG553" s="1278"/>
      <c r="AH553" s="1278"/>
      <c r="AI553" s="1278"/>
      <c r="AJ553" s="1278"/>
      <c r="AK553" s="1278"/>
      <c r="AL553" s="1278"/>
      <c r="AM553" s="1278"/>
      <c r="AN553" s="1278"/>
      <c r="AO553" s="1278"/>
      <c r="AP553" s="1278"/>
      <c r="AQ553" s="1278"/>
      <c r="AR553" s="1278"/>
      <c r="AS553" s="1278"/>
      <c r="AT553" s="1278"/>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2057</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429" t="s">
        <v>2059</v>
      </c>
      <c r="C559" s="1430"/>
      <c r="D559" s="1430"/>
      <c r="E559" s="1430"/>
      <c r="F559" s="1430"/>
      <c r="G559" s="1430"/>
      <c r="H559" s="1430"/>
      <c r="I559" s="1430"/>
      <c r="J559" s="1430"/>
      <c r="K559" s="1430"/>
      <c r="L559" s="1431"/>
      <c r="M559" s="1429" t="s">
        <v>2060</v>
      </c>
      <c r="N559" s="1430"/>
      <c r="O559" s="1430"/>
      <c r="P559" s="1431"/>
      <c r="Q559" s="1429" t="s">
        <v>2086</v>
      </c>
      <c r="R559" s="1430"/>
      <c r="S559" s="1431"/>
      <c r="T559" s="1429" t="s">
        <v>2087</v>
      </c>
      <c r="U559" s="1430"/>
      <c r="V559" s="1431"/>
      <c r="W559" s="1429" t="s">
        <v>453</v>
      </c>
      <c r="X559" s="1430"/>
      <c r="Y559" s="1431"/>
      <c r="Z559" s="1429" t="s">
        <v>1828</v>
      </c>
      <c r="AA559" s="1430"/>
      <c r="AB559" s="1430"/>
      <c r="AC559" s="1430"/>
      <c r="AD559" s="1431"/>
      <c r="AE559" s="1429" t="s">
        <v>1665</v>
      </c>
      <c r="AF559" s="1430"/>
      <c r="AG559" s="1430"/>
      <c r="AH559" s="1431"/>
      <c r="AI559" s="1429" t="s">
        <v>1666</v>
      </c>
      <c r="AJ559" s="1430"/>
      <c r="AK559" s="1430"/>
      <c r="AL559" s="1431"/>
      <c r="AM559" s="1429" t="s">
        <v>454</v>
      </c>
      <c r="AN559" s="1430"/>
      <c r="AO559" s="1430"/>
      <c r="AP559" s="1430"/>
      <c r="AQ559" s="1430"/>
      <c r="AR559" s="1430"/>
      <c r="AS559" s="1431"/>
      <c r="BB559" s="3"/>
      <c r="BC559" s="3"/>
      <c r="BD559" s="3"/>
      <c r="BE559" s="3"/>
      <c r="BF559" s="3"/>
      <c r="BG559" s="3"/>
      <c r="BH559" s="3" t="s">
        <v>581</v>
      </c>
      <c r="BI559" s="3" t="str">
        <f>AG665</f>
        <v>Yes</v>
      </c>
    </row>
    <row r="560" spans="1:66" ht="12.95" customHeight="1">
      <c r="B560" s="1432"/>
      <c r="C560" s="1433"/>
      <c r="D560" s="1433"/>
      <c r="E560" s="1433"/>
      <c r="F560" s="1433"/>
      <c r="G560" s="1433"/>
      <c r="H560" s="1433"/>
      <c r="I560" s="1433"/>
      <c r="J560" s="1433"/>
      <c r="K560" s="1433"/>
      <c r="L560" s="1434"/>
      <c r="M560" s="1432"/>
      <c r="N560" s="1433"/>
      <c r="O560" s="1433"/>
      <c r="P560" s="1434"/>
      <c r="Q560" s="1432"/>
      <c r="R560" s="1433"/>
      <c r="S560" s="1434"/>
      <c r="T560" s="1432"/>
      <c r="U560" s="1433"/>
      <c r="V560" s="1434"/>
      <c r="W560" s="1432"/>
      <c r="X560" s="1433"/>
      <c r="Y560" s="1434"/>
      <c r="Z560" s="1432"/>
      <c r="AA560" s="1433"/>
      <c r="AB560" s="1433"/>
      <c r="AC560" s="1433"/>
      <c r="AD560" s="1434"/>
      <c r="AE560" s="1432"/>
      <c r="AF560" s="1433"/>
      <c r="AG560" s="1433"/>
      <c r="AH560" s="1434"/>
      <c r="AI560" s="1432"/>
      <c r="AJ560" s="1433"/>
      <c r="AK560" s="1433"/>
      <c r="AL560" s="1434"/>
      <c r="AM560" s="1432"/>
      <c r="AN560" s="1433"/>
      <c r="AO560" s="1433"/>
      <c r="AP560" s="1433"/>
      <c r="AQ560" s="1433"/>
      <c r="AR560" s="1433"/>
      <c r="AS560" s="1434"/>
      <c r="AU560" s="1141"/>
      <c r="BB560" s="3"/>
      <c r="BC560" s="3"/>
      <c r="BD560" s="3"/>
      <c r="BE560" s="3"/>
      <c r="BF560" s="3"/>
      <c r="BG560" s="3"/>
      <c r="BH560" s="3"/>
      <c r="BI560" s="3"/>
    </row>
    <row r="561" spans="1:61" ht="12.95" customHeight="1">
      <c r="B561" s="1435"/>
      <c r="C561" s="1436"/>
      <c r="D561" s="1436"/>
      <c r="E561" s="1436"/>
      <c r="F561" s="1436"/>
      <c r="G561" s="1436"/>
      <c r="H561" s="1436"/>
      <c r="I561" s="1436"/>
      <c r="J561" s="1436"/>
      <c r="K561" s="1436"/>
      <c r="L561" s="1437"/>
      <c r="M561" s="1435"/>
      <c r="N561" s="1436"/>
      <c r="O561" s="1436"/>
      <c r="P561" s="1437"/>
      <c r="Q561" s="1435"/>
      <c r="R561" s="1436"/>
      <c r="S561" s="1437"/>
      <c r="T561" s="1435"/>
      <c r="U561" s="1436"/>
      <c r="V561" s="1437"/>
      <c r="W561" s="1435"/>
      <c r="X561" s="1436"/>
      <c r="Y561" s="1437"/>
      <c r="Z561" s="1435"/>
      <c r="AA561" s="1436"/>
      <c r="AB561" s="1436"/>
      <c r="AC561" s="1436"/>
      <c r="AD561" s="1437"/>
      <c r="AE561" s="1435"/>
      <c r="AF561" s="1436"/>
      <c r="AG561" s="1436"/>
      <c r="AH561" s="1437"/>
      <c r="AI561" s="1435"/>
      <c r="AJ561" s="1436"/>
      <c r="AK561" s="1436"/>
      <c r="AL561" s="1437"/>
      <c r="AM561" s="1435"/>
      <c r="AN561" s="1436"/>
      <c r="AO561" s="1436"/>
      <c r="AP561" s="1436"/>
      <c r="AQ561" s="1436"/>
      <c r="AR561" s="1436"/>
      <c r="AS561" s="1437"/>
      <c r="AU561" s="1141"/>
      <c r="BB561" s="3"/>
      <c r="BC561" s="3"/>
      <c r="BD561" s="3"/>
      <c r="BE561" s="3"/>
      <c r="BF561" s="3"/>
      <c r="BG561" s="3"/>
      <c r="BH561" s="3"/>
      <c r="BI561" s="3"/>
    </row>
    <row r="562" spans="1:61" ht="12.95" customHeight="1">
      <c r="B562" s="51" t="s">
        <v>112</v>
      </c>
      <c r="C562" s="1439" t="s">
        <v>2747</v>
      </c>
      <c r="D562" s="1439"/>
      <c r="E562" s="1439"/>
      <c r="F562" s="1439"/>
      <c r="G562" s="1439"/>
      <c r="H562" s="1439"/>
      <c r="I562" s="1439"/>
      <c r="J562" s="1439"/>
      <c r="K562" s="1439"/>
      <c r="L562" s="1439"/>
      <c r="M562" s="1439" t="s">
        <v>2076</v>
      </c>
      <c r="N562" s="1439"/>
      <c r="O562" s="1439"/>
      <c r="P562" s="1439"/>
      <c r="Q562" s="1404">
        <v>24</v>
      </c>
      <c r="R562" s="1404"/>
      <c r="S562" s="1405"/>
      <c r="T562" s="1403"/>
      <c r="U562" s="1404"/>
      <c r="V562" s="1405"/>
      <c r="W562" s="1411">
        <v>5.8500000000000003E-2</v>
      </c>
      <c r="X562" s="1412"/>
      <c r="Y562" s="1413"/>
      <c r="Z562" s="1422" t="s">
        <v>2754</v>
      </c>
      <c r="AA562" s="1422"/>
      <c r="AB562" s="1422"/>
      <c r="AC562" s="1422"/>
      <c r="AD562" s="1422"/>
      <c r="AE562" s="1414">
        <v>1</v>
      </c>
      <c r="AF562" s="1415"/>
      <c r="AG562" s="1415"/>
      <c r="AH562" s="1416"/>
      <c r="AI562" s="1471"/>
      <c r="AJ562" s="1472"/>
      <c r="AK562" s="1472"/>
      <c r="AL562" s="1473"/>
      <c r="AM562" s="1468">
        <v>8700726</v>
      </c>
      <c r="AN562" s="1469"/>
      <c r="AO562" s="1469"/>
      <c r="AP562" s="1469"/>
      <c r="AQ562" s="1469"/>
      <c r="AR562" s="1469"/>
      <c r="AS562" s="1470"/>
      <c r="AT562" s="1142"/>
      <c r="AU562" s="1141"/>
      <c r="BB562" s="3"/>
      <c r="BC562" s="3"/>
      <c r="BD562" s="3"/>
      <c r="BE562" s="3"/>
      <c r="BF562" s="3"/>
      <c r="BG562" s="3"/>
      <c r="BH562" s="3"/>
      <c r="BI562" s="3"/>
    </row>
    <row r="563" spans="1:61" ht="12.95" customHeight="1">
      <c r="B563" s="52" t="s">
        <v>113</v>
      </c>
      <c r="C563" s="1438" t="s">
        <v>2747</v>
      </c>
      <c r="D563" s="1438"/>
      <c r="E563" s="1438"/>
      <c r="F563" s="1438"/>
      <c r="G563" s="1438"/>
      <c r="H563" s="1438"/>
      <c r="I563" s="1438"/>
      <c r="J563" s="1438"/>
      <c r="K563" s="1438"/>
      <c r="L563" s="1438"/>
      <c r="M563" s="1439" t="s">
        <v>2075</v>
      </c>
      <c r="N563" s="1439"/>
      <c r="O563" s="1439"/>
      <c r="P563" s="1439"/>
      <c r="Q563" s="1403">
        <v>24</v>
      </c>
      <c r="R563" s="1404"/>
      <c r="S563" s="1405"/>
      <c r="T563" s="1403"/>
      <c r="U563" s="1404"/>
      <c r="V563" s="1405"/>
      <c r="W563" s="1411">
        <v>5.8500000000000003E-2</v>
      </c>
      <c r="X563" s="1412"/>
      <c r="Y563" s="1413"/>
      <c r="Z563" s="1422" t="s">
        <v>2754</v>
      </c>
      <c r="AA563" s="1422"/>
      <c r="AB563" s="1422"/>
      <c r="AC563" s="1422"/>
      <c r="AD563" s="1422"/>
      <c r="AE563" s="1414">
        <v>1</v>
      </c>
      <c r="AF563" s="1415"/>
      <c r="AG563" s="1415"/>
      <c r="AH563" s="1416"/>
      <c r="AI563" s="1471"/>
      <c r="AJ563" s="1472"/>
      <c r="AK563" s="1472"/>
      <c r="AL563" s="1473"/>
      <c r="AM563" s="1468">
        <v>5335865</v>
      </c>
      <c r="AN563" s="1469"/>
      <c r="AO563" s="1469"/>
      <c r="AP563" s="1469"/>
      <c r="AQ563" s="1469"/>
      <c r="AR563" s="1469"/>
      <c r="AS563" s="1470"/>
      <c r="AT563" s="1142" t="str">
        <f>IF(AND(NOT(C562=""),C563="",NOT(C564="")),"!","")</f>
        <v/>
      </c>
      <c r="AU563" s="1141"/>
      <c r="BB563" s="3"/>
      <c r="BC563" s="3"/>
      <c r="BD563" s="3"/>
      <c r="BE563" s="3"/>
      <c r="BF563" s="3"/>
      <c r="BG563" s="3"/>
      <c r="BH563" s="3"/>
      <c r="BI563" s="3"/>
    </row>
    <row r="564" spans="1:61" ht="12.95" customHeight="1">
      <c r="B564" s="52" t="s">
        <v>119</v>
      </c>
      <c r="C564" s="1438" t="s">
        <v>2645</v>
      </c>
      <c r="D564" s="1438"/>
      <c r="E564" s="1438"/>
      <c r="F564" s="1438"/>
      <c r="G564" s="1438"/>
      <c r="H564" s="1438"/>
      <c r="I564" s="1438"/>
      <c r="J564" s="1438"/>
      <c r="K564" s="1438"/>
      <c r="L564" s="1438"/>
      <c r="M564" s="1439" t="s">
        <v>2072</v>
      </c>
      <c r="N564" s="1439"/>
      <c r="O564" s="1439"/>
      <c r="P564" s="1439"/>
      <c r="Q564" s="1403">
        <v>24</v>
      </c>
      <c r="R564" s="1404"/>
      <c r="S564" s="1405"/>
      <c r="T564" s="1403"/>
      <c r="U564" s="1404"/>
      <c r="V564" s="1405"/>
      <c r="W564" s="1411">
        <v>0.03</v>
      </c>
      <c r="X564" s="1412"/>
      <c r="Y564" s="1413"/>
      <c r="Z564" s="1422" t="s">
        <v>2754</v>
      </c>
      <c r="AA564" s="1422"/>
      <c r="AB564" s="1422"/>
      <c r="AC564" s="1422"/>
      <c r="AD564" s="1422"/>
      <c r="AE564" s="1414">
        <v>2</v>
      </c>
      <c r="AF564" s="1415"/>
      <c r="AG564" s="1415"/>
      <c r="AH564" s="1416"/>
      <c r="AI564" s="1471"/>
      <c r="AJ564" s="1472"/>
      <c r="AK564" s="1472"/>
      <c r="AL564" s="1473"/>
      <c r="AM564" s="1468">
        <v>8825000</v>
      </c>
      <c r="AN564" s="1469"/>
      <c r="AO564" s="1469"/>
      <c r="AP564" s="1469"/>
      <c r="AQ564" s="1469"/>
      <c r="AR564" s="1469"/>
      <c r="AS564" s="1470"/>
      <c r="AT564" s="1142" t="str">
        <f>IF(AND(NOT(C563=""),C564="",NOT(C565="")),"!","")</f>
        <v/>
      </c>
      <c r="AU564" s="1141"/>
      <c r="BB564" s="3"/>
      <c r="BC564" s="3"/>
      <c r="BD564" s="3"/>
      <c r="BE564" s="3"/>
      <c r="BF564" s="3"/>
      <c r="BG564" s="3"/>
      <c r="BH564" s="3"/>
      <c r="BI564" s="3"/>
    </row>
    <row r="565" spans="1:61" ht="12.95" customHeight="1">
      <c r="B565" s="52" t="s">
        <v>581</v>
      </c>
      <c r="C565" s="1438" t="s">
        <v>2645</v>
      </c>
      <c r="D565" s="1438"/>
      <c r="E565" s="1438"/>
      <c r="F565" s="1438"/>
      <c r="G565" s="1438"/>
      <c r="H565" s="1438"/>
      <c r="I565" s="1438"/>
      <c r="J565" s="1438"/>
      <c r="K565" s="1438"/>
      <c r="L565" s="1438"/>
      <c r="M565" s="1439" t="s">
        <v>2061</v>
      </c>
      <c r="N565" s="1439"/>
      <c r="O565" s="1439"/>
      <c r="P565" s="1439"/>
      <c r="Q565" s="1403"/>
      <c r="R565" s="1404"/>
      <c r="S565" s="1405"/>
      <c r="T565" s="1403"/>
      <c r="U565" s="1404"/>
      <c r="V565" s="1405"/>
      <c r="W565" s="1411"/>
      <c r="X565" s="1412"/>
      <c r="Y565" s="1413"/>
      <c r="Z565" s="1422" t="s">
        <v>1184</v>
      </c>
      <c r="AA565" s="1422"/>
      <c r="AB565" s="1422"/>
      <c r="AC565" s="1422"/>
      <c r="AD565" s="1422"/>
      <c r="AE565" s="1414"/>
      <c r="AF565" s="1415"/>
      <c r="AG565" s="1415"/>
      <c r="AH565" s="1416"/>
      <c r="AI565" s="1471"/>
      <c r="AJ565" s="1472"/>
      <c r="AK565" s="1472"/>
      <c r="AL565" s="1473"/>
      <c r="AM565" s="1468">
        <v>3862948</v>
      </c>
      <c r="AN565" s="1469"/>
      <c r="AO565" s="1469"/>
      <c r="AP565" s="1469"/>
      <c r="AQ565" s="1469"/>
      <c r="AR565" s="1469"/>
      <c r="AS565" s="1470"/>
      <c r="AT565" s="1142" t="str">
        <f>IF(AND(NOT(C564=""),C565="",NOT(C566="")),"!","")</f>
        <v/>
      </c>
      <c r="AU565" s="1141"/>
      <c r="BB565" s="3"/>
      <c r="BC565" s="3"/>
      <c r="BD565" s="3"/>
      <c r="BE565" s="3"/>
      <c r="BF565" s="3"/>
      <c r="BG565" s="3"/>
      <c r="BH565" s="3"/>
      <c r="BI565" s="3"/>
    </row>
    <row r="566" spans="1:61" ht="12.95" customHeight="1">
      <c r="B566" s="52" t="s">
        <v>763</v>
      </c>
      <c r="C566" s="1438" t="s">
        <v>2748</v>
      </c>
      <c r="D566" s="1438"/>
      <c r="E566" s="1438"/>
      <c r="F566" s="1438"/>
      <c r="G566" s="1438"/>
      <c r="H566" s="1438"/>
      <c r="I566" s="1438"/>
      <c r="J566" s="1438"/>
      <c r="K566" s="1438"/>
      <c r="L566" s="1438"/>
      <c r="M566" s="1439" t="s">
        <v>2067</v>
      </c>
      <c r="N566" s="1439"/>
      <c r="O566" s="1439"/>
      <c r="P566" s="1439"/>
      <c r="Q566" s="1403"/>
      <c r="R566" s="1404"/>
      <c r="S566" s="1405"/>
      <c r="T566" s="1403"/>
      <c r="U566" s="1404"/>
      <c r="V566" s="1405"/>
      <c r="W566" s="1411"/>
      <c r="X566" s="1412"/>
      <c r="Y566" s="1413"/>
      <c r="Z566" s="1422" t="s">
        <v>1184</v>
      </c>
      <c r="AA566" s="1422"/>
      <c r="AB566" s="1422"/>
      <c r="AC566" s="1422"/>
      <c r="AD566" s="1422"/>
      <c r="AE566" s="1414"/>
      <c r="AF566" s="1415"/>
      <c r="AG566" s="1415"/>
      <c r="AH566" s="1416"/>
      <c r="AI566" s="1471"/>
      <c r="AJ566" s="1472"/>
      <c r="AK566" s="1472"/>
      <c r="AL566" s="1473"/>
      <c r="AM566" s="1468">
        <v>3376088</v>
      </c>
      <c r="AN566" s="1469"/>
      <c r="AO566" s="1469"/>
      <c r="AP566" s="1469"/>
      <c r="AQ566" s="1469"/>
      <c r="AR566" s="1469"/>
      <c r="AS566" s="1470"/>
      <c r="AT566" s="1142" t="str">
        <f t="shared" ref="AT566:AT573" si="2">IF(AND(NOT(C565=""),C566="",NOT(C567="")),"!","")</f>
        <v/>
      </c>
      <c r="AU566" s="1141"/>
      <c r="BB566" s="3"/>
      <c r="BC566" s="3"/>
      <c r="BD566" s="3"/>
      <c r="BE566" s="3"/>
      <c r="BF566" s="3"/>
      <c r="BG566" s="3"/>
      <c r="BH566" s="3" t="s">
        <v>763</v>
      </c>
      <c r="BI566" s="3" t="str">
        <f>N673</f>
        <v>Yes</v>
      </c>
    </row>
    <row r="567" spans="1:61" ht="12.95" customHeight="1">
      <c r="B567" s="52" t="s">
        <v>584</v>
      </c>
      <c r="C567" s="1438" t="s">
        <v>2749</v>
      </c>
      <c r="D567" s="1438"/>
      <c r="E567" s="1438"/>
      <c r="F567" s="1438"/>
      <c r="G567" s="1438"/>
      <c r="H567" s="1438"/>
      <c r="I567" s="1438"/>
      <c r="J567" s="1438"/>
      <c r="K567" s="1438"/>
      <c r="L567" s="1438"/>
      <c r="M567" s="1439" t="s">
        <v>2080</v>
      </c>
      <c r="N567" s="1439"/>
      <c r="O567" s="1439"/>
      <c r="P567" s="1439"/>
      <c r="Q567" s="1403"/>
      <c r="R567" s="1404"/>
      <c r="S567" s="1405"/>
      <c r="T567" s="1403"/>
      <c r="U567" s="1404"/>
      <c r="V567" s="1405"/>
      <c r="W567" s="1411"/>
      <c r="X567" s="1412"/>
      <c r="Y567" s="1413"/>
      <c r="Z567" s="1422" t="s">
        <v>1184</v>
      </c>
      <c r="AA567" s="1422"/>
      <c r="AB567" s="1422"/>
      <c r="AC567" s="1422"/>
      <c r="AD567" s="1422"/>
      <c r="AE567" s="1414"/>
      <c r="AF567" s="1415"/>
      <c r="AG567" s="1415"/>
      <c r="AH567" s="1416"/>
      <c r="AI567" s="1471"/>
      <c r="AJ567" s="1472"/>
      <c r="AK567" s="1472"/>
      <c r="AL567" s="1473"/>
      <c r="AM567" s="1468">
        <v>503738</v>
      </c>
      <c r="AN567" s="1469"/>
      <c r="AO567" s="1469"/>
      <c r="AP567" s="1469"/>
      <c r="AQ567" s="1469"/>
      <c r="AR567" s="1469"/>
      <c r="AS567" s="1470"/>
      <c r="AT567" s="1142" t="str">
        <f t="shared" si="2"/>
        <v/>
      </c>
      <c r="AU567" s="1141"/>
      <c r="BB567" s="3"/>
      <c r="BC567" s="3"/>
      <c r="BD567" s="3"/>
      <c r="BE567" s="3"/>
      <c r="BF567" s="3"/>
      <c r="BG567" s="3"/>
      <c r="BH567" s="3" t="s">
        <v>584</v>
      </c>
      <c r="BI567" s="3" t="str">
        <f>AG673</f>
        <v>No</v>
      </c>
    </row>
    <row r="568" spans="1:61" ht="12.95" customHeight="1">
      <c r="B568" s="52" t="s">
        <v>455</v>
      </c>
      <c r="C568" s="1438" t="s">
        <v>2749</v>
      </c>
      <c r="D568" s="1438"/>
      <c r="E568" s="1438"/>
      <c r="F568" s="1438"/>
      <c r="G568" s="1438"/>
      <c r="H568" s="1438"/>
      <c r="I568" s="1438"/>
      <c r="J568" s="1438"/>
      <c r="K568" s="1438"/>
      <c r="L568" s="1438"/>
      <c r="M568" s="1439" t="s">
        <v>2063</v>
      </c>
      <c r="N568" s="1439"/>
      <c r="O568" s="1439"/>
      <c r="P568" s="1439"/>
      <c r="Q568" s="1403"/>
      <c r="R568" s="1404"/>
      <c r="S568" s="1405"/>
      <c r="T568" s="1403"/>
      <c r="U568" s="1404"/>
      <c r="V568" s="1405"/>
      <c r="W568" s="1411"/>
      <c r="X568" s="1412"/>
      <c r="Y568" s="1413"/>
      <c r="Z568" s="1422" t="s">
        <v>1184</v>
      </c>
      <c r="AA568" s="1422"/>
      <c r="AB568" s="1422"/>
      <c r="AC568" s="1422"/>
      <c r="AD568" s="1422"/>
      <c r="AE568" s="1414"/>
      <c r="AF568" s="1415"/>
      <c r="AG568" s="1415"/>
      <c r="AH568" s="1416"/>
      <c r="AI568" s="1471"/>
      <c r="AJ568" s="1472"/>
      <c r="AK568" s="1472"/>
      <c r="AL568" s="1473"/>
      <c r="AM568" s="1468">
        <v>2741862</v>
      </c>
      <c r="AN568" s="1469"/>
      <c r="AO568" s="1469"/>
      <c r="AP568" s="1469"/>
      <c r="AQ568" s="1469"/>
      <c r="AR568" s="1469"/>
      <c r="AS568" s="1470"/>
      <c r="AT568" s="1142" t="str">
        <f t="shared" si="2"/>
        <v/>
      </c>
      <c r="AU568" s="1141"/>
      <c r="BB568" s="3"/>
      <c r="BC568" s="3"/>
      <c r="BD568" s="3"/>
      <c r="BE568" s="3"/>
      <c r="BF568" s="3"/>
      <c r="BG568" s="3"/>
      <c r="BH568" s="3"/>
      <c r="BI568" s="3"/>
    </row>
    <row r="569" spans="1:61" ht="12.95" customHeight="1">
      <c r="B569" s="52" t="s">
        <v>456</v>
      </c>
      <c r="C569" s="1438"/>
      <c r="D569" s="1438"/>
      <c r="E569" s="1438"/>
      <c r="F569" s="1438"/>
      <c r="G569" s="1438"/>
      <c r="H569" s="1438"/>
      <c r="I569" s="1438"/>
      <c r="J569" s="1438"/>
      <c r="K569" s="1438"/>
      <c r="L569" s="1438"/>
      <c r="M569" s="1439" t="s">
        <v>2062</v>
      </c>
      <c r="N569" s="1439"/>
      <c r="O569" s="1439"/>
      <c r="P569" s="1439"/>
      <c r="Q569" s="1403"/>
      <c r="R569" s="1404"/>
      <c r="S569" s="1405"/>
      <c r="T569" s="1403"/>
      <c r="U569" s="1404"/>
      <c r="V569" s="1405"/>
      <c r="W569" s="1411"/>
      <c r="X569" s="1412"/>
      <c r="Y569" s="1413"/>
      <c r="Z569" s="1422" t="s">
        <v>1184</v>
      </c>
      <c r="AA569" s="1422"/>
      <c r="AB569" s="1422"/>
      <c r="AC569" s="1422"/>
      <c r="AD569" s="1422"/>
      <c r="AE569" s="1414"/>
      <c r="AF569" s="1415"/>
      <c r="AG569" s="1415"/>
      <c r="AH569" s="1416"/>
      <c r="AI569" s="1471"/>
      <c r="AJ569" s="1472"/>
      <c r="AK569" s="1472"/>
      <c r="AL569" s="1473"/>
      <c r="AM569" s="1468"/>
      <c r="AN569" s="1469"/>
      <c r="AO569" s="1469"/>
      <c r="AP569" s="1469"/>
      <c r="AQ569" s="1469"/>
      <c r="AR569" s="1469"/>
      <c r="AS569" s="1470"/>
      <c r="AT569" s="1142" t="str">
        <f t="shared" si="2"/>
        <v/>
      </c>
      <c r="AU569" s="1141"/>
      <c r="BB569" s="3"/>
      <c r="BC569" s="3"/>
      <c r="BD569" s="3"/>
      <c r="BE569" s="3"/>
      <c r="BF569" s="3"/>
      <c r="BG569" s="3"/>
      <c r="BH569" s="3"/>
      <c r="BI569" s="3"/>
    </row>
    <row r="570" spans="1:61" ht="12.95" customHeight="1">
      <c r="B570" s="52" t="s">
        <v>461</v>
      </c>
      <c r="C570" s="1438"/>
      <c r="D570" s="1438"/>
      <c r="E570" s="1438"/>
      <c r="F570" s="1438"/>
      <c r="G570" s="1438"/>
      <c r="H570" s="1438"/>
      <c r="I570" s="1438"/>
      <c r="J570" s="1438"/>
      <c r="K570" s="1438"/>
      <c r="L570" s="1438"/>
      <c r="M570" s="1439" t="s">
        <v>1184</v>
      </c>
      <c r="N570" s="1439"/>
      <c r="O570" s="1439"/>
      <c r="P570" s="1439"/>
      <c r="Q570" s="1403"/>
      <c r="R570" s="1404"/>
      <c r="S570" s="1405"/>
      <c r="T570" s="1403"/>
      <c r="U570" s="1404"/>
      <c r="V570" s="1405"/>
      <c r="W570" s="1411"/>
      <c r="X570" s="1412"/>
      <c r="Y570" s="1413"/>
      <c r="Z570" s="1422" t="s">
        <v>1184</v>
      </c>
      <c r="AA570" s="1422"/>
      <c r="AB570" s="1422"/>
      <c r="AC570" s="1422"/>
      <c r="AD570" s="1422"/>
      <c r="AE570" s="1414"/>
      <c r="AF570" s="1415"/>
      <c r="AG570" s="1415"/>
      <c r="AH570" s="1416"/>
      <c r="AI570" s="1471"/>
      <c r="AJ570" s="1472"/>
      <c r="AK570" s="1472"/>
      <c r="AL570" s="1473"/>
      <c r="AM570" s="1468"/>
      <c r="AN570" s="1469"/>
      <c r="AO570" s="1469"/>
      <c r="AP570" s="1469"/>
      <c r="AQ570" s="1469"/>
      <c r="AR570" s="1469"/>
      <c r="AS570" s="1470"/>
      <c r="AT570" s="1142" t="str">
        <f t="shared" si="2"/>
        <v/>
      </c>
      <c r="AU570" s="1141"/>
      <c r="BB570" s="3"/>
      <c r="BC570" s="3"/>
      <c r="BD570" s="3"/>
      <c r="BE570" s="3"/>
      <c r="BF570" s="3"/>
      <c r="BG570" s="3"/>
      <c r="BH570" s="3"/>
      <c r="BI570" s="3"/>
    </row>
    <row r="571" spans="1:61" ht="12.95" customHeight="1">
      <c r="B571" s="52" t="s">
        <v>646</v>
      </c>
      <c r="C571" s="1438"/>
      <c r="D571" s="1438"/>
      <c r="E571" s="1438"/>
      <c r="F571" s="1438"/>
      <c r="G571" s="1438"/>
      <c r="H571" s="1438"/>
      <c r="I571" s="1438"/>
      <c r="J571" s="1438"/>
      <c r="K571" s="1438"/>
      <c r="L571" s="1438"/>
      <c r="M571" s="1439" t="s">
        <v>1184</v>
      </c>
      <c r="N571" s="1439"/>
      <c r="O571" s="1439"/>
      <c r="P571" s="1439"/>
      <c r="Q571" s="1403"/>
      <c r="R571" s="1404"/>
      <c r="S571" s="1405"/>
      <c r="T571" s="1403"/>
      <c r="U571" s="1404"/>
      <c r="V571" s="1405"/>
      <c r="W571" s="1411"/>
      <c r="X571" s="1412"/>
      <c r="Y571" s="1413"/>
      <c r="Z571" s="1422" t="s">
        <v>1184</v>
      </c>
      <c r="AA571" s="1422"/>
      <c r="AB571" s="1422"/>
      <c r="AC571" s="1422"/>
      <c r="AD571" s="1422"/>
      <c r="AE571" s="1414"/>
      <c r="AF571" s="1415"/>
      <c r="AG571" s="1415"/>
      <c r="AH571" s="1416"/>
      <c r="AI571" s="1471"/>
      <c r="AJ571" s="1472"/>
      <c r="AK571" s="1472"/>
      <c r="AL571" s="1473"/>
      <c r="AM571" s="1468"/>
      <c r="AN571" s="1469"/>
      <c r="AO571" s="1469"/>
      <c r="AP571" s="1469"/>
      <c r="AQ571" s="1469"/>
      <c r="AR571" s="1469"/>
      <c r="AS571" s="1470"/>
      <c r="AT571" s="1142" t="str">
        <f t="shared" si="2"/>
        <v/>
      </c>
      <c r="BB571" s="3"/>
      <c r="BC571" s="3"/>
      <c r="BD571" s="3"/>
      <c r="BE571" s="3"/>
      <c r="BF571" s="3"/>
      <c r="BG571" s="3"/>
      <c r="BH571" s="3"/>
      <c r="BI571" s="3"/>
    </row>
    <row r="572" spans="1:61" ht="12.95" customHeight="1">
      <c r="B572" s="52" t="s">
        <v>362</v>
      </c>
      <c r="C572" s="1438"/>
      <c r="D572" s="1438"/>
      <c r="E572" s="1438"/>
      <c r="F572" s="1438"/>
      <c r="G572" s="1438"/>
      <c r="H572" s="1438"/>
      <c r="I572" s="1438"/>
      <c r="J572" s="1438"/>
      <c r="K572" s="1438"/>
      <c r="L572" s="1438"/>
      <c r="M572" s="1439" t="s">
        <v>1184</v>
      </c>
      <c r="N572" s="1439"/>
      <c r="O572" s="1439"/>
      <c r="P572" s="1439"/>
      <c r="Q572" s="1403"/>
      <c r="R572" s="1404"/>
      <c r="S572" s="1405"/>
      <c r="T572" s="1403"/>
      <c r="U572" s="1404"/>
      <c r="V572" s="1405"/>
      <c r="W572" s="1411"/>
      <c r="X572" s="1412"/>
      <c r="Y572" s="1413"/>
      <c r="Z572" s="1422" t="s">
        <v>1184</v>
      </c>
      <c r="AA572" s="1422"/>
      <c r="AB572" s="1422"/>
      <c r="AC572" s="1422"/>
      <c r="AD572" s="1422"/>
      <c r="AE572" s="1414"/>
      <c r="AF572" s="1415"/>
      <c r="AG572" s="1415"/>
      <c r="AH572" s="1416"/>
      <c r="AI572" s="1471"/>
      <c r="AJ572" s="1472"/>
      <c r="AK572" s="1472"/>
      <c r="AL572" s="1473"/>
      <c r="AM572" s="1468"/>
      <c r="AN572" s="1469"/>
      <c r="AO572" s="1469"/>
      <c r="AP572" s="1469"/>
      <c r="AQ572" s="1469"/>
      <c r="AR572" s="1469"/>
      <c r="AS572" s="1470"/>
      <c r="AT572" s="1142" t="str">
        <f t="shared" si="2"/>
        <v/>
      </c>
      <c r="BB572" s="3"/>
      <c r="BC572" s="3"/>
      <c r="BD572" s="3"/>
      <c r="BE572" s="3"/>
      <c r="BF572" s="3"/>
      <c r="BG572" s="3"/>
      <c r="BH572" s="3"/>
      <c r="BI572" s="3"/>
    </row>
    <row r="573" spans="1:61" ht="12.95" customHeight="1">
      <c r="B573" s="52" t="s">
        <v>363</v>
      </c>
      <c r="C573" s="1438"/>
      <c r="D573" s="1438"/>
      <c r="E573" s="1438"/>
      <c r="F573" s="1438"/>
      <c r="G573" s="1438"/>
      <c r="H573" s="1438"/>
      <c r="I573" s="1438"/>
      <c r="J573" s="1438"/>
      <c r="K573" s="1438"/>
      <c r="L573" s="1438"/>
      <c r="M573" s="1439" t="s">
        <v>1184</v>
      </c>
      <c r="N573" s="1439"/>
      <c r="O573" s="1439"/>
      <c r="P573" s="1439"/>
      <c r="Q573" s="1403"/>
      <c r="R573" s="1404"/>
      <c r="S573" s="1405"/>
      <c r="T573" s="1403"/>
      <c r="U573" s="1404"/>
      <c r="V573" s="1405"/>
      <c r="W573" s="1411"/>
      <c r="X573" s="1412"/>
      <c r="Y573" s="1413"/>
      <c r="Z573" s="1422" t="s">
        <v>1184</v>
      </c>
      <c r="AA573" s="1422"/>
      <c r="AB573" s="1422"/>
      <c r="AC573" s="1422"/>
      <c r="AD573" s="1422"/>
      <c r="AE573" s="1414"/>
      <c r="AF573" s="1415"/>
      <c r="AG573" s="1415"/>
      <c r="AH573" s="1416"/>
      <c r="AI573" s="1471"/>
      <c r="AJ573" s="1472"/>
      <c r="AK573" s="1472"/>
      <c r="AL573" s="1473"/>
      <c r="AM573" s="1468"/>
      <c r="AN573" s="1469"/>
      <c r="AO573" s="1469"/>
      <c r="AP573" s="1469"/>
      <c r="AQ573" s="1469"/>
      <c r="AR573" s="1469"/>
      <c r="AS573" s="1470"/>
      <c r="AT573" s="1142" t="str">
        <f t="shared" si="2"/>
        <v/>
      </c>
      <c r="BB573" s="3"/>
      <c r="BC573" s="3"/>
      <c r="BD573" s="3"/>
      <c r="BE573" s="3"/>
      <c r="BF573" s="3"/>
      <c r="BG573" s="3"/>
      <c r="BH573" s="3"/>
      <c r="BI573" s="3"/>
    </row>
    <row r="574" spans="1:61" ht="12.95" customHeight="1">
      <c r="B574" s="1519" t="s">
        <v>127</v>
      </c>
      <c r="C574" s="1520"/>
      <c r="D574" s="1520"/>
      <c r="E574" s="1520"/>
      <c r="F574" s="1520"/>
      <c r="G574" s="1520"/>
      <c r="H574" s="1520"/>
      <c r="I574" s="1520"/>
      <c r="J574" s="1520"/>
      <c r="K574" s="1520"/>
      <c r="L574" s="1520"/>
      <c r="M574" s="1520"/>
      <c r="N574" s="1520"/>
      <c r="O574" s="1520"/>
      <c r="P574" s="1520"/>
      <c r="Q574" s="1520"/>
      <c r="R574" s="1520"/>
      <c r="S574" s="1520"/>
      <c r="T574" s="1520"/>
      <c r="U574" s="1521"/>
      <c r="V574" s="1520"/>
      <c r="W574" s="1520"/>
      <c r="X574" s="1520"/>
      <c r="Y574" s="1520"/>
      <c r="Z574" s="1520"/>
      <c r="AA574" s="1520"/>
      <c r="AB574" s="1520"/>
      <c r="AC574" s="1520"/>
      <c r="AD574" s="1520"/>
      <c r="AE574" s="1520"/>
      <c r="AF574" s="1520"/>
      <c r="AG574" s="1520"/>
      <c r="AH574" s="1520"/>
      <c r="AI574" s="1520"/>
      <c r="AJ574" s="1520"/>
      <c r="AK574" s="1520"/>
      <c r="AL574" s="1522"/>
      <c r="AM574" s="1475">
        <f>SUM(AM562:AS573)</f>
        <v>33346227</v>
      </c>
      <c r="AN574" s="1476"/>
      <c r="AO574" s="1476"/>
      <c r="AP574" s="1476"/>
      <c r="AQ574" s="1476"/>
      <c r="AR574" s="1476"/>
      <c r="AS574" s="1477"/>
      <c r="BB574" s="3"/>
      <c r="BC574" s="3"/>
      <c r="BD574" s="3"/>
      <c r="BE574" s="3"/>
      <c r="BF574" s="3"/>
      <c r="BG574" s="3"/>
      <c r="BH574" s="3" t="s">
        <v>455</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2.95" customHeight="1">
      <c r="A576" s="55" t="s">
        <v>112</v>
      </c>
      <c r="B576" t="s">
        <v>463</v>
      </c>
      <c r="G576" s="1518" t="str">
        <f>C562</f>
        <v>Citibank, N.A.</v>
      </c>
      <c r="H576" s="1518"/>
      <c r="I576" s="1518"/>
      <c r="J576" s="1518"/>
      <c r="K576" s="1518"/>
      <c r="L576" s="1518"/>
      <c r="M576" s="1518"/>
      <c r="N576" s="1518"/>
      <c r="O576" s="1518"/>
      <c r="P576" s="1518"/>
      <c r="Q576" s="1518"/>
      <c r="R576" s="1518"/>
      <c r="S576" s="8"/>
      <c r="T576" s="55" t="s">
        <v>113</v>
      </c>
      <c r="U576" t="s">
        <v>463</v>
      </c>
      <c r="Z576" s="1518" t="str">
        <f>C563</f>
        <v>Citibank, N.A.</v>
      </c>
      <c r="AA576" s="1518"/>
      <c r="AB576" s="1518"/>
      <c r="AC576" s="1518"/>
      <c r="AD576" s="1518"/>
      <c r="AE576" s="1518"/>
      <c r="AF576" s="1518"/>
      <c r="AG576" s="1518"/>
      <c r="AH576" s="1518"/>
      <c r="AI576" s="1518"/>
      <c r="AJ576" s="1518"/>
      <c r="AK576" s="1518"/>
      <c r="BB576" s="3"/>
      <c r="BC576" s="3"/>
      <c r="BD576" s="3"/>
      <c r="BE576" s="3"/>
      <c r="BF576" s="3"/>
      <c r="BG576" s="3"/>
      <c r="BH576" s="3"/>
      <c r="BI576" s="3"/>
    </row>
    <row r="577" spans="1:61" ht="12.95" customHeight="1">
      <c r="A577" s="22"/>
      <c r="B577" t="s">
        <v>85</v>
      </c>
      <c r="G577" s="1484" t="s">
        <v>2755</v>
      </c>
      <c r="H577" s="1484"/>
      <c r="I577" s="1484"/>
      <c r="J577" s="1484"/>
      <c r="K577" s="1484"/>
      <c r="L577" s="1484"/>
      <c r="M577" s="1484"/>
      <c r="N577" s="1484"/>
      <c r="O577" s="1484"/>
      <c r="P577" s="1484"/>
      <c r="Q577" s="1484"/>
      <c r="R577" s="1484"/>
      <c r="S577" s="8"/>
      <c r="T577" s="22"/>
      <c r="U577" t="s">
        <v>85</v>
      </c>
      <c r="Z577" s="1484" t="s">
        <v>2755</v>
      </c>
      <c r="AA577" s="1484"/>
      <c r="AB577" s="1484"/>
      <c r="AC577" s="1484"/>
      <c r="AD577" s="1484"/>
      <c r="AE577" s="1484"/>
      <c r="AF577" s="1484"/>
      <c r="AG577" s="1484"/>
      <c r="AH577" s="1484"/>
      <c r="AI577" s="1484"/>
      <c r="AJ577" s="1484"/>
      <c r="AK577" s="1484"/>
      <c r="BB577" s="3"/>
      <c r="BC577" s="3"/>
      <c r="BD577" s="3"/>
      <c r="BE577" s="3"/>
      <c r="BF577" s="3"/>
      <c r="BG577" s="3"/>
      <c r="BH577" s="3"/>
      <c r="BI577" s="3"/>
    </row>
    <row r="578" spans="1:61" ht="12.95" customHeight="1">
      <c r="A578" s="22"/>
      <c r="B578" t="s">
        <v>580</v>
      </c>
      <c r="G578" s="1484" t="s">
        <v>2756</v>
      </c>
      <c r="H578" s="1484"/>
      <c r="I578" s="1484"/>
      <c r="J578" s="1484"/>
      <c r="K578" s="1484"/>
      <c r="L578" s="1484"/>
      <c r="M578" s="1484"/>
      <c r="N578" s="1484"/>
      <c r="O578" s="1484"/>
      <c r="P578" s="1484"/>
      <c r="Q578" s="1484"/>
      <c r="R578" s="1484"/>
      <c r="T578" s="22"/>
      <c r="U578" t="s">
        <v>580</v>
      </c>
      <c r="Z578" s="1346" t="s">
        <v>2756</v>
      </c>
      <c r="AA578" s="1346"/>
      <c r="AB578" s="1346"/>
      <c r="AC578" s="1346"/>
      <c r="AD578" s="1346"/>
      <c r="AE578" s="1346"/>
      <c r="AF578" s="1346"/>
      <c r="AG578" s="1346"/>
      <c r="AH578" s="1346"/>
      <c r="AI578" s="1346"/>
      <c r="AJ578" s="1346"/>
      <c r="AK578" s="1346"/>
      <c r="BB578" s="3"/>
      <c r="BC578" s="3"/>
      <c r="BD578" s="3"/>
      <c r="BE578" s="3"/>
      <c r="BF578" s="3"/>
      <c r="BG578" s="3"/>
      <c r="BH578" s="3"/>
      <c r="BI578" s="3"/>
    </row>
    <row r="579" spans="1:61" ht="12.95" customHeight="1">
      <c r="A579" s="22"/>
      <c r="B579" t="s">
        <v>17</v>
      </c>
      <c r="G579" s="1484" t="s">
        <v>2757</v>
      </c>
      <c r="H579" s="1484"/>
      <c r="I579" s="1484"/>
      <c r="J579" s="1484"/>
      <c r="K579" s="1484"/>
      <c r="L579" s="1484"/>
      <c r="M579" s="1484"/>
      <c r="N579" s="1484"/>
      <c r="O579" s="1484"/>
      <c r="P579" s="1484"/>
      <c r="Q579" s="1484"/>
      <c r="R579" s="1484"/>
      <c r="S579" s="8"/>
      <c r="T579" s="22"/>
      <c r="U579" t="s">
        <v>17</v>
      </c>
      <c r="Z579" s="1346" t="s">
        <v>2759</v>
      </c>
      <c r="AA579" s="1346"/>
      <c r="AB579" s="1346"/>
      <c r="AC579" s="1346"/>
      <c r="AD579" s="1346"/>
      <c r="AE579" s="1346"/>
      <c r="AF579" s="1346"/>
      <c r="AG579" s="1346"/>
      <c r="AH579" s="1346"/>
      <c r="AI579" s="1346"/>
      <c r="AJ579" s="1346"/>
      <c r="AK579" s="1346"/>
      <c r="BB579" s="3"/>
      <c r="BC579" s="3"/>
      <c r="BD579" s="3"/>
      <c r="BE579" s="3"/>
      <c r="BF579" s="3"/>
      <c r="BG579" s="3"/>
      <c r="BH579" s="3"/>
      <c r="BI579" s="3"/>
    </row>
    <row r="580" spans="1:61" ht="12.95" customHeight="1">
      <c r="A580" s="22"/>
      <c r="B580" t="s">
        <v>316</v>
      </c>
      <c r="G580" s="1535">
        <v>8055570930</v>
      </c>
      <c r="H580" s="1535"/>
      <c r="I580" s="1535"/>
      <c r="J580" s="1535"/>
      <c r="K580" s="1535"/>
      <c r="L580" s="1535"/>
      <c r="O580" s="33" t="s">
        <v>206</v>
      </c>
      <c r="P580" s="1474"/>
      <c r="Q580" s="1474"/>
      <c r="R580" s="1474"/>
      <c r="S580" s="10"/>
      <c r="T580" s="22"/>
      <c r="U580" t="s">
        <v>316</v>
      </c>
      <c r="Z580" s="1535">
        <v>8055570930</v>
      </c>
      <c r="AA580" s="1535"/>
      <c r="AB580" s="1535"/>
      <c r="AC580" s="1535"/>
      <c r="AD580" s="1535"/>
      <c r="AE580" s="1535"/>
      <c r="AH580" s="33" t="s">
        <v>206</v>
      </c>
      <c r="AI580" s="1474"/>
      <c r="AJ580" s="1474"/>
      <c r="AK580" s="1474"/>
      <c r="BB580" s="3"/>
      <c r="BC580" s="3"/>
      <c r="BD580" s="3"/>
      <c r="BE580" s="3"/>
      <c r="BF580" s="3"/>
      <c r="BG580" s="3"/>
      <c r="BH580" s="3"/>
      <c r="BI580" s="3"/>
    </row>
    <row r="581" spans="1:61" ht="12.95" customHeight="1">
      <c r="A581" s="22"/>
      <c r="B581" t="s">
        <v>18</v>
      </c>
      <c r="H581" s="1484" t="s">
        <v>2758</v>
      </c>
      <c r="I581" s="1484"/>
      <c r="J581" s="1484"/>
      <c r="K581" s="1484"/>
      <c r="L581" s="1484"/>
      <c r="M581" s="1484"/>
      <c r="N581" s="1484"/>
      <c r="O581" s="1484"/>
      <c r="P581" s="1484"/>
      <c r="Q581" s="1484"/>
      <c r="R581" s="1484"/>
      <c r="S581" s="8"/>
      <c r="T581" s="22"/>
      <c r="U581" t="s">
        <v>18</v>
      </c>
      <c r="AA581" s="1484" t="s">
        <v>2760</v>
      </c>
      <c r="AB581" s="1484"/>
      <c r="AC581" s="1484"/>
      <c r="AD581" s="1484"/>
      <c r="AE581" s="1484"/>
      <c r="AF581" s="1484"/>
      <c r="AG581" s="1484"/>
      <c r="AH581" s="1484"/>
      <c r="AI581" s="1484"/>
      <c r="AJ581" s="1484"/>
      <c r="AK581" s="1484"/>
      <c r="BB581" s="3"/>
      <c r="BC581" s="3"/>
      <c r="BD581" s="3"/>
      <c r="BE581" s="3"/>
      <c r="BF581" s="3"/>
      <c r="BG581" s="3"/>
      <c r="BH581" s="3"/>
      <c r="BI581" s="3"/>
    </row>
    <row r="582" spans="1:61" ht="12.95" customHeight="1">
      <c r="A582" s="22"/>
      <c r="B582" s="320" t="s">
        <v>1185</v>
      </c>
      <c r="H582" s="8"/>
      <c r="I582" s="8"/>
      <c r="J582" s="8"/>
      <c r="K582" s="8"/>
      <c r="L582" s="8"/>
      <c r="M582" s="1612"/>
      <c r="N582" s="1612"/>
      <c r="O582" s="1612"/>
      <c r="P582" s="1612"/>
      <c r="Q582" s="1612"/>
      <c r="R582" s="1612"/>
      <c r="S582" s="8"/>
      <c r="T582" s="22"/>
      <c r="U582" s="320" t="s">
        <v>1185</v>
      </c>
      <c r="AA582" s="8"/>
      <c r="AB582" s="8"/>
      <c r="AC582" s="8"/>
      <c r="AD582" s="8"/>
      <c r="AE582" s="8"/>
      <c r="AF582" s="1612"/>
      <c r="AG582" s="1612"/>
      <c r="AH582" s="1612"/>
      <c r="AI582" s="1612"/>
      <c r="AJ582" s="1612"/>
      <c r="AK582" s="1612"/>
      <c r="BB582" s="3"/>
      <c r="BC582" s="3"/>
      <c r="BD582" s="3"/>
      <c r="BE582" s="3"/>
      <c r="BF582" s="3"/>
      <c r="BG582" s="3"/>
      <c r="BH582" s="3"/>
      <c r="BI582" s="3"/>
    </row>
    <row r="583" spans="1:61" ht="12.95" customHeight="1">
      <c r="A583" s="22"/>
      <c r="B583" t="s">
        <v>20</v>
      </c>
      <c r="N583" s="1440" t="s">
        <v>545</v>
      </c>
      <c r="O583" s="1440"/>
      <c r="T583" s="22"/>
      <c r="U583" t="s">
        <v>20</v>
      </c>
      <c r="AG583" s="1440" t="s">
        <v>545</v>
      </c>
      <c r="AH583" s="1440"/>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463</v>
      </c>
      <c r="G585" s="1518" t="str">
        <f>C564</f>
        <v>Town of Mammoth Lakes</v>
      </c>
      <c r="H585" s="1518"/>
      <c r="I585" s="1518"/>
      <c r="J585" s="1518"/>
      <c r="K585" s="1518"/>
      <c r="L585" s="1518"/>
      <c r="M585" s="1518"/>
      <c r="N585" s="1518"/>
      <c r="O585" s="1518"/>
      <c r="P585" s="1518"/>
      <c r="Q585" s="1518"/>
      <c r="R585" s="1518"/>
      <c r="T585" s="55" t="s">
        <v>581</v>
      </c>
      <c r="U585" t="s">
        <v>463</v>
      </c>
      <c r="Z585" s="1518" t="str">
        <f>C565</f>
        <v>Town of Mammoth Lakes</v>
      </c>
      <c r="AA585" s="1518"/>
      <c r="AB585" s="1518"/>
      <c r="AC585" s="1518"/>
      <c r="AD585" s="1518"/>
      <c r="AE585" s="1518"/>
      <c r="AF585" s="1518"/>
      <c r="AG585" s="1518"/>
      <c r="AH585" s="1518"/>
      <c r="AI585" s="1518"/>
      <c r="AJ585" s="1518"/>
      <c r="AK585" s="1518"/>
      <c r="BB585" s="3"/>
      <c r="BC585" s="3"/>
    </row>
    <row r="586" spans="1:61" ht="12.95" customHeight="1">
      <c r="A586" s="22"/>
      <c r="B586" t="s">
        <v>85</v>
      </c>
      <c r="G586" s="1484" t="s">
        <v>2761</v>
      </c>
      <c r="H586" s="1484"/>
      <c r="I586" s="1484"/>
      <c r="J586" s="1484"/>
      <c r="K586" s="1484"/>
      <c r="L586" s="1484"/>
      <c r="M586" s="1484"/>
      <c r="N586" s="1484"/>
      <c r="O586" s="1484"/>
      <c r="P586" s="1484"/>
      <c r="Q586" s="1484"/>
      <c r="R586" s="1484"/>
      <c r="T586" s="22"/>
      <c r="U586" t="s">
        <v>85</v>
      </c>
      <c r="Z586" s="1484" t="s">
        <v>2761</v>
      </c>
      <c r="AA586" s="1484"/>
      <c r="AB586" s="1484"/>
      <c r="AC586" s="1484"/>
      <c r="AD586" s="1484"/>
      <c r="AE586" s="1484"/>
      <c r="AF586" s="1484"/>
      <c r="AG586" s="1484"/>
      <c r="AH586" s="1484"/>
      <c r="AI586" s="1484"/>
      <c r="AJ586" s="1484"/>
      <c r="AK586" s="1484"/>
      <c r="BB586" s="3"/>
      <c r="BC586" s="3"/>
    </row>
    <row r="587" spans="1:61" ht="12.95" customHeight="1">
      <c r="A587" s="22"/>
      <c r="B587" t="s">
        <v>580</v>
      </c>
      <c r="G587" s="1346" t="s">
        <v>2762</v>
      </c>
      <c r="H587" s="1346"/>
      <c r="I587" s="1346"/>
      <c r="J587" s="1346"/>
      <c r="K587" s="1346"/>
      <c r="L587" s="1346"/>
      <c r="M587" s="1346"/>
      <c r="N587" s="1346"/>
      <c r="O587" s="1346"/>
      <c r="P587" s="1346"/>
      <c r="Q587" s="1346"/>
      <c r="R587" s="1346"/>
      <c r="T587" s="22"/>
      <c r="U587" t="s">
        <v>580</v>
      </c>
      <c r="Z587" s="1346" t="s">
        <v>2762</v>
      </c>
      <c r="AA587" s="1346"/>
      <c r="AB587" s="1346"/>
      <c r="AC587" s="1346"/>
      <c r="AD587" s="1346"/>
      <c r="AE587" s="1346"/>
      <c r="AF587" s="1346"/>
      <c r="AG587" s="1346"/>
      <c r="AH587" s="1346"/>
      <c r="AI587" s="1346"/>
      <c r="AJ587" s="1346"/>
      <c r="AK587" s="1346"/>
      <c r="BB587" s="3"/>
      <c r="BC587" s="3"/>
    </row>
    <row r="588" spans="1:61" ht="12.95" customHeight="1">
      <c r="A588" s="22"/>
      <c r="B588" t="s">
        <v>17</v>
      </c>
      <c r="G588" s="1346" t="s">
        <v>2763</v>
      </c>
      <c r="H588" s="1346"/>
      <c r="I588" s="1346"/>
      <c r="J588" s="1346"/>
      <c r="K588" s="1346"/>
      <c r="L588" s="1346"/>
      <c r="M588" s="1346"/>
      <c r="N588" s="1346"/>
      <c r="O588" s="1346"/>
      <c r="P588" s="1346"/>
      <c r="Q588" s="1346"/>
      <c r="R588" s="1346"/>
      <c r="T588" s="22"/>
      <c r="U588" t="s">
        <v>17</v>
      </c>
      <c r="Z588" s="1346" t="s">
        <v>2763</v>
      </c>
      <c r="AA588" s="1346"/>
      <c r="AB588" s="1346"/>
      <c r="AC588" s="1346"/>
      <c r="AD588" s="1346"/>
      <c r="AE588" s="1346"/>
      <c r="AF588" s="1346"/>
      <c r="AG588" s="1346"/>
      <c r="AH588" s="1346"/>
      <c r="AI588" s="1346"/>
      <c r="AJ588" s="1346"/>
      <c r="AK588" s="1346"/>
      <c r="BB588" s="3"/>
      <c r="BC588" s="3"/>
    </row>
    <row r="589" spans="1:61" ht="12.95" customHeight="1">
      <c r="A589" s="22"/>
      <c r="B589" t="s">
        <v>316</v>
      </c>
      <c r="G589" s="1535">
        <v>7609653631</v>
      </c>
      <c r="H589" s="1535"/>
      <c r="I589" s="1535"/>
      <c r="J589" s="1535"/>
      <c r="K589" s="1535"/>
      <c r="L589" s="1535"/>
      <c r="O589" s="33" t="s">
        <v>206</v>
      </c>
      <c r="P589" s="1474"/>
      <c r="Q589" s="1474"/>
      <c r="R589" s="1474"/>
      <c r="T589" s="22"/>
      <c r="U589" t="s">
        <v>316</v>
      </c>
      <c r="Z589" s="1535">
        <v>7609653631</v>
      </c>
      <c r="AA589" s="1535"/>
      <c r="AB589" s="1535"/>
      <c r="AC589" s="1535"/>
      <c r="AD589" s="1535"/>
      <c r="AE589" s="1535"/>
      <c r="AH589" s="33" t="s">
        <v>206</v>
      </c>
      <c r="AI589" s="1474"/>
      <c r="AJ589" s="1474"/>
      <c r="AK589" s="1474"/>
      <c r="BB589" s="3"/>
      <c r="BC589" s="3"/>
    </row>
    <row r="590" spans="1:61" ht="12.95" customHeight="1">
      <c r="A590" s="22"/>
      <c r="B590" t="s">
        <v>18</v>
      </c>
      <c r="H590" s="1484" t="s">
        <v>2764</v>
      </c>
      <c r="I590" s="1484"/>
      <c r="J590" s="1484"/>
      <c r="K590" s="1484"/>
      <c r="L590" s="1484"/>
      <c r="M590" s="1484"/>
      <c r="N590" s="1484"/>
      <c r="O590" s="1484"/>
      <c r="P590" s="1484"/>
      <c r="Q590" s="1484"/>
      <c r="R590" s="1484"/>
      <c r="T590" s="22"/>
      <c r="U590" t="s">
        <v>18</v>
      </c>
      <c r="AA590" s="1484" t="s">
        <v>2765</v>
      </c>
      <c r="AB590" s="1484"/>
      <c r="AC590" s="1484"/>
      <c r="AD590" s="1484"/>
      <c r="AE590" s="1484"/>
      <c r="AF590" s="1484"/>
      <c r="AG590" s="1484"/>
      <c r="AH590" s="1484"/>
      <c r="AI590" s="1484"/>
      <c r="AJ590" s="1484"/>
      <c r="AK590" s="1484"/>
      <c r="BB590" s="3"/>
      <c r="BC590" s="3"/>
    </row>
    <row r="591" spans="1:61" ht="12.95" customHeight="1">
      <c r="A591" s="22"/>
      <c r="B591" t="s">
        <v>20</v>
      </c>
      <c r="N591" s="1440" t="s">
        <v>545</v>
      </c>
      <c r="O591" s="1440"/>
      <c r="T591" s="22"/>
      <c r="U591" t="s">
        <v>20</v>
      </c>
      <c r="AG591" s="1440" t="s">
        <v>545</v>
      </c>
      <c r="AH591" s="1440"/>
      <c r="BB591" s="3"/>
      <c r="BC591" s="3"/>
    </row>
    <row r="592" spans="1:61" ht="12.95" customHeight="1">
      <c r="A592" s="22"/>
      <c r="T592" s="22"/>
      <c r="BB592" s="3"/>
      <c r="BC592" s="3"/>
    </row>
    <row r="593" spans="1:55" ht="12.95" customHeight="1">
      <c r="A593" s="55" t="s">
        <v>763</v>
      </c>
      <c r="B593" t="s">
        <v>463</v>
      </c>
      <c r="G593" s="1518" t="str">
        <f>C566</f>
        <v>Boston Financial</v>
      </c>
      <c r="H593" s="1518"/>
      <c r="I593" s="1518"/>
      <c r="J593" s="1518"/>
      <c r="K593" s="1518"/>
      <c r="L593" s="1518"/>
      <c r="M593" s="1518"/>
      <c r="N593" s="1518"/>
      <c r="O593" s="1518"/>
      <c r="P593" s="1518"/>
      <c r="Q593" s="1518"/>
      <c r="R593" s="1518"/>
      <c r="T593" s="55" t="s">
        <v>584</v>
      </c>
      <c r="U593" t="s">
        <v>463</v>
      </c>
      <c r="Z593" s="1518" t="str">
        <f>C567</f>
        <v>West Development Ventures, LLC</v>
      </c>
      <c r="AA593" s="1518"/>
      <c r="AB593" s="1518"/>
      <c r="AC593" s="1518"/>
      <c r="AD593" s="1518"/>
      <c r="AE593" s="1518"/>
      <c r="AF593" s="1518"/>
      <c r="AG593" s="1518"/>
      <c r="AH593" s="1518"/>
      <c r="AI593" s="1518"/>
      <c r="AJ593" s="1518"/>
      <c r="AK593" s="1518"/>
      <c r="BB593" s="3"/>
      <c r="BC593" s="3"/>
    </row>
    <row r="594" spans="1:55" ht="12.95" customHeight="1">
      <c r="A594" s="22"/>
      <c r="B594" t="s">
        <v>85</v>
      </c>
      <c r="G594" s="1484" t="s">
        <v>2766</v>
      </c>
      <c r="H594" s="1484"/>
      <c r="I594" s="1484"/>
      <c r="J594" s="1484"/>
      <c r="K594" s="1484"/>
      <c r="L594" s="1484"/>
      <c r="M594" s="1484"/>
      <c r="N594" s="1484"/>
      <c r="O594" s="1484"/>
      <c r="P594" s="1484"/>
      <c r="Q594" s="1484"/>
      <c r="R594" s="1484"/>
      <c r="T594" s="22"/>
      <c r="U594" t="s">
        <v>85</v>
      </c>
      <c r="Z594" s="1484" t="s">
        <v>2770</v>
      </c>
      <c r="AA594" s="1484"/>
      <c r="AB594" s="1484"/>
      <c r="AC594" s="1484"/>
      <c r="AD594" s="1484"/>
      <c r="AE594" s="1484"/>
      <c r="AF594" s="1484"/>
      <c r="AG594" s="1484"/>
      <c r="AH594" s="1484"/>
      <c r="AI594" s="1484"/>
      <c r="AJ594" s="1484"/>
      <c r="AK594" s="1484"/>
      <c r="BB594" s="3"/>
      <c r="BC594" s="3"/>
    </row>
    <row r="595" spans="1:55" ht="12.95" customHeight="1">
      <c r="A595" s="22"/>
      <c r="B595" t="s">
        <v>580</v>
      </c>
      <c r="G595" s="1484" t="s">
        <v>2767</v>
      </c>
      <c r="H595" s="1484"/>
      <c r="I595" s="1484"/>
      <c r="J595" s="1484"/>
      <c r="K595" s="1484"/>
      <c r="L595" s="1484"/>
      <c r="M595" s="1484"/>
      <c r="N595" s="1484"/>
      <c r="O595" s="1484"/>
      <c r="P595" s="1484"/>
      <c r="Q595" s="1484"/>
      <c r="R595" s="1484"/>
      <c r="T595" s="22"/>
      <c r="U595" t="s">
        <v>580</v>
      </c>
      <c r="Z595" s="1346" t="s">
        <v>68</v>
      </c>
      <c r="AA595" s="1346"/>
      <c r="AB595" s="1346"/>
      <c r="AC595" s="1346"/>
      <c r="AD595" s="1346"/>
      <c r="AE595" s="1346"/>
      <c r="AF595" s="1346"/>
      <c r="AG595" s="1346"/>
      <c r="AH595" s="1346"/>
      <c r="AI595" s="1346"/>
      <c r="AJ595" s="1346"/>
      <c r="AK595" s="1346"/>
      <c r="BB595" s="3"/>
      <c r="BC595" s="3"/>
    </row>
    <row r="596" spans="1:55" ht="12.95" customHeight="1">
      <c r="A596" s="22"/>
      <c r="B596" t="s">
        <v>17</v>
      </c>
      <c r="G596" s="1484" t="s">
        <v>2768</v>
      </c>
      <c r="H596" s="1484"/>
      <c r="I596" s="1484"/>
      <c r="J596" s="1484"/>
      <c r="K596" s="1484"/>
      <c r="L596" s="1484"/>
      <c r="M596" s="1484"/>
      <c r="N596" s="1484"/>
      <c r="O596" s="1484"/>
      <c r="P596" s="1484"/>
      <c r="Q596" s="1484"/>
      <c r="R596" s="1484"/>
      <c r="T596" s="22"/>
      <c r="U596" t="s">
        <v>17</v>
      </c>
      <c r="Z596" s="1346" t="s">
        <v>2771</v>
      </c>
      <c r="AA596" s="1346"/>
      <c r="AB596" s="1346"/>
      <c r="AC596" s="1346"/>
      <c r="AD596" s="1346"/>
      <c r="AE596" s="1346"/>
      <c r="AF596" s="1346"/>
      <c r="AG596" s="1346"/>
      <c r="AH596" s="1346"/>
      <c r="AI596" s="1346"/>
      <c r="AJ596" s="1346"/>
      <c r="AK596" s="1346"/>
    </row>
    <row r="597" spans="1:55" ht="12.95" customHeight="1">
      <c r="A597" s="22"/>
      <c r="B597" t="s">
        <v>316</v>
      </c>
      <c r="G597" s="1535">
        <v>7745675593</v>
      </c>
      <c r="H597" s="1535"/>
      <c r="I597" s="1535"/>
      <c r="J597" s="1535"/>
      <c r="K597" s="1535"/>
      <c r="L597" s="1535"/>
      <c r="O597" s="33" t="s">
        <v>206</v>
      </c>
      <c r="P597" s="1474"/>
      <c r="Q597" s="1474"/>
      <c r="R597" s="1474"/>
      <c r="T597" s="22"/>
      <c r="U597" t="s">
        <v>316</v>
      </c>
      <c r="Z597" s="1546" t="s">
        <v>2661</v>
      </c>
      <c r="AA597" s="1535"/>
      <c r="AB597" s="1535"/>
      <c r="AC597" s="1535"/>
      <c r="AD597" s="1535"/>
      <c r="AE597" s="1535"/>
      <c r="AH597" s="33" t="s">
        <v>206</v>
      </c>
      <c r="AI597" s="1474"/>
      <c r="AJ597" s="1474"/>
      <c r="AK597" s="1474"/>
      <c r="AZ597" s="3"/>
      <c r="BA597" s="3"/>
      <c r="BB597" s="3"/>
      <c r="BC597" s="3"/>
    </row>
    <row r="598" spans="1:55" ht="12.95" customHeight="1">
      <c r="A598" s="22"/>
      <c r="B598" t="s">
        <v>18</v>
      </c>
      <c r="H598" s="1484" t="s">
        <v>2769</v>
      </c>
      <c r="I598" s="1484"/>
      <c r="J598" s="1484"/>
      <c r="K598" s="1484"/>
      <c r="L598" s="1484"/>
      <c r="M598" s="1484"/>
      <c r="N598" s="1484"/>
      <c r="O598" s="1484"/>
      <c r="P598" s="1484"/>
      <c r="Q598" s="1484"/>
      <c r="R598" s="1484"/>
      <c r="T598" s="22"/>
      <c r="U598" t="s">
        <v>18</v>
      </c>
      <c r="AA598" s="1484" t="s">
        <v>2772</v>
      </c>
      <c r="AB598" s="1484"/>
      <c r="AC598" s="1484"/>
      <c r="AD598" s="1484"/>
      <c r="AE598" s="1484"/>
      <c r="AF598" s="1484"/>
      <c r="AG598" s="1484"/>
      <c r="AH598" s="1484"/>
      <c r="AI598" s="1484"/>
      <c r="AJ598" s="1484"/>
      <c r="AK598" s="1484"/>
      <c r="AZ598" s="3"/>
      <c r="BA598" s="3"/>
      <c r="BB598" s="3"/>
      <c r="BC598" s="3"/>
    </row>
    <row r="599" spans="1:55" ht="12.95" customHeight="1">
      <c r="A599" s="22"/>
      <c r="B599" t="s">
        <v>20</v>
      </c>
      <c r="N599" s="1440" t="s">
        <v>545</v>
      </c>
      <c r="O599" s="1440"/>
      <c r="T599" s="22"/>
      <c r="U599" t="s">
        <v>20</v>
      </c>
      <c r="AG599" s="1440" t="s">
        <v>545</v>
      </c>
      <c r="AH599" s="1440"/>
      <c r="AZ599" s="3"/>
      <c r="BA599" s="3"/>
      <c r="BB599" s="3"/>
      <c r="BC599" s="3"/>
    </row>
    <row r="600" spans="1:55" ht="12.95" customHeight="1">
      <c r="A600" s="22"/>
      <c r="T600" s="22"/>
      <c r="AZ600" s="3"/>
      <c r="BA600" s="3"/>
      <c r="BB600" s="3"/>
      <c r="BC600" s="3"/>
    </row>
    <row r="601" spans="1:55" ht="12.95" customHeight="1">
      <c r="A601" s="55" t="s">
        <v>455</v>
      </c>
      <c r="B601" t="s">
        <v>463</v>
      </c>
      <c r="G601" s="1518" t="str">
        <f>C568</f>
        <v>West Development Ventures, LLC</v>
      </c>
      <c r="H601" s="1518"/>
      <c r="I601" s="1518"/>
      <c r="J601" s="1518"/>
      <c r="K601" s="1518"/>
      <c r="L601" s="1518"/>
      <c r="M601" s="1518"/>
      <c r="N601" s="1518"/>
      <c r="O601" s="1518"/>
      <c r="P601" s="1518"/>
      <c r="Q601" s="1518"/>
      <c r="R601" s="1518"/>
      <c r="T601" s="55" t="s">
        <v>456</v>
      </c>
      <c r="U601" t="s">
        <v>463</v>
      </c>
      <c r="Z601" s="1518">
        <f>C569</f>
        <v>0</v>
      </c>
      <c r="AA601" s="1518"/>
      <c r="AB601" s="1518"/>
      <c r="AC601" s="1518"/>
      <c r="AD601" s="1518"/>
      <c r="AE601" s="1518"/>
      <c r="AF601" s="1518"/>
      <c r="AG601" s="1518"/>
      <c r="AH601" s="1518"/>
      <c r="AI601" s="1518"/>
      <c r="AJ601" s="1518"/>
      <c r="AK601" s="1518"/>
      <c r="AZ601" s="3"/>
      <c r="BA601" s="3"/>
      <c r="BB601" s="3"/>
      <c r="BC601" s="3"/>
    </row>
    <row r="602" spans="1:55" s="4" customFormat="1" ht="12.95" customHeight="1">
      <c r="A602" s="22"/>
      <c r="B602" t="s">
        <v>85</v>
      </c>
      <c r="C602"/>
      <c r="D602"/>
      <c r="E602"/>
      <c r="F602"/>
      <c r="G602" s="1484" t="s">
        <v>2770</v>
      </c>
      <c r="H602" s="1484"/>
      <c r="I602" s="1484"/>
      <c r="J602" s="1484"/>
      <c r="K602" s="1484"/>
      <c r="L602" s="1484"/>
      <c r="M602" s="1484"/>
      <c r="N602" s="1484"/>
      <c r="O602" s="1484"/>
      <c r="P602" s="1484"/>
      <c r="Q602" s="1484"/>
      <c r="R602" s="1484"/>
      <c r="S602"/>
      <c r="T602" s="22"/>
      <c r="U602" t="s">
        <v>85</v>
      </c>
      <c r="V602"/>
      <c r="W602"/>
      <c r="X602"/>
      <c r="Y602"/>
      <c r="Z602" s="1484"/>
      <c r="AA602" s="1484"/>
      <c r="AB602" s="1484"/>
      <c r="AC602" s="1484"/>
      <c r="AD602" s="1484"/>
      <c r="AE602" s="1484"/>
      <c r="AF602" s="1484"/>
      <c r="AG602" s="1484"/>
      <c r="AH602" s="1484"/>
      <c r="AI602" s="1484"/>
      <c r="AJ602" s="1484"/>
      <c r="AK602" s="1484"/>
      <c r="AL602"/>
      <c r="AM602"/>
      <c r="AN602"/>
      <c r="AO602"/>
      <c r="AP602"/>
      <c r="AQ602"/>
      <c r="AR602"/>
      <c r="AS602"/>
      <c r="AT602"/>
      <c r="AU602"/>
      <c r="AV602"/>
      <c r="AW602"/>
      <c r="AX602"/>
      <c r="AY602"/>
      <c r="AZ602" s="3"/>
      <c r="BA602" s="3"/>
      <c r="BB602" s="3"/>
      <c r="BC602" s="3"/>
    </row>
    <row r="603" spans="1:55" s="4" customFormat="1" ht="12.95" customHeight="1">
      <c r="A603" s="22"/>
      <c r="B603" t="s">
        <v>580</v>
      </c>
      <c r="C603"/>
      <c r="D603"/>
      <c r="E603"/>
      <c r="F603"/>
      <c r="G603" s="1484" t="s">
        <v>68</v>
      </c>
      <c r="H603" s="1484"/>
      <c r="I603" s="1484"/>
      <c r="J603" s="1484"/>
      <c r="K603" s="1484"/>
      <c r="L603" s="1484"/>
      <c r="M603" s="1484"/>
      <c r="N603" s="1484"/>
      <c r="O603" s="1484"/>
      <c r="P603" s="1484"/>
      <c r="Q603" s="1484"/>
      <c r="R603" s="1484"/>
      <c r="S603"/>
      <c r="T603" s="22"/>
      <c r="U603" t="s">
        <v>580</v>
      </c>
      <c r="V603"/>
      <c r="W603"/>
      <c r="X603"/>
      <c r="Y603"/>
      <c r="Z603" s="1346"/>
      <c r="AA603" s="1346"/>
      <c r="AB603" s="1346"/>
      <c r="AC603" s="1346"/>
      <c r="AD603" s="1346"/>
      <c r="AE603" s="1346"/>
      <c r="AF603" s="1346"/>
      <c r="AG603" s="1346"/>
      <c r="AH603" s="1346"/>
      <c r="AI603" s="1346"/>
      <c r="AJ603" s="1346"/>
      <c r="AK603" s="1346"/>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84" t="s">
        <v>2771</v>
      </c>
      <c r="H604" s="1484"/>
      <c r="I604" s="1484"/>
      <c r="J604" s="1484"/>
      <c r="K604" s="1484"/>
      <c r="L604" s="1484"/>
      <c r="M604" s="1484"/>
      <c r="N604" s="1484"/>
      <c r="O604" s="1484"/>
      <c r="P604" s="1484"/>
      <c r="Q604" s="1484"/>
      <c r="R604" s="1484"/>
      <c r="S604"/>
      <c r="T604" s="22"/>
      <c r="U604" t="s">
        <v>17</v>
      </c>
      <c r="V604"/>
      <c r="W604"/>
      <c r="X604"/>
      <c r="Y604"/>
      <c r="Z604" s="1346"/>
      <c r="AA604" s="1346"/>
      <c r="AB604" s="1346"/>
      <c r="AC604" s="1346"/>
      <c r="AD604" s="1346"/>
      <c r="AE604" s="1346"/>
      <c r="AF604" s="1346"/>
      <c r="AG604" s="1346"/>
      <c r="AH604" s="1346"/>
      <c r="AI604" s="1346"/>
      <c r="AJ604" s="1346"/>
      <c r="AK604" s="1346"/>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535">
        <v>9168345986</v>
      </c>
      <c r="H605" s="1535"/>
      <c r="I605" s="1535"/>
      <c r="J605" s="1535"/>
      <c r="K605" s="1535"/>
      <c r="L605" s="1535"/>
      <c r="M605"/>
      <c r="N605"/>
      <c r="O605" s="33" t="s">
        <v>206</v>
      </c>
      <c r="P605" s="1474"/>
      <c r="Q605" s="1474"/>
      <c r="R605" s="1474"/>
      <c r="S605"/>
      <c r="T605" s="22"/>
      <c r="U605" t="s">
        <v>316</v>
      </c>
      <c r="V605"/>
      <c r="W605"/>
      <c r="X605"/>
      <c r="Y605"/>
      <c r="Z605" s="1535"/>
      <c r="AA605" s="1535"/>
      <c r="AB605" s="1535"/>
      <c r="AC605" s="1535"/>
      <c r="AD605" s="1535"/>
      <c r="AE605" s="1535"/>
      <c r="AF605"/>
      <c r="AG605"/>
      <c r="AH605" s="33" t="s">
        <v>206</v>
      </c>
      <c r="AI605" s="1474"/>
      <c r="AJ605" s="1474"/>
      <c r="AK605" s="1474"/>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484" t="s">
        <v>2264</v>
      </c>
      <c r="I606" s="1484"/>
      <c r="J606" s="1484"/>
      <c r="K606" s="1484"/>
      <c r="L606" s="1484"/>
      <c r="M606" s="1484"/>
      <c r="N606" s="1484"/>
      <c r="O606" s="1484"/>
      <c r="P606" s="1484"/>
      <c r="Q606" s="1484"/>
      <c r="R606" s="1484"/>
      <c r="S606"/>
      <c r="T606" s="22"/>
      <c r="U606" t="s">
        <v>18</v>
      </c>
      <c r="V606"/>
      <c r="W606"/>
      <c r="X606"/>
      <c r="Y606"/>
      <c r="Z606"/>
      <c r="AA606" s="1484"/>
      <c r="AB606" s="1484"/>
      <c r="AC606" s="1484"/>
      <c r="AD606" s="1484"/>
      <c r="AE606" s="1484"/>
      <c r="AF606" s="1484"/>
      <c r="AG606" s="1484"/>
      <c r="AH606" s="1484"/>
      <c r="AI606" s="1484"/>
      <c r="AJ606" s="1484"/>
      <c r="AK606" s="1484"/>
      <c r="AL606"/>
      <c r="AM606"/>
      <c r="AN606"/>
      <c r="AO606"/>
      <c r="AP606"/>
      <c r="AQ606"/>
      <c r="AR606"/>
      <c r="AS606"/>
      <c r="AT606"/>
      <c r="AU606"/>
      <c r="AV606"/>
      <c r="AW606"/>
      <c r="AX606"/>
      <c r="AY606"/>
      <c r="BB606" s="3"/>
      <c r="BC606" s="3"/>
    </row>
    <row r="607" spans="1:55" ht="12.95" customHeight="1">
      <c r="A607" s="22"/>
      <c r="B607" t="s">
        <v>20</v>
      </c>
      <c r="N607" s="1440" t="s">
        <v>545</v>
      </c>
      <c r="O607" s="1440"/>
      <c r="T607" s="22"/>
      <c r="U607" t="s">
        <v>20</v>
      </c>
      <c r="AG607" s="1440" t="s">
        <v>669</v>
      </c>
      <c r="AH607" s="1440"/>
      <c r="BB607" s="3"/>
      <c r="BC607" s="3"/>
    </row>
    <row r="608" spans="1:55" ht="12.95" customHeight="1">
      <c r="A608" s="22"/>
      <c r="T608" s="22"/>
      <c r="BB608" s="3"/>
      <c r="BC608" s="3"/>
    </row>
    <row r="609" spans="1:55" ht="12.95" customHeight="1">
      <c r="A609" s="55" t="s">
        <v>461</v>
      </c>
      <c r="B609" t="s">
        <v>463</v>
      </c>
      <c r="G609" s="1518">
        <f>C570</f>
        <v>0</v>
      </c>
      <c r="H609" s="1518"/>
      <c r="I609" s="1518"/>
      <c r="J609" s="1518"/>
      <c r="K609" s="1518"/>
      <c r="L609" s="1518"/>
      <c r="M609" s="1518"/>
      <c r="N609" s="1518"/>
      <c r="O609" s="1518"/>
      <c r="P609" s="1518"/>
      <c r="Q609" s="1518"/>
      <c r="R609" s="1518"/>
      <c r="T609" s="55" t="s">
        <v>646</v>
      </c>
      <c r="U609" t="s">
        <v>463</v>
      </c>
      <c r="Z609" s="1518">
        <f>C571</f>
        <v>0</v>
      </c>
      <c r="AA609" s="1518"/>
      <c r="AB609" s="1518"/>
      <c r="AC609" s="1518"/>
      <c r="AD609" s="1518"/>
      <c r="AE609" s="1518"/>
      <c r="AF609" s="1518"/>
      <c r="AG609" s="1518"/>
      <c r="AH609" s="1518"/>
      <c r="AI609" s="1518"/>
      <c r="AJ609" s="1518"/>
      <c r="AK609" s="1518"/>
      <c r="BB609" s="3"/>
      <c r="BC609" s="3"/>
    </row>
    <row r="610" spans="1:55" ht="12.95" customHeight="1">
      <c r="A610" s="22"/>
      <c r="B610" t="s">
        <v>85</v>
      </c>
      <c r="G610" s="1484"/>
      <c r="H610" s="1484"/>
      <c r="I610" s="1484"/>
      <c r="J610" s="1484"/>
      <c r="K610" s="1484"/>
      <c r="L610" s="1484"/>
      <c r="M610" s="1484"/>
      <c r="N610" s="1484"/>
      <c r="O610" s="1484"/>
      <c r="P610" s="1484"/>
      <c r="Q610" s="1484"/>
      <c r="R610" s="1484"/>
      <c r="T610" s="22"/>
      <c r="U610" t="s">
        <v>85</v>
      </c>
      <c r="Z610" s="1484"/>
      <c r="AA610" s="1484"/>
      <c r="AB610" s="1484"/>
      <c r="AC610" s="1484"/>
      <c r="AD610" s="1484"/>
      <c r="AE610" s="1484"/>
      <c r="AF610" s="1484"/>
      <c r="AG610" s="1484"/>
      <c r="AH610" s="1484"/>
      <c r="AI610" s="1484"/>
      <c r="AJ610" s="1484"/>
      <c r="AK610" s="1484"/>
      <c r="AZ610" s="3"/>
      <c r="BA610" s="3"/>
      <c r="BB610" s="3"/>
      <c r="BC610" s="3"/>
    </row>
    <row r="611" spans="1:55" ht="12.95" customHeight="1">
      <c r="A611" s="22"/>
      <c r="B611" t="s">
        <v>580</v>
      </c>
      <c r="G611" s="1484"/>
      <c r="H611" s="1484"/>
      <c r="I611" s="1484"/>
      <c r="J611" s="1484"/>
      <c r="K611" s="1484"/>
      <c r="L611" s="1484"/>
      <c r="M611" s="1484"/>
      <c r="N611" s="1484"/>
      <c r="O611" s="1484"/>
      <c r="P611" s="1484"/>
      <c r="Q611" s="1484"/>
      <c r="R611" s="1484"/>
      <c r="T611" s="22"/>
      <c r="U611" t="s">
        <v>580</v>
      </c>
      <c r="Z611" s="1346"/>
      <c r="AA611" s="1346"/>
      <c r="AB611" s="1346"/>
      <c r="AC611" s="1346"/>
      <c r="AD611" s="1346"/>
      <c r="AE611" s="1346"/>
      <c r="AF611" s="1346"/>
      <c r="AG611" s="1346"/>
      <c r="AH611" s="1346"/>
      <c r="AI611" s="1346"/>
      <c r="AJ611" s="1346"/>
      <c r="AK611" s="1346"/>
      <c r="AZ611" s="3"/>
      <c r="BA611" s="3"/>
      <c r="BB611" s="3"/>
      <c r="BC611" s="3"/>
    </row>
    <row r="612" spans="1:55" ht="12.95" customHeight="1">
      <c r="A612" s="22"/>
      <c r="B612" t="s">
        <v>17</v>
      </c>
      <c r="G612" s="1484"/>
      <c r="H612" s="1484"/>
      <c r="I612" s="1484"/>
      <c r="J612" s="1484"/>
      <c r="K612" s="1484"/>
      <c r="L612" s="1484"/>
      <c r="M612" s="1484"/>
      <c r="N612" s="1484"/>
      <c r="O612" s="1484"/>
      <c r="P612" s="1484"/>
      <c r="Q612" s="1484"/>
      <c r="R612" s="1484"/>
      <c r="T612" s="22"/>
      <c r="U612" t="s">
        <v>17</v>
      </c>
      <c r="Z612" s="1346"/>
      <c r="AA612" s="1346"/>
      <c r="AB612" s="1346"/>
      <c r="AC612" s="1346"/>
      <c r="AD612" s="1346"/>
      <c r="AE612" s="1346"/>
      <c r="AF612" s="1346"/>
      <c r="AG612" s="1346"/>
      <c r="AH612" s="1346"/>
      <c r="AI612" s="1346"/>
      <c r="AJ612" s="1346"/>
      <c r="AK612" s="1346"/>
      <c r="AZ612" s="3"/>
      <c r="BA612" s="3"/>
      <c r="BB612" s="3"/>
      <c r="BC612" s="3"/>
    </row>
    <row r="613" spans="1:55" s="4" customFormat="1" ht="12.95" customHeight="1">
      <c r="A613" s="22"/>
      <c r="B613" t="s">
        <v>316</v>
      </c>
      <c r="C613"/>
      <c r="D613"/>
      <c r="E613"/>
      <c r="F613"/>
      <c r="G613" s="1535"/>
      <c r="H613" s="1535"/>
      <c r="I613" s="1535"/>
      <c r="J613" s="1535"/>
      <c r="K613" s="1535"/>
      <c r="L613" s="1535"/>
      <c r="M613"/>
      <c r="N613"/>
      <c r="O613" s="33" t="s">
        <v>206</v>
      </c>
      <c r="P613" s="1474"/>
      <c r="Q613" s="1474"/>
      <c r="R613" s="1474"/>
      <c r="S613"/>
      <c r="T613" s="22"/>
      <c r="U613" t="s">
        <v>316</v>
      </c>
      <c r="V613"/>
      <c r="W613"/>
      <c r="X613"/>
      <c r="Y613"/>
      <c r="Z613" s="1535"/>
      <c r="AA613" s="1535"/>
      <c r="AB613" s="1535"/>
      <c r="AC613" s="1535"/>
      <c r="AD613" s="1535"/>
      <c r="AE613" s="1535"/>
      <c r="AF613"/>
      <c r="AG613"/>
      <c r="AH613" s="33" t="s">
        <v>206</v>
      </c>
      <c r="AI613" s="1474"/>
      <c r="AJ613" s="1474"/>
      <c r="AK613" s="1474"/>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484"/>
      <c r="I614" s="1484"/>
      <c r="J614" s="1484"/>
      <c r="K614" s="1484"/>
      <c r="L614" s="1484"/>
      <c r="M614" s="1484"/>
      <c r="N614" s="1484"/>
      <c r="O614" s="1484"/>
      <c r="P614" s="1484"/>
      <c r="Q614" s="1484"/>
      <c r="R614" s="1484"/>
      <c r="S614"/>
      <c r="T614" s="22"/>
      <c r="U614" t="s">
        <v>18</v>
      </c>
      <c r="V614"/>
      <c r="W614"/>
      <c r="X614"/>
      <c r="Y614"/>
      <c r="Z614"/>
      <c r="AA614" s="1484"/>
      <c r="AB614" s="1484"/>
      <c r="AC614" s="1484"/>
      <c r="AD614" s="1484"/>
      <c r="AE614" s="1484"/>
      <c r="AF614" s="1484"/>
      <c r="AG614" s="1484"/>
      <c r="AH614" s="1484"/>
      <c r="AI614" s="1484"/>
      <c r="AJ614" s="1484"/>
      <c r="AK614" s="1484"/>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440" t="s">
        <v>669</v>
      </c>
      <c r="O615" s="1440"/>
      <c r="P615"/>
      <c r="Q615"/>
      <c r="R615"/>
      <c r="S615"/>
      <c r="T615" s="22"/>
      <c r="U615" t="s">
        <v>20</v>
      </c>
      <c r="V615"/>
      <c r="W615"/>
      <c r="X615"/>
      <c r="Y615"/>
      <c r="Z615"/>
      <c r="AA615"/>
      <c r="AB615"/>
      <c r="AC615"/>
      <c r="AD615"/>
      <c r="AE615"/>
      <c r="AF615"/>
      <c r="AG615" s="1440" t="s">
        <v>669</v>
      </c>
      <c r="AH615" s="1440"/>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463</v>
      </c>
      <c r="G617" s="1518">
        <f>C572</f>
        <v>0</v>
      </c>
      <c r="H617" s="1518"/>
      <c r="I617" s="1518"/>
      <c r="J617" s="1518"/>
      <c r="K617" s="1518"/>
      <c r="L617" s="1518"/>
      <c r="M617" s="1518"/>
      <c r="N617" s="1518"/>
      <c r="O617" s="1518"/>
      <c r="P617" s="1518"/>
      <c r="Q617" s="1518"/>
      <c r="R617" s="1518"/>
      <c r="T617" s="55" t="s">
        <v>363</v>
      </c>
      <c r="U617" t="s">
        <v>463</v>
      </c>
      <c r="Z617" s="1518">
        <f>C573</f>
        <v>0</v>
      </c>
      <c r="AA617" s="1518"/>
      <c r="AB617" s="1518"/>
      <c r="AC617" s="1518"/>
      <c r="AD617" s="1518"/>
      <c r="AE617" s="1518"/>
      <c r="AF617" s="1518"/>
      <c r="AG617" s="1518"/>
      <c r="AH617" s="1518"/>
      <c r="AI617" s="1518"/>
      <c r="AJ617" s="1518"/>
      <c r="AK617" s="1518"/>
      <c r="AZ617" s="3"/>
      <c r="BA617" s="3"/>
      <c r="BB617" s="3"/>
      <c r="BC617" s="3"/>
    </row>
    <row r="618" spans="1:55" ht="12.95" customHeight="1">
      <c r="B618" t="s">
        <v>85</v>
      </c>
      <c r="G618" s="1484"/>
      <c r="H618" s="1484"/>
      <c r="I618" s="1484"/>
      <c r="J618" s="1484"/>
      <c r="K618" s="1484"/>
      <c r="L618" s="1484"/>
      <c r="M618" s="1484"/>
      <c r="N618" s="1484"/>
      <c r="O618" s="1484"/>
      <c r="P618" s="1484"/>
      <c r="Q618" s="1484"/>
      <c r="R618" s="1484"/>
      <c r="U618" t="s">
        <v>85</v>
      </c>
      <c r="Z618" s="1484"/>
      <c r="AA618" s="1484"/>
      <c r="AB618" s="1484"/>
      <c r="AC618" s="1484"/>
      <c r="AD618" s="1484"/>
      <c r="AE618" s="1484"/>
      <c r="AF618" s="1484"/>
      <c r="AG618" s="1484"/>
      <c r="AH618" s="1484"/>
      <c r="AI618" s="1484"/>
      <c r="AJ618" s="1484"/>
      <c r="AK618" s="1484"/>
      <c r="AZ618" s="3"/>
      <c r="BA618" s="3"/>
      <c r="BB618" s="3"/>
      <c r="BC618" s="3"/>
    </row>
    <row r="619" spans="1:55" ht="12.95" customHeight="1">
      <c r="B619" t="s">
        <v>580</v>
      </c>
      <c r="G619" s="1484"/>
      <c r="H619" s="1484"/>
      <c r="I619" s="1484"/>
      <c r="J619" s="1484"/>
      <c r="K619" s="1484"/>
      <c r="L619" s="1484"/>
      <c r="M619" s="1484"/>
      <c r="N619" s="1484"/>
      <c r="O619" s="1484"/>
      <c r="P619" s="1484"/>
      <c r="Q619" s="1484"/>
      <c r="R619" s="1484"/>
      <c r="U619" t="s">
        <v>580</v>
      </c>
      <c r="Z619" s="1346"/>
      <c r="AA619" s="1346"/>
      <c r="AB619" s="1346"/>
      <c r="AC619" s="1346"/>
      <c r="AD619" s="1346"/>
      <c r="AE619" s="1346"/>
      <c r="AF619" s="1346"/>
      <c r="AG619" s="1346"/>
      <c r="AH619" s="1346"/>
      <c r="AI619" s="1346"/>
      <c r="AJ619" s="1346"/>
      <c r="AK619" s="1346"/>
      <c r="AZ619" s="3"/>
      <c r="BA619" s="3"/>
      <c r="BB619" s="3"/>
      <c r="BC619" s="3"/>
    </row>
    <row r="620" spans="1:55" ht="12.95" customHeight="1">
      <c r="B620" t="s">
        <v>17</v>
      </c>
      <c r="G620" s="1484"/>
      <c r="H620" s="1484"/>
      <c r="I620" s="1484"/>
      <c r="J620" s="1484"/>
      <c r="K620" s="1484"/>
      <c r="L620" s="1484"/>
      <c r="M620" s="1484"/>
      <c r="N620" s="1484"/>
      <c r="O620" s="1484"/>
      <c r="P620" s="1484"/>
      <c r="Q620" s="1484"/>
      <c r="R620" s="1484"/>
      <c r="U620" t="s">
        <v>17</v>
      </c>
      <c r="Z620" s="1346"/>
      <c r="AA620" s="1346"/>
      <c r="AB620" s="1346"/>
      <c r="AC620" s="1346"/>
      <c r="AD620" s="1346"/>
      <c r="AE620" s="1346"/>
      <c r="AF620" s="1346"/>
      <c r="AG620" s="1346"/>
      <c r="AH620" s="1346"/>
      <c r="AI620" s="1346"/>
      <c r="AJ620" s="1346"/>
      <c r="AK620" s="1346"/>
      <c r="AZ620" s="3"/>
      <c r="BA620" s="3"/>
      <c r="BB620" s="3"/>
      <c r="BC620" s="3"/>
    </row>
    <row r="621" spans="1:55" ht="12.95" customHeight="1">
      <c r="B621" t="s">
        <v>316</v>
      </c>
      <c r="G621" s="1535"/>
      <c r="H621" s="1535"/>
      <c r="I621" s="1535"/>
      <c r="J621" s="1535"/>
      <c r="K621" s="1535"/>
      <c r="L621" s="1535"/>
      <c r="O621" s="33" t="s">
        <v>206</v>
      </c>
      <c r="P621" s="1474"/>
      <c r="Q621" s="1474"/>
      <c r="R621" s="1474"/>
      <c r="U621" t="s">
        <v>316</v>
      </c>
      <c r="Z621" s="1535"/>
      <c r="AA621" s="1535"/>
      <c r="AB621" s="1535"/>
      <c r="AC621" s="1535"/>
      <c r="AD621" s="1535"/>
      <c r="AE621" s="1535"/>
      <c r="AH621" s="33" t="s">
        <v>206</v>
      </c>
      <c r="AI621" s="1474"/>
      <c r="AJ621" s="1474"/>
      <c r="AK621" s="1474"/>
      <c r="AZ621" s="3"/>
      <c r="BA621" s="3"/>
      <c r="BB621" s="3"/>
      <c r="BC621" s="3"/>
    </row>
    <row r="622" spans="1:55" ht="12.95" customHeight="1">
      <c r="B622" t="s">
        <v>18</v>
      </c>
      <c r="H622" s="1484"/>
      <c r="I622" s="1484"/>
      <c r="J622" s="1484"/>
      <c r="K622" s="1484"/>
      <c r="L622" s="1484"/>
      <c r="M622" s="1484"/>
      <c r="N622" s="1484"/>
      <c r="O622" s="1484"/>
      <c r="P622" s="1484"/>
      <c r="Q622" s="1484"/>
      <c r="R622" s="1484"/>
      <c r="U622" t="s">
        <v>18</v>
      </c>
      <c r="AA622" s="1484"/>
      <c r="AB622" s="1484"/>
      <c r="AC622" s="1484"/>
      <c r="AD622" s="1484"/>
      <c r="AE622" s="1484"/>
      <c r="AF622" s="1484"/>
      <c r="AG622" s="1484"/>
      <c r="AH622" s="1484"/>
      <c r="AI622" s="1484"/>
      <c r="AJ622" s="1484"/>
      <c r="AK622" s="1484"/>
      <c r="AU622" s="895"/>
      <c r="AV622" s="895"/>
      <c r="AW622" s="895"/>
      <c r="AX622" s="895"/>
      <c r="AY622" s="895"/>
      <c r="AZ622" s="3"/>
      <c r="BA622" s="3"/>
      <c r="BB622" s="3"/>
      <c r="BC622" s="3"/>
    </row>
    <row r="623" spans="1:55" ht="12.95" customHeight="1">
      <c r="B623" t="s">
        <v>20</v>
      </c>
      <c r="N623" s="1440" t="s">
        <v>669</v>
      </c>
      <c r="O623" s="1440"/>
      <c r="U623" t="s">
        <v>20</v>
      </c>
      <c r="AG623" s="1440" t="s">
        <v>669</v>
      </c>
      <c r="AH623" s="1440"/>
      <c r="AU623" s="895"/>
      <c r="AV623" s="895"/>
      <c r="AW623" s="895"/>
      <c r="AX623" s="895"/>
      <c r="AY623" s="895"/>
      <c r="AZ623" s="3"/>
      <c r="BA623" s="3"/>
      <c r="BB623" s="3"/>
      <c r="BC623" s="3"/>
    </row>
    <row r="624" spans="1:55" ht="12.95" customHeight="1">
      <c r="AZ624" s="3"/>
      <c r="BA624" s="3"/>
      <c r="BB624" s="3"/>
      <c r="BC624" s="3"/>
    </row>
    <row r="625" spans="1:56" ht="12.95" customHeight="1">
      <c r="A625" s="1278" t="s">
        <v>544</v>
      </c>
      <c r="B625" s="1278"/>
      <c r="C625" s="1278"/>
      <c r="D625" s="1278"/>
      <c r="E625" s="1278"/>
      <c r="F625" s="1278"/>
      <c r="G625" s="1278"/>
      <c r="H625" s="1278"/>
      <c r="I625" s="1278"/>
      <c r="J625" s="1278"/>
      <c r="K625" s="1278"/>
      <c r="L625" s="1278"/>
      <c r="M625" s="1278"/>
      <c r="N625" s="1278"/>
      <c r="O625" s="1278"/>
      <c r="P625" s="1278"/>
      <c r="Q625" s="1278"/>
      <c r="R625" s="1278"/>
      <c r="S625" s="1278"/>
      <c r="T625" s="1278"/>
      <c r="U625" s="1278"/>
      <c r="V625" s="1278"/>
      <c r="W625" s="1278"/>
      <c r="X625" s="1278"/>
      <c r="Y625" s="1278"/>
      <c r="Z625" s="1278"/>
      <c r="AA625" s="1278"/>
      <c r="AB625" s="1278"/>
      <c r="AC625" s="1278"/>
      <c r="AD625" s="1278"/>
      <c r="AE625" s="1278"/>
      <c r="AF625" s="1278"/>
      <c r="AG625" s="1278"/>
      <c r="AH625" s="1278"/>
      <c r="AI625" s="1278"/>
      <c r="AJ625" s="1278"/>
      <c r="AK625" s="1278"/>
      <c r="AL625" s="1278"/>
      <c r="AM625" s="1278"/>
      <c r="AN625" s="1278"/>
      <c r="AO625" s="1278"/>
      <c r="AP625" s="1278"/>
      <c r="AQ625" s="1278"/>
      <c r="AR625" s="1278"/>
      <c r="AS625" s="1278"/>
      <c r="AT625" s="1278"/>
      <c r="AZ625" s="3"/>
      <c r="BA625" s="3"/>
      <c r="BB625" s="3"/>
      <c r="BC625" s="3"/>
    </row>
    <row r="626" spans="1:56" ht="12.95" customHeight="1">
      <c r="A626" s="1278"/>
      <c r="B626" s="1278"/>
      <c r="C626" s="1278"/>
      <c r="D626" s="1278"/>
      <c r="E626" s="1278"/>
      <c r="F626" s="1278"/>
      <c r="G626" s="1278"/>
      <c r="H626" s="1278"/>
      <c r="I626" s="1278"/>
      <c r="J626" s="1278"/>
      <c r="K626" s="1278"/>
      <c r="L626" s="1278"/>
      <c r="M626" s="1278"/>
      <c r="N626" s="1278"/>
      <c r="O626" s="1278"/>
      <c r="P626" s="1278"/>
      <c r="Q626" s="1278"/>
      <c r="R626" s="1278"/>
      <c r="S626" s="1278"/>
      <c r="T626" s="1278"/>
      <c r="U626" s="1278"/>
      <c r="V626" s="1278"/>
      <c r="W626" s="1278"/>
      <c r="X626" s="1278"/>
      <c r="Y626" s="1278"/>
      <c r="Z626" s="1278"/>
      <c r="AA626" s="1278"/>
      <c r="AB626" s="1278"/>
      <c r="AC626" s="1278"/>
      <c r="AD626" s="1278"/>
      <c r="AE626" s="1278"/>
      <c r="AF626" s="1278"/>
      <c r="AG626" s="1278"/>
      <c r="AH626" s="1278"/>
      <c r="AI626" s="1278"/>
      <c r="AJ626" s="1278"/>
      <c r="AK626" s="1278"/>
      <c r="AL626" s="1278"/>
      <c r="AM626" s="1278"/>
      <c r="AN626" s="1278"/>
      <c r="AO626" s="1278"/>
      <c r="AP626" s="1278"/>
      <c r="AQ626" s="1278"/>
      <c r="AR626" s="1278"/>
      <c r="AS626" s="1278"/>
      <c r="AT626" s="1278"/>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2057</v>
      </c>
      <c r="AZ630" s="3"/>
      <c r="BA630" s="3"/>
      <c r="BB630" s="3"/>
      <c r="BC630" s="3"/>
    </row>
    <row r="631" spans="1:56" ht="12.95" customHeight="1">
      <c r="B631" s="512"/>
      <c r="C631" s="2"/>
      <c r="AU631" s="3"/>
      <c r="AZ631" s="3"/>
      <c r="BA631" s="3"/>
      <c r="BB631" s="3"/>
      <c r="BC631" s="3"/>
    </row>
    <row r="632" spans="1:56" ht="12.95" customHeight="1">
      <c r="B632" s="1615" t="s">
        <v>2059</v>
      </c>
      <c r="C632" s="1615"/>
      <c r="D632" s="1615"/>
      <c r="E632" s="1615"/>
      <c r="F632" s="1615"/>
      <c r="G632" s="1615"/>
      <c r="H632" s="1615"/>
      <c r="I632" s="1615"/>
      <c r="J632" s="1615"/>
      <c r="K632" s="1615"/>
      <c r="L632" s="1615"/>
      <c r="M632" s="1619" t="s">
        <v>2060</v>
      </c>
      <c r="N632" s="1619"/>
      <c r="O632" s="1619"/>
      <c r="P632" s="1619"/>
      <c r="Q632" s="1619" t="s">
        <v>1829</v>
      </c>
      <c r="R632" s="1619"/>
      <c r="S632" s="1619"/>
      <c r="T632" s="1619" t="s">
        <v>1827</v>
      </c>
      <c r="U632" s="1619"/>
      <c r="V632" s="1619"/>
      <c r="W632" s="1673" t="s">
        <v>453</v>
      </c>
      <c r="X632" s="1673"/>
      <c r="Y632" s="1673"/>
      <c r="Z632" s="1430" t="s">
        <v>2089</v>
      </c>
      <c r="AA632" s="1430"/>
      <c r="AB632" s="1431"/>
      <c r="AC632" s="1693" t="s">
        <v>1665</v>
      </c>
      <c r="AD632" s="1694"/>
      <c r="AE632" s="1695"/>
      <c r="AF632" s="1429" t="s">
        <v>1904</v>
      </c>
      <c r="AG632" s="1430"/>
      <c r="AH632" s="1430"/>
      <c r="AI632" s="1430"/>
      <c r="AJ632" s="1431"/>
      <c r="AK632" s="1683" t="s">
        <v>1905</v>
      </c>
      <c r="AL632" s="1684"/>
      <c r="AM632" s="1684"/>
      <c r="AN632" s="1685"/>
      <c r="AO632" s="1619" t="s">
        <v>454</v>
      </c>
      <c r="AP632" s="1619"/>
      <c r="AQ632" s="1619"/>
      <c r="AR632" s="1619"/>
      <c r="AS632" s="1619"/>
      <c r="AU632" s="3"/>
      <c r="AZ632" s="3"/>
      <c r="BA632" s="3"/>
      <c r="BB632" s="3"/>
      <c r="BC632" s="3"/>
    </row>
    <row r="633" spans="1:56" ht="12.95" customHeight="1">
      <c r="B633" s="1615"/>
      <c r="C633" s="1615"/>
      <c r="D633" s="1615"/>
      <c r="E633" s="1615"/>
      <c r="F633" s="1615"/>
      <c r="G633" s="1615"/>
      <c r="H633" s="1615"/>
      <c r="I633" s="1615"/>
      <c r="J633" s="1615"/>
      <c r="K633" s="1615"/>
      <c r="L633" s="1615"/>
      <c r="M633" s="1619"/>
      <c r="N633" s="1619"/>
      <c r="O633" s="1619"/>
      <c r="P633" s="1619"/>
      <c r="Q633" s="1619"/>
      <c r="R633" s="1619"/>
      <c r="S633" s="1619"/>
      <c r="T633" s="1619"/>
      <c r="U633" s="1619"/>
      <c r="V633" s="1619"/>
      <c r="W633" s="1673"/>
      <c r="X633" s="1673"/>
      <c r="Y633" s="1673"/>
      <c r="Z633" s="1433"/>
      <c r="AA633" s="1433"/>
      <c r="AB633" s="1434"/>
      <c r="AC633" s="1696"/>
      <c r="AD633" s="1697"/>
      <c r="AE633" s="1698"/>
      <c r="AF633" s="1432"/>
      <c r="AG633" s="1433"/>
      <c r="AH633" s="1433"/>
      <c r="AI633" s="1433"/>
      <c r="AJ633" s="1434"/>
      <c r="AK633" s="1686"/>
      <c r="AL633" s="1687"/>
      <c r="AM633" s="1687"/>
      <c r="AN633" s="1688"/>
      <c r="AO633" s="1619"/>
      <c r="AP633" s="1619"/>
      <c r="AQ633" s="1619"/>
      <c r="AR633" s="1619"/>
      <c r="AS633" s="1619"/>
      <c r="AU633" s="3"/>
      <c r="AZ633" s="3"/>
      <c r="BA633" s="3"/>
      <c r="BB633" s="3"/>
      <c r="BC633" s="3"/>
      <c r="BD633" s="3"/>
    </row>
    <row r="634" spans="1:56" ht="12.95" customHeight="1">
      <c r="B634" s="1615"/>
      <c r="C634" s="1615"/>
      <c r="D634" s="1615"/>
      <c r="E634" s="1615"/>
      <c r="F634" s="1615"/>
      <c r="G634" s="1615"/>
      <c r="H634" s="1615"/>
      <c r="I634" s="1615"/>
      <c r="J634" s="1615"/>
      <c r="K634" s="1615"/>
      <c r="L634" s="1615"/>
      <c r="M634" s="1619"/>
      <c r="N634" s="1619"/>
      <c r="O634" s="1619"/>
      <c r="P634" s="1619"/>
      <c r="Q634" s="1619"/>
      <c r="R634" s="1619"/>
      <c r="S634" s="1619"/>
      <c r="T634" s="1619"/>
      <c r="U634" s="1619"/>
      <c r="V634" s="1619"/>
      <c r="W634" s="1673"/>
      <c r="X634" s="1673"/>
      <c r="Y634" s="1673"/>
      <c r="Z634" s="1436"/>
      <c r="AA634" s="1436"/>
      <c r="AB634" s="1437"/>
      <c r="AC634" s="1699"/>
      <c r="AD634" s="1700"/>
      <c r="AE634" s="1701"/>
      <c r="AF634" s="1435"/>
      <c r="AG634" s="1436"/>
      <c r="AH634" s="1436"/>
      <c r="AI634" s="1436"/>
      <c r="AJ634" s="1437"/>
      <c r="AK634" s="1689"/>
      <c r="AL634" s="1690"/>
      <c r="AM634" s="1690"/>
      <c r="AN634" s="1691"/>
      <c r="AO634" s="1619"/>
      <c r="AP634" s="1619"/>
      <c r="AQ634" s="1619"/>
      <c r="AR634" s="1619"/>
      <c r="AS634" s="1619"/>
      <c r="AT634" s="3"/>
      <c r="AU634" s="3"/>
      <c r="AZ634" s="3"/>
      <c r="BA634" s="3"/>
      <c r="BB634" s="3"/>
      <c r="BC634" s="3"/>
      <c r="BD634" s="3"/>
    </row>
    <row r="635" spans="1:56" ht="12.95" customHeight="1">
      <c r="B635" s="51" t="s">
        <v>112</v>
      </c>
      <c r="C635" s="1676" t="s">
        <v>2747</v>
      </c>
      <c r="D635" s="1676"/>
      <c r="E635" s="1676"/>
      <c r="F635" s="1676"/>
      <c r="G635" s="1676"/>
      <c r="H635" s="1676"/>
      <c r="I635" s="1676"/>
      <c r="J635" s="1676"/>
      <c r="K635" s="1676"/>
      <c r="L635" s="1676"/>
      <c r="M635" s="1496" t="s">
        <v>2076</v>
      </c>
      <c r="N635" s="1496"/>
      <c r="O635" s="1496"/>
      <c r="P635" s="1496"/>
      <c r="Q635" s="1489">
        <v>204</v>
      </c>
      <c r="R635" s="1489"/>
      <c r="S635" s="1490"/>
      <c r="T635" s="1488">
        <v>420</v>
      </c>
      <c r="U635" s="1489"/>
      <c r="V635" s="1490"/>
      <c r="W635" s="1509">
        <v>6.25E-2</v>
      </c>
      <c r="X635" s="1510"/>
      <c r="Y635" s="1511"/>
      <c r="Z635" s="1481" t="s">
        <v>2088</v>
      </c>
      <c r="AA635" s="1482"/>
      <c r="AB635" s="1483"/>
      <c r="AC635" s="1491">
        <v>1</v>
      </c>
      <c r="AD635" s="1492"/>
      <c r="AE635" s="1493"/>
      <c r="AF635" s="1506">
        <v>453693</v>
      </c>
      <c r="AG635" s="1507"/>
      <c r="AH635" s="1507"/>
      <c r="AI635" s="1507"/>
      <c r="AJ635" s="1508"/>
      <c r="AK635" s="1678"/>
      <c r="AL635" s="1679"/>
      <c r="AM635" s="1679"/>
      <c r="AN635" s="1680"/>
      <c r="AO635" s="1613">
        <v>6440000</v>
      </c>
      <c r="AP635" s="1613"/>
      <c r="AQ635" s="1613"/>
      <c r="AR635" s="1613"/>
      <c r="AS635" s="1613"/>
      <c r="AT635" s="3"/>
      <c r="AU635" s="3"/>
      <c r="AZ635" s="3"/>
      <c r="BA635" s="3"/>
      <c r="BB635" s="3"/>
      <c r="BC635" s="3"/>
      <c r="BD635" s="3"/>
    </row>
    <row r="636" spans="1:56" ht="12.95" customHeight="1">
      <c r="B636" s="52" t="s">
        <v>113</v>
      </c>
      <c r="C636" s="1676" t="s">
        <v>2645</v>
      </c>
      <c r="D636" s="1676"/>
      <c r="E636" s="1676"/>
      <c r="F636" s="1676"/>
      <c r="G636" s="1676"/>
      <c r="H636" s="1676"/>
      <c r="I636" s="1676"/>
      <c r="J636" s="1676"/>
      <c r="K636" s="1676"/>
      <c r="L636" s="1676"/>
      <c r="M636" s="1496" t="s">
        <v>2072</v>
      </c>
      <c r="N636" s="1496"/>
      <c r="O636" s="1496"/>
      <c r="P636" s="1496"/>
      <c r="Q636" s="1488">
        <v>660</v>
      </c>
      <c r="R636" s="1489"/>
      <c r="S636" s="1490"/>
      <c r="T636" s="1488"/>
      <c r="U636" s="1489"/>
      <c r="V636" s="1490"/>
      <c r="W636" s="1509">
        <v>0.03</v>
      </c>
      <c r="X636" s="1510"/>
      <c r="Y636" s="1511"/>
      <c r="Z636" s="1481" t="s">
        <v>457</v>
      </c>
      <c r="AA636" s="1482"/>
      <c r="AB636" s="1483"/>
      <c r="AC636" s="1491">
        <v>2</v>
      </c>
      <c r="AD636" s="1492"/>
      <c r="AE636" s="1493"/>
      <c r="AF636" s="1506"/>
      <c r="AG636" s="1507"/>
      <c r="AH636" s="1507"/>
      <c r="AI636" s="1507"/>
      <c r="AJ636" s="1508"/>
      <c r="AK636" s="1678"/>
      <c r="AL636" s="1679"/>
      <c r="AM636" s="1679"/>
      <c r="AN636" s="1680"/>
      <c r="AO636" s="1478">
        <v>8825000</v>
      </c>
      <c r="AP636" s="1479"/>
      <c r="AQ636" s="1479"/>
      <c r="AR636" s="1479"/>
      <c r="AS636" s="1480"/>
      <c r="AT636" s="1142" t="str">
        <f>IF(AND(NOT(C635=""),C636="",NOT(C637="")),"!","")</f>
        <v/>
      </c>
      <c r="AU636" s="3"/>
      <c r="AZ636" s="3"/>
      <c r="BA636" s="3"/>
      <c r="BB636" s="3"/>
      <c r="BC636" s="3"/>
      <c r="BD636" s="3"/>
    </row>
    <row r="637" spans="1:56" ht="12.95" customHeight="1">
      <c r="B637" s="52" t="s">
        <v>119</v>
      </c>
      <c r="C637" s="1676" t="s">
        <v>2645</v>
      </c>
      <c r="D637" s="1676"/>
      <c r="E637" s="1676"/>
      <c r="F637" s="1676"/>
      <c r="G637" s="1676"/>
      <c r="H637" s="1676"/>
      <c r="I637" s="1676"/>
      <c r="J637" s="1676"/>
      <c r="K637" s="1676"/>
      <c r="L637" s="1676"/>
      <c r="M637" s="1496" t="s">
        <v>2061</v>
      </c>
      <c r="N637" s="1496"/>
      <c r="O637" s="1496"/>
      <c r="P637" s="1496"/>
      <c r="Q637" s="1488"/>
      <c r="R637" s="1489"/>
      <c r="S637" s="1490"/>
      <c r="T637" s="1488"/>
      <c r="U637" s="1489"/>
      <c r="V637" s="1490"/>
      <c r="W637" s="1509"/>
      <c r="X637" s="1510"/>
      <c r="Y637" s="1511"/>
      <c r="Z637" s="1481" t="s">
        <v>1184</v>
      </c>
      <c r="AA637" s="1482"/>
      <c r="AB637" s="1483"/>
      <c r="AC637" s="1491"/>
      <c r="AD637" s="1492"/>
      <c r="AE637" s="1493"/>
      <c r="AF637" s="1506"/>
      <c r="AG637" s="1507"/>
      <c r="AH637" s="1507"/>
      <c r="AI637" s="1507"/>
      <c r="AJ637" s="1508"/>
      <c r="AK637" s="1678"/>
      <c r="AL637" s="1679"/>
      <c r="AM637" s="1679"/>
      <c r="AN637" s="1680"/>
      <c r="AO637" s="1478">
        <v>3862948</v>
      </c>
      <c r="AP637" s="1479"/>
      <c r="AQ637" s="1479"/>
      <c r="AR637" s="1479"/>
      <c r="AS637" s="1480"/>
      <c r="AT637" s="1142" t="str">
        <f t="shared" ref="AT637:AT646" si="3">IF(AND(NOT(C636=""),C637="",NOT(C638="")),"!","")</f>
        <v/>
      </c>
      <c r="AU637" s="3"/>
      <c r="AZ637" s="3"/>
      <c r="BA637" s="3"/>
      <c r="BB637" s="3"/>
      <c r="BC637" s="3"/>
      <c r="BD637" s="3"/>
    </row>
    <row r="638" spans="1:56" ht="12.95" customHeight="1">
      <c r="B638" s="52" t="s">
        <v>581</v>
      </c>
      <c r="C638" s="1676" t="s">
        <v>2749</v>
      </c>
      <c r="D638" s="1677"/>
      <c r="E638" s="1677"/>
      <c r="F638" s="1677"/>
      <c r="G638" s="1677"/>
      <c r="H638" s="1677"/>
      <c r="I638" s="1677"/>
      <c r="J638" s="1677"/>
      <c r="K638" s="1677"/>
      <c r="L638" s="1677"/>
      <c r="M638" s="1496" t="s">
        <v>2063</v>
      </c>
      <c r="N638" s="1496"/>
      <c r="O638" s="1496"/>
      <c r="P638" s="1496"/>
      <c r="Q638" s="1488"/>
      <c r="R638" s="1489"/>
      <c r="S638" s="1490"/>
      <c r="T638" s="1488"/>
      <c r="U638" s="1489"/>
      <c r="V638" s="1490"/>
      <c r="W638" s="1509"/>
      <c r="X638" s="1510"/>
      <c r="Y638" s="1511"/>
      <c r="Z638" s="1481" t="s">
        <v>1184</v>
      </c>
      <c r="AA638" s="1482"/>
      <c r="AB638" s="1483"/>
      <c r="AC638" s="1491"/>
      <c r="AD638" s="1492"/>
      <c r="AE638" s="1493"/>
      <c r="AF638" s="1506"/>
      <c r="AG638" s="1507"/>
      <c r="AH638" s="1507"/>
      <c r="AI638" s="1507"/>
      <c r="AJ638" s="1508"/>
      <c r="AK638" s="1678"/>
      <c r="AL638" s="1679"/>
      <c r="AM638" s="1679"/>
      <c r="AN638" s="1680"/>
      <c r="AO638" s="1478">
        <v>2460912</v>
      </c>
      <c r="AP638" s="1479"/>
      <c r="AQ638" s="1479"/>
      <c r="AR638" s="1479"/>
      <c r="AS638" s="1480"/>
      <c r="AT638" s="1142" t="str">
        <f t="shared" si="3"/>
        <v/>
      </c>
      <c r="AU638" s="3"/>
      <c r="AZ638" s="3"/>
      <c r="BA638" s="3"/>
      <c r="BB638" s="3"/>
      <c r="BC638" s="3"/>
      <c r="BD638" s="3"/>
    </row>
    <row r="639" spans="1:56" ht="12.95" customHeight="1">
      <c r="B639" s="52" t="s">
        <v>763</v>
      </c>
      <c r="C639" s="1676" t="s">
        <v>2749</v>
      </c>
      <c r="D639" s="1677"/>
      <c r="E639" s="1677"/>
      <c r="F639" s="1677"/>
      <c r="G639" s="1677"/>
      <c r="H639" s="1677"/>
      <c r="I639" s="1677"/>
      <c r="J639" s="1677"/>
      <c r="K639" s="1677"/>
      <c r="L639" s="1677"/>
      <c r="M639" s="1496" t="s">
        <v>2080</v>
      </c>
      <c r="N639" s="1496"/>
      <c r="O639" s="1496"/>
      <c r="P639" s="1496"/>
      <c r="Q639" s="1488"/>
      <c r="R639" s="1489"/>
      <c r="S639" s="1490"/>
      <c r="T639" s="1488"/>
      <c r="U639" s="1489"/>
      <c r="V639" s="1490"/>
      <c r="W639" s="1509"/>
      <c r="X639" s="1510"/>
      <c r="Y639" s="1511"/>
      <c r="Z639" s="1481" t="s">
        <v>1184</v>
      </c>
      <c r="AA639" s="1482"/>
      <c r="AB639" s="1483"/>
      <c r="AC639" s="1491"/>
      <c r="AD639" s="1492"/>
      <c r="AE639" s="1493"/>
      <c r="AF639" s="1506"/>
      <c r="AG639" s="1507"/>
      <c r="AH639" s="1507"/>
      <c r="AI639" s="1507"/>
      <c r="AJ639" s="1508"/>
      <c r="AK639" s="1678"/>
      <c r="AL639" s="1679"/>
      <c r="AM639" s="1679"/>
      <c r="AN639" s="1680"/>
      <c r="AO639" s="1478">
        <v>503738</v>
      </c>
      <c r="AP639" s="1479"/>
      <c r="AQ639" s="1479"/>
      <c r="AR639" s="1479"/>
      <c r="AS639" s="1480"/>
      <c r="AT639" s="1142" t="str">
        <f t="shared" si="3"/>
        <v/>
      </c>
      <c r="AU639" s="3"/>
      <c r="AZ639" s="3"/>
      <c r="BA639" s="3"/>
      <c r="BB639" s="3"/>
      <c r="BC639" s="3"/>
      <c r="BD639" s="3"/>
    </row>
    <row r="640" spans="1:56" ht="12.95" customHeight="1">
      <c r="B640" s="52" t="s">
        <v>584</v>
      </c>
      <c r="C640" s="1677"/>
      <c r="D640" s="1677"/>
      <c r="E640" s="1677"/>
      <c r="F640" s="1677"/>
      <c r="G640" s="1677"/>
      <c r="H640" s="1677"/>
      <c r="I640" s="1677"/>
      <c r="J640" s="1677"/>
      <c r="K640" s="1677"/>
      <c r="L640" s="1677"/>
      <c r="M640" s="1496" t="s">
        <v>1184</v>
      </c>
      <c r="N640" s="1496"/>
      <c r="O640" s="1496"/>
      <c r="P640" s="1496"/>
      <c r="Q640" s="1488"/>
      <c r="R640" s="1489"/>
      <c r="S640" s="1490"/>
      <c r="T640" s="1488"/>
      <c r="U640" s="1489"/>
      <c r="V640" s="1490"/>
      <c r="W640" s="1509"/>
      <c r="X640" s="1510"/>
      <c r="Y640" s="1511"/>
      <c r="Z640" s="1481" t="s">
        <v>1184</v>
      </c>
      <c r="AA640" s="1482"/>
      <c r="AB640" s="1483"/>
      <c r="AC640" s="1491"/>
      <c r="AD640" s="1492"/>
      <c r="AE640" s="1493"/>
      <c r="AF640" s="1506"/>
      <c r="AG640" s="1507"/>
      <c r="AH640" s="1507"/>
      <c r="AI640" s="1507"/>
      <c r="AJ640" s="1508"/>
      <c r="AK640" s="1678"/>
      <c r="AL640" s="1679"/>
      <c r="AM640" s="1679"/>
      <c r="AN640" s="1680"/>
      <c r="AO640" s="1478"/>
      <c r="AP640" s="1479"/>
      <c r="AQ640" s="1479"/>
      <c r="AR640" s="1479"/>
      <c r="AS640" s="1480"/>
      <c r="AT640" s="1142" t="str">
        <f t="shared" si="3"/>
        <v/>
      </c>
      <c r="AU640" s="3"/>
      <c r="AZ640" s="3"/>
      <c r="BA640" s="3"/>
      <c r="BB640" s="3"/>
      <c r="BC640" s="3"/>
      <c r="BD640" s="3"/>
    </row>
    <row r="641" spans="1:157" ht="12.95" customHeight="1">
      <c r="B641" s="52" t="s">
        <v>455</v>
      </c>
      <c r="C641" s="1677"/>
      <c r="D641" s="1677"/>
      <c r="E641" s="1677"/>
      <c r="F641" s="1677"/>
      <c r="G641" s="1677"/>
      <c r="H641" s="1677"/>
      <c r="I641" s="1677"/>
      <c r="J641" s="1677"/>
      <c r="K641" s="1677"/>
      <c r="L641" s="1677"/>
      <c r="M641" s="1496" t="s">
        <v>1184</v>
      </c>
      <c r="N641" s="1496"/>
      <c r="O641" s="1496"/>
      <c r="P641" s="1496"/>
      <c r="Q641" s="1488"/>
      <c r="R641" s="1489"/>
      <c r="S641" s="1490"/>
      <c r="T641" s="1488"/>
      <c r="U641" s="1489"/>
      <c r="V641" s="1490"/>
      <c r="W641" s="1509"/>
      <c r="X641" s="1510"/>
      <c r="Y641" s="1511"/>
      <c r="Z641" s="1481" t="s">
        <v>1184</v>
      </c>
      <c r="AA641" s="1482"/>
      <c r="AB641" s="1483"/>
      <c r="AC641" s="1491"/>
      <c r="AD641" s="1492"/>
      <c r="AE641" s="1493"/>
      <c r="AF641" s="1506"/>
      <c r="AG641" s="1507"/>
      <c r="AH641" s="1507"/>
      <c r="AI641" s="1507"/>
      <c r="AJ641" s="1508"/>
      <c r="AK641" s="1678"/>
      <c r="AL641" s="1679"/>
      <c r="AM641" s="1679"/>
      <c r="AN641" s="1680"/>
      <c r="AO641" s="1478"/>
      <c r="AP641" s="1479"/>
      <c r="AQ641" s="1479"/>
      <c r="AR641" s="1479"/>
      <c r="AS641" s="1480"/>
      <c r="AT641" s="1142" t="str">
        <f t="shared" si="3"/>
        <v/>
      </c>
      <c r="AU641" s="3"/>
      <c r="AV641" s="3"/>
      <c r="AW641" s="3"/>
      <c r="AX641" s="3"/>
      <c r="AY641" s="3"/>
      <c r="AZ641" s="3"/>
      <c r="BA641" s="3"/>
      <c r="BB641" s="3"/>
      <c r="BC641" s="3"/>
      <c r="BD641" s="3"/>
    </row>
    <row r="642" spans="1:157" ht="12.95" customHeight="1">
      <c r="B642" s="52" t="s">
        <v>456</v>
      </c>
      <c r="C642" s="1677"/>
      <c r="D642" s="1677"/>
      <c r="E642" s="1677"/>
      <c r="F642" s="1677"/>
      <c r="G642" s="1677"/>
      <c r="H642" s="1677"/>
      <c r="I642" s="1677"/>
      <c r="J642" s="1677"/>
      <c r="K642" s="1677"/>
      <c r="L642" s="1677"/>
      <c r="M642" s="1496" t="s">
        <v>1184</v>
      </c>
      <c r="N642" s="1496"/>
      <c r="O642" s="1496"/>
      <c r="P642" s="1496"/>
      <c r="Q642" s="1488"/>
      <c r="R642" s="1489"/>
      <c r="S642" s="1490"/>
      <c r="T642" s="1488"/>
      <c r="U642" s="1489"/>
      <c r="V642" s="1490"/>
      <c r="W642" s="1509"/>
      <c r="X642" s="1510"/>
      <c r="Y642" s="1511"/>
      <c r="Z642" s="1481" t="s">
        <v>1184</v>
      </c>
      <c r="AA642" s="1482"/>
      <c r="AB642" s="1483"/>
      <c r="AC642" s="1491"/>
      <c r="AD642" s="1492"/>
      <c r="AE642" s="1493"/>
      <c r="AF642" s="1506"/>
      <c r="AG642" s="1507"/>
      <c r="AH642" s="1507"/>
      <c r="AI642" s="1507"/>
      <c r="AJ642" s="1508"/>
      <c r="AK642" s="1678"/>
      <c r="AL642" s="1679"/>
      <c r="AM642" s="1679"/>
      <c r="AN642" s="1680"/>
      <c r="AO642" s="1478"/>
      <c r="AP642" s="1479"/>
      <c r="AQ642" s="1479"/>
      <c r="AR642" s="1479"/>
      <c r="AS642" s="1480"/>
      <c r="AT642" s="1142" t="str">
        <f t="shared" si="3"/>
        <v/>
      </c>
      <c r="AU642" s="3"/>
      <c r="AV642" s="3"/>
      <c r="AW642" s="3"/>
      <c r="AX642" s="3"/>
      <c r="AY642" s="3"/>
      <c r="AZ642" s="3"/>
      <c r="BA642" s="3" t="s">
        <v>1184</v>
      </c>
      <c r="BB642" s="3"/>
      <c r="BC642" s="3"/>
      <c r="BD642" s="3"/>
    </row>
    <row r="643" spans="1:157" ht="12.95" customHeight="1">
      <c r="B643" s="52" t="s">
        <v>461</v>
      </c>
      <c r="C643" s="1677"/>
      <c r="D643" s="1677"/>
      <c r="E643" s="1677"/>
      <c r="F643" s="1677"/>
      <c r="G643" s="1677"/>
      <c r="H643" s="1677"/>
      <c r="I643" s="1677"/>
      <c r="J643" s="1677"/>
      <c r="K643" s="1677"/>
      <c r="L643" s="1677"/>
      <c r="M643" s="1496" t="s">
        <v>1184</v>
      </c>
      <c r="N643" s="1496"/>
      <c r="O643" s="1496"/>
      <c r="P643" s="1496"/>
      <c r="Q643" s="1488"/>
      <c r="R643" s="1489"/>
      <c r="S643" s="1490"/>
      <c r="T643" s="1488"/>
      <c r="U643" s="1489"/>
      <c r="V643" s="1490"/>
      <c r="W643" s="1509"/>
      <c r="X643" s="1510"/>
      <c r="Y643" s="1511"/>
      <c r="Z643" s="1481" t="s">
        <v>1184</v>
      </c>
      <c r="AA643" s="1482"/>
      <c r="AB643" s="1483"/>
      <c r="AC643" s="1491"/>
      <c r="AD643" s="1492"/>
      <c r="AE643" s="1493"/>
      <c r="AF643" s="1506"/>
      <c r="AG643" s="1507"/>
      <c r="AH643" s="1507"/>
      <c r="AI643" s="1507"/>
      <c r="AJ643" s="1508"/>
      <c r="AK643" s="1678"/>
      <c r="AL643" s="1679"/>
      <c r="AM643" s="1679"/>
      <c r="AN643" s="1680"/>
      <c r="AO643" s="1478"/>
      <c r="AP643" s="1479"/>
      <c r="AQ643" s="1479"/>
      <c r="AR643" s="1479"/>
      <c r="AS643" s="1480"/>
      <c r="AT643" s="1142"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95" t="e">
        <f t="shared" ref="DX643:DX677" si="4">EZ726*(CP726/$CP$761)</f>
        <v>#VALUE!</v>
      </c>
      <c r="DY643" s="1395"/>
      <c r="DZ643" s="1395"/>
      <c r="EA643" s="1395"/>
      <c r="EB643" s="1395"/>
      <c r="EC643" s="1395" t="e">
        <f t="shared" ref="EC643:EC677" si="5">FE726*(CU726/$CU$761)</f>
        <v>#VALUE!</v>
      </c>
      <c r="ED643" s="1395"/>
      <c r="EE643" s="1395"/>
      <c r="EF643" s="1395"/>
      <c r="EG643" s="1395"/>
      <c r="EH643" s="1395">
        <f t="shared" ref="EH643:EH677" si="6">FJ726*(CZ726/$CZ$761)</f>
        <v>15.515151515151516</v>
      </c>
      <c r="EI643" s="1395"/>
      <c r="EJ643" s="1395"/>
      <c r="EK643" s="1395"/>
      <c r="EL643" s="1395"/>
      <c r="EM643" s="1395" t="e">
        <f t="shared" ref="EM643:EM677" si="7">FO726*(DE726/$DE$761)</f>
        <v>#VALUE!</v>
      </c>
      <c r="EN643" s="1395"/>
      <c r="EO643" s="1395"/>
      <c r="EP643" s="1395"/>
      <c r="EQ643" s="1395"/>
      <c r="ER643" s="1395" t="e">
        <f t="shared" ref="ER643:ER677" si="8">FT726*(DJ726/$DJ$761)</f>
        <v>#VALUE!</v>
      </c>
      <c r="ES643" s="1395"/>
      <c r="ET643" s="1395"/>
      <c r="EU643" s="1395"/>
      <c r="EV643" s="1395"/>
      <c r="EW643" s="1395" t="e">
        <f t="shared" ref="EW643:EW677" si="9">FY726*(DO726/$DO$761)</f>
        <v>#VALUE!</v>
      </c>
      <c r="EX643" s="1395"/>
      <c r="EY643" s="1395"/>
      <c r="EZ643" s="1395"/>
      <c r="FA643" s="1395"/>
    </row>
    <row r="644" spans="1:157" ht="12.95" customHeight="1">
      <c r="B644" s="52" t="s">
        <v>646</v>
      </c>
      <c r="C644" s="1677"/>
      <c r="D644" s="1677"/>
      <c r="E644" s="1677"/>
      <c r="F644" s="1677"/>
      <c r="G644" s="1677"/>
      <c r="H644" s="1677"/>
      <c r="I644" s="1677"/>
      <c r="J644" s="1677"/>
      <c r="K644" s="1677"/>
      <c r="L644" s="1677"/>
      <c r="M644" s="1496" t="s">
        <v>1184</v>
      </c>
      <c r="N644" s="1496"/>
      <c r="O644" s="1496"/>
      <c r="P644" s="1496"/>
      <c r="Q644" s="1488"/>
      <c r="R644" s="1489"/>
      <c r="S644" s="1490"/>
      <c r="T644" s="1488"/>
      <c r="U644" s="1489"/>
      <c r="V644" s="1490"/>
      <c r="W644" s="1509"/>
      <c r="X644" s="1510"/>
      <c r="Y644" s="1511"/>
      <c r="Z644" s="1481" t="s">
        <v>1184</v>
      </c>
      <c r="AA644" s="1482"/>
      <c r="AB644" s="1483"/>
      <c r="AC644" s="1491"/>
      <c r="AD644" s="1492"/>
      <c r="AE644" s="1493"/>
      <c r="AF644" s="1506"/>
      <c r="AG644" s="1507"/>
      <c r="AH644" s="1507"/>
      <c r="AI644" s="1507"/>
      <c r="AJ644" s="1508"/>
      <c r="AK644" s="1678"/>
      <c r="AL644" s="1679"/>
      <c r="AM644" s="1679"/>
      <c r="AN644" s="1680"/>
      <c r="AO644" s="1478"/>
      <c r="AP644" s="1479"/>
      <c r="AQ644" s="1479"/>
      <c r="AR644" s="1479"/>
      <c r="AS644" s="1480"/>
      <c r="AT644" s="1142"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395" t="e">
        <f t="shared" si="4"/>
        <v>#VALUE!</v>
      </c>
      <c r="DY644" s="1395"/>
      <c r="DZ644" s="1395"/>
      <c r="EA644" s="1395"/>
      <c r="EB644" s="1395"/>
      <c r="EC644" s="1395" t="e">
        <f t="shared" si="5"/>
        <v>#VALUE!</v>
      </c>
      <c r="ED644" s="1395"/>
      <c r="EE644" s="1395"/>
      <c r="EF644" s="1395"/>
      <c r="EG644" s="1395"/>
      <c r="EH644" s="1395">
        <f t="shared" si="6"/>
        <v>48.454545454545453</v>
      </c>
      <c r="EI644" s="1395"/>
      <c r="EJ644" s="1395"/>
      <c r="EK644" s="1395"/>
      <c r="EL644" s="1395"/>
      <c r="EM644" s="1395" t="e">
        <f t="shared" si="7"/>
        <v>#VALUE!</v>
      </c>
      <c r="EN644" s="1395"/>
      <c r="EO644" s="1395"/>
      <c r="EP644" s="1395"/>
      <c r="EQ644" s="1395"/>
      <c r="ER644" s="1395" t="e">
        <f t="shared" si="8"/>
        <v>#VALUE!</v>
      </c>
      <c r="ES644" s="1395"/>
      <c r="ET644" s="1395"/>
      <c r="EU644" s="1395"/>
      <c r="EV644" s="1395"/>
      <c r="EW644" s="1395" t="e">
        <f t="shared" si="9"/>
        <v>#VALUE!</v>
      </c>
      <c r="EX644" s="1395"/>
      <c r="EY644" s="1395"/>
      <c r="EZ644" s="1395"/>
      <c r="FA644" s="1395"/>
    </row>
    <row r="645" spans="1:157" ht="12.95" customHeight="1">
      <c r="B645" s="52" t="s">
        <v>362</v>
      </c>
      <c r="C645" s="1677"/>
      <c r="D645" s="1677"/>
      <c r="E645" s="1677"/>
      <c r="F645" s="1677"/>
      <c r="G645" s="1677"/>
      <c r="H645" s="1677"/>
      <c r="I645" s="1677"/>
      <c r="J645" s="1677"/>
      <c r="K645" s="1677"/>
      <c r="L645" s="1677"/>
      <c r="M645" s="1496" t="s">
        <v>1184</v>
      </c>
      <c r="N645" s="1496"/>
      <c r="O645" s="1496"/>
      <c r="P645" s="1496"/>
      <c r="Q645" s="1488"/>
      <c r="R645" s="1489"/>
      <c r="S645" s="1490"/>
      <c r="T645" s="1488"/>
      <c r="U645" s="1489"/>
      <c r="V645" s="1490"/>
      <c r="W645" s="1509"/>
      <c r="X645" s="1510"/>
      <c r="Y645" s="1511"/>
      <c r="Z645" s="1481" t="s">
        <v>1184</v>
      </c>
      <c r="AA645" s="1482"/>
      <c r="AB645" s="1483"/>
      <c r="AC645" s="1491"/>
      <c r="AD645" s="1492"/>
      <c r="AE645" s="1493"/>
      <c r="AF645" s="1506"/>
      <c r="AG645" s="1507"/>
      <c r="AH645" s="1507"/>
      <c r="AI645" s="1507"/>
      <c r="AJ645" s="1508"/>
      <c r="AK645" s="1678"/>
      <c r="AL645" s="1679"/>
      <c r="AM645" s="1679"/>
      <c r="AN645" s="1680"/>
      <c r="AO645" s="1478"/>
      <c r="AP645" s="1479"/>
      <c r="AQ645" s="1479"/>
      <c r="AR645" s="1479"/>
      <c r="AS645" s="1480"/>
      <c r="AT645" s="1142" t="str">
        <f t="shared" si="3"/>
        <v/>
      </c>
      <c r="AV645" s="3"/>
      <c r="AW645" s="3"/>
      <c r="AX645" s="3"/>
      <c r="AY645" s="3"/>
      <c r="AZ645" s="34"/>
      <c r="BA645" s="3" t="s">
        <v>2088</v>
      </c>
      <c r="BB645" s="34"/>
      <c r="BC645" s="34"/>
      <c r="BD645" s="34"/>
      <c r="BE645" s="34"/>
      <c r="BF645" s="34"/>
      <c r="BG645" s="34"/>
      <c r="BH645" s="34"/>
      <c r="BI645" s="34"/>
      <c r="BJ645" s="34"/>
      <c r="BK645" s="34"/>
      <c r="BL645" s="34"/>
      <c r="BM645" s="34"/>
      <c r="DA645" s="3"/>
      <c r="DB645" s="3"/>
      <c r="DC645" s="3"/>
      <c r="DD645" s="3"/>
      <c r="DE645" s="3"/>
      <c r="DF645" s="3"/>
      <c r="DX645" s="1395" t="e">
        <f t="shared" si="4"/>
        <v>#VALUE!</v>
      </c>
      <c r="DY645" s="1395"/>
      <c r="DZ645" s="1395"/>
      <c r="EA645" s="1395"/>
      <c r="EB645" s="1395"/>
      <c r="EC645" s="1395" t="e">
        <f t="shared" si="5"/>
        <v>#VALUE!</v>
      </c>
      <c r="ED645" s="1395"/>
      <c r="EE645" s="1395"/>
      <c r="EF645" s="1395"/>
      <c r="EG645" s="1395"/>
      <c r="EH645" s="1395">
        <f t="shared" si="6"/>
        <v>27.727272727272727</v>
      </c>
      <c r="EI645" s="1395"/>
      <c r="EJ645" s="1395"/>
      <c r="EK645" s="1395"/>
      <c r="EL645" s="1395"/>
      <c r="EM645" s="1395" t="e">
        <f t="shared" si="7"/>
        <v>#VALUE!</v>
      </c>
      <c r="EN645" s="1395"/>
      <c r="EO645" s="1395"/>
      <c r="EP645" s="1395"/>
      <c r="EQ645" s="1395"/>
      <c r="ER645" s="1395" t="e">
        <f t="shared" si="8"/>
        <v>#VALUE!</v>
      </c>
      <c r="ES645" s="1395"/>
      <c r="ET645" s="1395"/>
      <c r="EU645" s="1395"/>
      <c r="EV645" s="1395"/>
      <c r="EW645" s="1395" t="e">
        <f t="shared" si="9"/>
        <v>#VALUE!</v>
      </c>
      <c r="EX645" s="1395"/>
      <c r="EY645" s="1395"/>
      <c r="EZ645" s="1395"/>
      <c r="FA645" s="1395"/>
    </row>
    <row r="646" spans="1:157" ht="12.95" customHeight="1">
      <c r="B646" s="52" t="s">
        <v>363</v>
      </c>
      <c r="C646" s="1677"/>
      <c r="D646" s="1677"/>
      <c r="E646" s="1677"/>
      <c r="F646" s="1677"/>
      <c r="G646" s="1677"/>
      <c r="H646" s="1677"/>
      <c r="I646" s="1677"/>
      <c r="J646" s="1677"/>
      <c r="K646" s="1677"/>
      <c r="L646" s="1677"/>
      <c r="M646" s="1496" t="s">
        <v>1184</v>
      </c>
      <c r="N646" s="1496"/>
      <c r="O646" s="1496"/>
      <c r="P646" s="1496"/>
      <c r="Q646" s="1488"/>
      <c r="R646" s="1489"/>
      <c r="S646" s="1490"/>
      <c r="T646" s="1488"/>
      <c r="U646" s="1489"/>
      <c r="V646" s="1490"/>
      <c r="W646" s="1509"/>
      <c r="X646" s="1510"/>
      <c r="Y646" s="1511"/>
      <c r="Z646" s="1481" t="s">
        <v>1184</v>
      </c>
      <c r="AA646" s="1482"/>
      <c r="AB646" s="1483"/>
      <c r="AC646" s="1491"/>
      <c r="AD646" s="1492"/>
      <c r="AE646" s="1493"/>
      <c r="AF646" s="1506"/>
      <c r="AG646" s="1507"/>
      <c r="AH646" s="1507"/>
      <c r="AI646" s="1507"/>
      <c r="AJ646" s="1508"/>
      <c r="AK646" s="1678"/>
      <c r="AL646" s="1679"/>
      <c r="AM646" s="1679"/>
      <c r="AN646" s="1680"/>
      <c r="AO646" s="1478"/>
      <c r="AP646" s="1479"/>
      <c r="AQ646" s="1479"/>
      <c r="AR646" s="1479"/>
      <c r="AS646" s="1480"/>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395" t="e">
        <f t="shared" si="4"/>
        <v>#VALUE!</v>
      </c>
      <c r="DY646" s="1395"/>
      <c r="DZ646" s="1395"/>
      <c r="EA646" s="1395"/>
      <c r="EB646" s="1395"/>
      <c r="EC646" s="1395" t="e">
        <f t="shared" si="5"/>
        <v>#VALUE!</v>
      </c>
      <c r="ED646" s="1395"/>
      <c r="EE646" s="1395"/>
      <c r="EF646" s="1395"/>
      <c r="EG646" s="1395"/>
      <c r="EH646" s="1395">
        <f t="shared" si="6"/>
        <v>85.27272727272728</v>
      </c>
      <c r="EI646" s="1395"/>
      <c r="EJ646" s="1395"/>
      <c r="EK646" s="1395"/>
      <c r="EL646" s="1395"/>
      <c r="EM646" s="1395" t="e">
        <f t="shared" si="7"/>
        <v>#VALUE!</v>
      </c>
      <c r="EN646" s="1395"/>
      <c r="EO646" s="1395"/>
      <c r="EP646" s="1395"/>
      <c r="EQ646" s="1395"/>
      <c r="ER646" s="1395" t="e">
        <f t="shared" si="8"/>
        <v>#VALUE!</v>
      </c>
      <c r="ES646" s="1395"/>
      <c r="ET646" s="1395"/>
      <c r="EU646" s="1395"/>
      <c r="EV646" s="1395"/>
      <c r="EW646" s="1395" t="e">
        <f t="shared" si="9"/>
        <v>#VALUE!</v>
      </c>
      <c r="EX646" s="1395"/>
      <c r="EY646" s="1395"/>
      <c r="EZ646" s="1395"/>
      <c r="FA646" s="1395"/>
    </row>
    <row r="647" spans="1:157" ht="12.95" customHeight="1">
      <c r="B647" s="1519" t="s">
        <v>128</v>
      </c>
      <c r="C647" s="1520"/>
      <c r="D647" s="1520"/>
      <c r="E647" s="1520"/>
      <c r="F647" s="1520"/>
      <c r="G647" s="1520"/>
      <c r="H647" s="1520"/>
      <c r="I647" s="1520"/>
      <c r="J647" s="1520"/>
      <c r="K647" s="1520"/>
      <c r="L647" s="1520"/>
      <c r="M647" s="1520"/>
      <c r="N647" s="1520"/>
      <c r="O647" s="1520"/>
      <c r="P647" s="1520"/>
      <c r="Q647" s="1520"/>
      <c r="R647" s="1520"/>
      <c r="S647" s="1520"/>
      <c r="T647" s="1520"/>
      <c r="U647" s="1520"/>
      <c r="V647" s="1520"/>
      <c r="W647" s="1520"/>
      <c r="X647" s="1520"/>
      <c r="Y647" s="1520"/>
      <c r="Z647" s="1520"/>
      <c r="AA647" s="1520"/>
      <c r="AB647" s="1520"/>
      <c r="AC647" s="1520"/>
      <c r="AD647" s="1520"/>
      <c r="AE647" s="1520"/>
      <c r="AF647" s="1520"/>
      <c r="AG647" s="1520"/>
      <c r="AH647" s="1520"/>
      <c r="AI647" s="1520"/>
      <c r="AJ647" s="1520"/>
      <c r="AK647" s="1520"/>
      <c r="AL647" s="1520"/>
      <c r="AM647" s="1520"/>
      <c r="AN647" s="1522"/>
      <c r="AO647" s="1475">
        <f>SUM(AO635:AR646)</f>
        <v>22092598</v>
      </c>
      <c r="AP647" s="1476"/>
      <c r="AQ647" s="1476"/>
      <c r="AR647" s="1476"/>
      <c r="AS647" s="1477"/>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95" t="e">
        <f t="shared" si="4"/>
        <v>#VALUE!</v>
      </c>
      <c r="DY647" s="1395"/>
      <c r="DZ647" s="1395"/>
      <c r="EA647" s="1395"/>
      <c r="EB647" s="1395"/>
      <c r="EC647" s="1395" t="e">
        <f t="shared" si="5"/>
        <v>#VALUE!</v>
      </c>
      <c r="ED647" s="1395"/>
      <c r="EE647" s="1395"/>
      <c r="EF647" s="1395"/>
      <c r="EG647" s="1395"/>
      <c r="EH647" s="1395">
        <f t="shared" si="6"/>
        <v>275.15151515151518</v>
      </c>
      <c r="EI647" s="1395"/>
      <c r="EJ647" s="1395"/>
      <c r="EK647" s="1395"/>
      <c r="EL647" s="1395"/>
      <c r="EM647" s="1395" t="e">
        <f t="shared" si="7"/>
        <v>#VALUE!</v>
      </c>
      <c r="EN647" s="1395"/>
      <c r="EO647" s="1395"/>
      <c r="EP647" s="1395"/>
      <c r="EQ647" s="1395"/>
      <c r="ER647" s="1395" t="e">
        <f t="shared" si="8"/>
        <v>#VALUE!</v>
      </c>
      <c r="ES647" s="1395"/>
      <c r="ET647" s="1395"/>
      <c r="EU647" s="1395"/>
      <c r="EV647" s="1395"/>
      <c r="EW647" s="1395" t="e">
        <f t="shared" si="9"/>
        <v>#VALUE!</v>
      </c>
      <c r="EX647" s="1395"/>
      <c r="EY647" s="1395"/>
      <c r="EZ647" s="1395"/>
      <c r="FA647" s="1395"/>
    </row>
    <row r="648" spans="1:157" ht="12.95" customHeight="1">
      <c r="B648" s="1519" t="s">
        <v>267</v>
      </c>
      <c r="C648" s="1520"/>
      <c r="D648" s="1520"/>
      <c r="E648" s="1520"/>
      <c r="F648" s="1520"/>
      <c r="G648" s="1520"/>
      <c r="H648" s="1520"/>
      <c r="I648" s="1520"/>
      <c r="J648" s="1520"/>
      <c r="K648" s="1520"/>
      <c r="L648" s="1520"/>
      <c r="M648" s="1520"/>
      <c r="N648" s="1520"/>
      <c r="O648" s="1520"/>
      <c r="P648" s="1520"/>
      <c r="Q648" s="1520"/>
      <c r="R648" s="1520"/>
      <c r="S648" s="1520"/>
      <c r="T648" s="1520"/>
      <c r="U648" s="1520"/>
      <c r="V648" s="1520"/>
      <c r="W648" s="1520"/>
      <c r="X648" s="1520"/>
      <c r="Y648" s="1520"/>
      <c r="Z648" s="1520"/>
      <c r="AA648" s="1520"/>
      <c r="AB648" s="1520"/>
      <c r="AC648" s="1520"/>
      <c r="AD648" s="1520"/>
      <c r="AE648" s="1520"/>
      <c r="AF648" s="1520"/>
      <c r="AG648" s="1520"/>
      <c r="AH648" s="1520"/>
      <c r="AI648" s="1520"/>
      <c r="AJ648" s="1520"/>
      <c r="AK648" s="1520"/>
      <c r="AL648" s="1520"/>
      <c r="AM648" s="1520"/>
      <c r="AN648" s="1522"/>
      <c r="AO648" s="1478">
        <v>11253629</v>
      </c>
      <c r="AP648" s="1479"/>
      <c r="AQ648" s="1479"/>
      <c r="AR648" s="1479"/>
      <c r="AS648" s="1480"/>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95" t="e">
        <f t="shared" si="4"/>
        <v>#VALUE!</v>
      </c>
      <c r="DY648" s="1395"/>
      <c r="DZ648" s="1395"/>
      <c r="EA648" s="1395"/>
      <c r="EB648" s="1395"/>
      <c r="EC648" s="1395" t="e">
        <f t="shared" si="5"/>
        <v>#VALUE!</v>
      </c>
      <c r="ED648" s="1395"/>
      <c r="EE648" s="1395"/>
      <c r="EF648" s="1395"/>
      <c r="EG648" s="1395"/>
      <c r="EH648" s="1395">
        <f t="shared" si="6"/>
        <v>597.57575757575751</v>
      </c>
      <c r="EI648" s="1395"/>
      <c r="EJ648" s="1395"/>
      <c r="EK648" s="1395"/>
      <c r="EL648" s="1395"/>
      <c r="EM648" s="1395" t="e">
        <f t="shared" si="7"/>
        <v>#VALUE!</v>
      </c>
      <c r="EN648" s="1395"/>
      <c r="EO648" s="1395"/>
      <c r="EP648" s="1395"/>
      <c r="EQ648" s="1395"/>
      <c r="ER648" s="1395" t="e">
        <f t="shared" si="8"/>
        <v>#VALUE!</v>
      </c>
      <c r="ES648" s="1395"/>
      <c r="ET648" s="1395"/>
      <c r="EU648" s="1395"/>
      <c r="EV648" s="1395"/>
      <c r="EW648" s="1395" t="e">
        <f t="shared" si="9"/>
        <v>#VALUE!</v>
      </c>
      <c r="EX648" s="1395"/>
      <c r="EY648" s="1395"/>
      <c r="EZ648" s="1395"/>
      <c r="FA648" s="1395"/>
    </row>
    <row r="649" spans="1:157" ht="12.95" customHeight="1">
      <c r="B649" s="1681" t="s">
        <v>268</v>
      </c>
      <c r="C649" s="1521"/>
      <c r="D649" s="1521"/>
      <c r="E649" s="1521"/>
      <c r="F649" s="1521"/>
      <c r="G649" s="1521"/>
      <c r="H649" s="1521"/>
      <c r="I649" s="1521"/>
      <c r="J649" s="1521"/>
      <c r="K649" s="1521"/>
      <c r="L649" s="1521"/>
      <c r="M649" s="1521"/>
      <c r="N649" s="1521"/>
      <c r="O649" s="1521"/>
      <c r="P649" s="1521"/>
      <c r="Q649" s="1521"/>
      <c r="R649" s="1521"/>
      <c r="S649" s="1521"/>
      <c r="T649" s="1521"/>
      <c r="U649" s="1521"/>
      <c r="V649" s="1521"/>
      <c r="W649" s="1521"/>
      <c r="X649" s="1521"/>
      <c r="Y649" s="1521"/>
      <c r="Z649" s="1521"/>
      <c r="AA649" s="1521"/>
      <c r="AB649" s="1521"/>
      <c r="AC649" s="1521"/>
      <c r="AD649" s="1521"/>
      <c r="AE649" s="1521"/>
      <c r="AF649" s="1521"/>
      <c r="AG649" s="1521"/>
      <c r="AH649" s="1521"/>
      <c r="AI649" s="1521"/>
      <c r="AJ649" s="1521"/>
      <c r="AK649" s="1521"/>
      <c r="AL649" s="1521"/>
      <c r="AM649" s="1521"/>
      <c r="AN649" s="1682"/>
      <c r="AO649" s="1475">
        <f>AO647+AO648</f>
        <v>33346227</v>
      </c>
      <c r="AP649" s="1476"/>
      <c r="AQ649" s="1476"/>
      <c r="AR649" s="1476"/>
      <c r="AS649" s="1477"/>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95" t="e">
        <f t="shared" si="4"/>
        <v>#VALUE!</v>
      </c>
      <c r="DY649" s="1395"/>
      <c r="DZ649" s="1395"/>
      <c r="EA649" s="1395"/>
      <c r="EB649" s="1395"/>
      <c r="EC649" s="1395" t="e">
        <f t="shared" si="5"/>
        <v>#VALUE!</v>
      </c>
      <c r="ED649" s="1395"/>
      <c r="EE649" s="1395"/>
      <c r="EF649" s="1395"/>
      <c r="EG649" s="1395"/>
      <c r="EH649" s="1395" t="e">
        <f t="shared" si="6"/>
        <v>#VALUE!</v>
      </c>
      <c r="EI649" s="1395"/>
      <c r="EJ649" s="1395"/>
      <c r="EK649" s="1395"/>
      <c r="EL649" s="1395"/>
      <c r="EM649" s="1395">
        <f t="shared" si="7"/>
        <v>26.59090909090909</v>
      </c>
      <c r="EN649" s="1395"/>
      <c r="EO649" s="1395"/>
      <c r="EP649" s="1395"/>
      <c r="EQ649" s="1395"/>
      <c r="ER649" s="1395" t="e">
        <f t="shared" si="8"/>
        <v>#VALUE!</v>
      </c>
      <c r="ES649" s="1395"/>
      <c r="ET649" s="1395"/>
      <c r="EU649" s="1395"/>
      <c r="EV649" s="1395"/>
      <c r="EW649" s="1395" t="e">
        <f t="shared" si="9"/>
        <v>#VALUE!</v>
      </c>
      <c r="EX649" s="1395"/>
      <c r="EY649" s="1395"/>
      <c r="EZ649" s="1395"/>
      <c r="FA649" s="1395"/>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95" t="e">
        <f t="shared" si="4"/>
        <v>#VALUE!</v>
      </c>
      <c r="DY650" s="1395"/>
      <c r="DZ650" s="1395"/>
      <c r="EA650" s="1395"/>
      <c r="EB650" s="1395"/>
      <c r="EC650" s="1395" t="e">
        <f t="shared" si="5"/>
        <v>#VALUE!</v>
      </c>
      <c r="ED650" s="1395"/>
      <c r="EE650" s="1395"/>
      <c r="EF650" s="1395"/>
      <c r="EG650" s="1395"/>
      <c r="EH650" s="1395" t="e">
        <f t="shared" si="6"/>
        <v>#VALUE!</v>
      </c>
      <c r="EI650" s="1395"/>
      <c r="EJ650" s="1395"/>
      <c r="EK650" s="1395"/>
      <c r="EL650" s="1395"/>
      <c r="EM650" s="1395">
        <f t="shared" si="7"/>
        <v>27.863636363636363</v>
      </c>
      <c r="EN650" s="1395"/>
      <c r="EO650" s="1395"/>
      <c r="EP650" s="1395"/>
      <c r="EQ650" s="1395"/>
      <c r="ER650" s="1395" t="e">
        <f t="shared" si="8"/>
        <v>#VALUE!</v>
      </c>
      <c r="ES650" s="1395"/>
      <c r="ET650" s="1395"/>
      <c r="EU650" s="1395"/>
      <c r="EV650" s="1395"/>
      <c r="EW650" s="1395" t="e">
        <f t="shared" si="9"/>
        <v>#VALUE!</v>
      </c>
      <c r="EX650" s="1395"/>
      <c r="EY650" s="1395"/>
      <c r="EZ650" s="1395"/>
      <c r="FA650" s="1395"/>
    </row>
    <row r="651" spans="1:157" ht="12.95" customHeight="1">
      <c r="A651" s="55" t="s">
        <v>112</v>
      </c>
      <c r="B651" t="s">
        <v>463</v>
      </c>
      <c r="G651" s="1518" t="str">
        <f>C635</f>
        <v>Citibank, N.A.</v>
      </c>
      <c r="H651" s="1518"/>
      <c r="I651" s="1518"/>
      <c r="J651" s="1518"/>
      <c r="K651" s="1518"/>
      <c r="L651" s="1518"/>
      <c r="M651" s="1518"/>
      <c r="N651" s="1518"/>
      <c r="O651" s="1518"/>
      <c r="P651" s="1518"/>
      <c r="Q651" s="1518"/>
      <c r="R651" s="1518"/>
      <c r="S651" s="8"/>
      <c r="T651" s="55" t="s">
        <v>113</v>
      </c>
      <c r="U651" t="s">
        <v>463</v>
      </c>
      <c r="Z651" s="1518" t="str">
        <f>C636</f>
        <v>Town of Mammoth Lakes</v>
      </c>
      <c r="AA651" s="1518"/>
      <c r="AB651" s="1518"/>
      <c r="AC651" s="1518"/>
      <c r="AD651" s="1518"/>
      <c r="AE651" s="1518"/>
      <c r="AF651" s="1518"/>
      <c r="AG651" s="1518"/>
      <c r="AH651" s="1518"/>
      <c r="AI651" s="1518"/>
      <c r="AJ651" s="1518"/>
      <c r="AK651" s="1518"/>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95" t="e">
        <f t="shared" si="4"/>
        <v>#VALUE!</v>
      </c>
      <c r="DY651" s="1395"/>
      <c r="DZ651" s="1395"/>
      <c r="EA651" s="1395"/>
      <c r="EB651" s="1395"/>
      <c r="EC651" s="1395" t="e">
        <f t="shared" si="5"/>
        <v>#VALUE!</v>
      </c>
      <c r="ED651" s="1395"/>
      <c r="EE651" s="1395"/>
      <c r="EF651" s="1395"/>
      <c r="EG651" s="1395"/>
      <c r="EH651" s="1395" t="e">
        <f t="shared" si="6"/>
        <v>#VALUE!</v>
      </c>
      <c r="EI651" s="1395"/>
      <c r="EJ651" s="1395"/>
      <c r="EK651" s="1395"/>
      <c r="EL651" s="1395"/>
      <c r="EM651" s="1395">
        <f t="shared" si="7"/>
        <v>47.81818181818182</v>
      </c>
      <c r="EN651" s="1395"/>
      <c r="EO651" s="1395"/>
      <c r="EP651" s="1395"/>
      <c r="EQ651" s="1395"/>
      <c r="ER651" s="1395" t="e">
        <f t="shared" si="8"/>
        <v>#VALUE!</v>
      </c>
      <c r="ES651" s="1395"/>
      <c r="ET651" s="1395"/>
      <c r="EU651" s="1395"/>
      <c r="EV651" s="1395"/>
      <c r="EW651" s="1395" t="e">
        <f t="shared" si="9"/>
        <v>#VALUE!</v>
      </c>
      <c r="EX651" s="1395"/>
      <c r="EY651" s="1395"/>
      <c r="EZ651" s="1395"/>
      <c r="FA651" s="1395"/>
    </row>
    <row r="652" spans="1:157" ht="12.95" customHeight="1">
      <c r="A652" s="22"/>
      <c r="B652" t="s">
        <v>85</v>
      </c>
      <c r="G652" s="1484" t="s">
        <v>2755</v>
      </c>
      <c r="H652" s="1484"/>
      <c r="I652" s="1484"/>
      <c r="J652" s="1484"/>
      <c r="K652" s="1484"/>
      <c r="L652" s="1484"/>
      <c r="M652" s="1484"/>
      <c r="N652" s="1484"/>
      <c r="O652" s="1484"/>
      <c r="P652" s="1484"/>
      <c r="Q652" s="1484"/>
      <c r="R652" s="1484"/>
      <c r="S652" s="8"/>
      <c r="T652" s="22"/>
      <c r="U652" t="s">
        <v>85</v>
      </c>
      <c r="Z652" s="1484" t="s">
        <v>2761</v>
      </c>
      <c r="AA652" s="1484"/>
      <c r="AB652" s="1484"/>
      <c r="AC652" s="1484"/>
      <c r="AD652" s="1484"/>
      <c r="AE652" s="1484"/>
      <c r="AF652" s="1484"/>
      <c r="AG652" s="1484"/>
      <c r="AH652" s="1484"/>
      <c r="AI652" s="1484"/>
      <c r="AJ652" s="1484"/>
      <c r="AK652" s="1484"/>
      <c r="AV652" s="3"/>
      <c r="AW652" s="3"/>
      <c r="AX652" s="3"/>
      <c r="AY652" s="3"/>
      <c r="AZ652" s="3"/>
      <c r="BA652" s="3"/>
      <c r="BB652" s="3"/>
      <c r="BC652" s="3"/>
      <c r="BD652" s="3"/>
      <c r="BE652" s="3"/>
      <c r="BF652" s="3"/>
      <c r="BG652" s="3"/>
      <c r="BH652" s="3"/>
      <c r="BI652" s="3"/>
      <c r="BJ652" s="3"/>
      <c r="BK652" s="3"/>
      <c r="BL652" s="3"/>
      <c r="BM652" s="3"/>
      <c r="DX652" s="1395" t="e">
        <f t="shared" si="4"/>
        <v>#VALUE!</v>
      </c>
      <c r="DY652" s="1395"/>
      <c r="DZ652" s="1395"/>
      <c r="EA652" s="1395"/>
      <c r="EB652" s="1395"/>
      <c r="EC652" s="1395" t="e">
        <f t="shared" si="5"/>
        <v>#VALUE!</v>
      </c>
      <c r="ED652" s="1395"/>
      <c r="EE652" s="1395"/>
      <c r="EF652" s="1395"/>
      <c r="EG652" s="1395"/>
      <c r="EH652" s="1395" t="e">
        <f t="shared" si="6"/>
        <v>#VALUE!</v>
      </c>
      <c r="EI652" s="1395"/>
      <c r="EJ652" s="1395"/>
      <c r="EK652" s="1395"/>
      <c r="EL652" s="1395"/>
      <c r="EM652" s="1395">
        <f t="shared" si="7"/>
        <v>49.272727272727273</v>
      </c>
      <c r="EN652" s="1395"/>
      <c r="EO652" s="1395"/>
      <c r="EP652" s="1395"/>
      <c r="EQ652" s="1395"/>
      <c r="ER652" s="1395" t="e">
        <f t="shared" si="8"/>
        <v>#VALUE!</v>
      </c>
      <c r="ES652" s="1395"/>
      <c r="ET652" s="1395"/>
      <c r="EU652" s="1395"/>
      <c r="EV652" s="1395"/>
      <c r="EW652" s="1395" t="e">
        <f t="shared" si="9"/>
        <v>#VALUE!</v>
      </c>
      <c r="EX652" s="1395"/>
      <c r="EY652" s="1395"/>
      <c r="EZ652" s="1395"/>
      <c r="FA652" s="1395"/>
    </row>
    <row r="653" spans="1:157" ht="12.95" customHeight="1">
      <c r="A653" s="22"/>
      <c r="B653" t="s">
        <v>580</v>
      </c>
      <c r="G653" s="1484" t="s">
        <v>2756</v>
      </c>
      <c r="H653" s="1484"/>
      <c r="I653" s="1484"/>
      <c r="J653" s="1484"/>
      <c r="K653" s="1484"/>
      <c r="L653" s="1484"/>
      <c r="M653" s="1484"/>
      <c r="N653" s="1484"/>
      <c r="O653" s="1484"/>
      <c r="P653" s="1484"/>
      <c r="Q653" s="1484"/>
      <c r="R653" s="1484"/>
      <c r="T653" s="22"/>
      <c r="U653" t="s">
        <v>580</v>
      </c>
      <c r="Z653" s="1346" t="s">
        <v>2762</v>
      </c>
      <c r="AA653" s="1346"/>
      <c r="AB653" s="1346"/>
      <c r="AC653" s="1346"/>
      <c r="AD653" s="1346"/>
      <c r="AE653" s="1346"/>
      <c r="AF653" s="1346"/>
      <c r="AG653" s="1346"/>
      <c r="AH653" s="1346"/>
      <c r="AI653" s="1346"/>
      <c r="AJ653" s="1346"/>
      <c r="AK653" s="1346"/>
      <c r="AV653" s="3"/>
      <c r="AW653" s="3"/>
      <c r="AX653" s="3"/>
      <c r="AY653" s="3"/>
      <c r="AZ653" s="3"/>
      <c r="BA653" s="3"/>
      <c r="BB653" s="3"/>
      <c r="BC653" s="3"/>
      <c r="BD653" s="3"/>
      <c r="BE653" s="3"/>
      <c r="BF653" s="3"/>
      <c r="BG653" s="3"/>
      <c r="BH653" s="3"/>
      <c r="BI653" s="3"/>
      <c r="BJ653" s="3"/>
      <c r="BK653" s="3"/>
      <c r="BL653" s="3"/>
      <c r="BM653" s="3"/>
      <c r="DX653" s="1395" t="e">
        <f t="shared" si="4"/>
        <v>#VALUE!</v>
      </c>
      <c r="DY653" s="1395"/>
      <c r="DZ653" s="1395"/>
      <c r="EA653" s="1395"/>
      <c r="EB653" s="1395"/>
      <c r="EC653" s="1395" t="e">
        <f t="shared" si="5"/>
        <v>#VALUE!</v>
      </c>
      <c r="ED653" s="1395"/>
      <c r="EE653" s="1395"/>
      <c r="EF653" s="1395"/>
      <c r="EG653" s="1395"/>
      <c r="EH653" s="1395" t="e">
        <f t="shared" si="6"/>
        <v>#VALUE!</v>
      </c>
      <c r="EI653" s="1395"/>
      <c r="EJ653" s="1395"/>
      <c r="EK653" s="1395"/>
      <c r="EL653" s="1395"/>
      <c r="EM653" s="1395">
        <f t="shared" si="7"/>
        <v>475.27272727272731</v>
      </c>
      <c r="EN653" s="1395"/>
      <c r="EO653" s="1395"/>
      <c r="EP653" s="1395"/>
      <c r="EQ653" s="1395"/>
      <c r="ER653" s="1395" t="e">
        <f t="shared" si="8"/>
        <v>#VALUE!</v>
      </c>
      <c r="ES653" s="1395"/>
      <c r="ET653" s="1395"/>
      <c r="EU653" s="1395"/>
      <c r="EV653" s="1395"/>
      <c r="EW653" s="1395" t="e">
        <f t="shared" si="9"/>
        <v>#VALUE!</v>
      </c>
      <c r="EX653" s="1395"/>
      <c r="EY653" s="1395"/>
      <c r="EZ653" s="1395"/>
      <c r="FA653" s="1395"/>
    </row>
    <row r="654" spans="1:157" ht="12.95" customHeight="1">
      <c r="A654" s="22"/>
      <c r="B654" t="s">
        <v>17</v>
      </c>
      <c r="G654" s="1484" t="s">
        <v>2759</v>
      </c>
      <c r="H654" s="1484"/>
      <c r="I654" s="1484"/>
      <c r="J654" s="1484"/>
      <c r="K654" s="1484"/>
      <c r="L654" s="1484"/>
      <c r="M654" s="1484"/>
      <c r="N654" s="1484"/>
      <c r="O654" s="1484"/>
      <c r="P654" s="1484"/>
      <c r="Q654" s="1484"/>
      <c r="R654" s="1484"/>
      <c r="S654" s="8"/>
      <c r="T654" s="22"/>
      <c r="U654" t="s">
        <v>17</v>
      </c>
      <c r="Z654" s="1346" t="s">
        <v>2763</v>
      </c>
      <c r="AA654" s="1346"/>
      <c r="AB654" s="1346"/>
      <c r="AC654" s="1346"/>
      <c r="AD654" s="1346"/>
      <c r="AE654" s="1346"/>
      <c r="AF654" s="1346"/>
      <c r="AG654" s="1346"/>
      <c r="AH654" s="1346"/>
      <c r="AI654" s="1346"/>
      <c r="AJ654" s="1346"/>
      <c r="AK654" s="1346"/>
      <c r="AZ654" s="3"/>
      <c r="BA654" s="3"/>
      <c r="BB654" s="3"/>
      <c r="BC654" s="3"/>
      <c r="BD654" s="3"/>
      <c r="BE654" s="3"/>
      <c r="BF654" s="3"/>
      <c r="BG654" s="3"/>
      <c r="BH654" s="3"/>
      <c r="BI654" s="3"/>
      <c r="BJ654" s="3"/>
      <c r="BK654" s="3"/>
      <c r="BL654" s="3"/>
      <c r="BM654" s="3"/>
      <c r="DX654" s="1395" t="e">
        <f t="shared" si="4"/>
        <v>#VALUE!</v>
      </c>
      <c r="DY654" s="1395"/>
      <c r="DZ654" s="1395"/>
      <c r="EA654" s="1395"/>
      <c r="EB654" s="1395"/>
      <c r="EC654" s="1395" t="e">
        <f t="shared" si="5"/>
        <v>#VALUE!</v>
      </c>
      <c r="ED654" s="1395"/>
      <c r="EE654" s="1395"/>
      <c r="EF654" s="1395"/>
      <c r="EG654" s="1395"/>
      <c r="EH654" s="1395" t="e">
        <f t="shared" si="6"/>
        <v>#VALUE!</v>
      </c>
      <c r="EI654" s="1395"/>
      <c r="EJ654" s="1395"/>
      <c r="EK654" s="1395"/>
      <c r="EL654" s="1395"/>
      <c r="EM654" s="1395">
        <f t="shared" si="7"/>
        <v>608.63636363636363</v>
      </c>
      <c r="EN654" s="1395"/>
      <c r="EO654" s="1395"/>
      <c r="EP654" s="1395"/>
      <c r="EQ654" s="1395"/>
      <c r="ER654" s="1395" t="e">
        <f t="shared" si="8"/>
        <v>#VALUE!</v>
      </c>
      <c r="ES654" s="1395"/>
      <c r="ET654" s="1395"/>
      <c r="EU654" s="1395"/>
      <c r="EV654" s="1395"/>
      <c r="EW654" s="1395" t="e">
        <f t="shared" si="9"/>
        <v>#VALUE!</v>
      </c>
      <c r="EX654" s="1395"/>
      <c r="EY654" s="1395"/>
      <c r="EZ654" s="1395"/>
      <c r="FA654" s="1395"/>
    </row>
    <row r="655" spans="1:157" ht="12.95" customHeight="1">
      <c r="A655" s="22"/>
      <c r="B655" t="s">
        <v>316</v>
      </c>
      <c r="G655" s="1535">
        <v>8055570930</v>
      </c>
      <c r="H655" s="1535"/>
      <c r="I655" s="1535"/>
      <c r="J655" s="1535"/>
      <c r="K655" s="1535"/>
      <c r="L655" s="1535"/>
      <c r="O655" s="33" t="s">
        <v>206</v>
      </c>
      <c r="P655" s="1474"/>
      <c r="Q655" s="1474"/>
      <c r="R655" s="1474"/>
      <c r="S655" s="10"/>
      <c r="T655" s="22"/>
      <c r="U655" t="s">
        <v>316</v>
      </c>
      <c r="Z655" s="1535">
        <v>7609653631</v>
      </c>
      <c r="AA655" s="1535"/>
      <c r="AB655" s="1535"/>
      <c r="AC655" s="1535"/>
      <c r="AD655" s="1535"/>
      <c r="AE655" s="1535"/>
      <c r="AH655" s="33" t="s">
        <v>206</v>
      </c>
      <c r="AI655" s="1474"/>
      <c r="AJ655" s="1474"/>
      <c r="AK655" s="1474"/>
      <c r="AZ655" s="34"/>
      <c r="BA655" s="34"/>
      <c r="BB655" s="34"/>
      <c r="BC655" s="34"/>
      <c r="BD655" s="34"/>
      <c r="BE655" s="34"/>
      <c r="BF655" s="34"/>
      <c r="BG655" s="34"/>
      <c r="BH655" s="34"/>
      <c r="BI655" s="34"/>
      <c r="BJ655" s="34"/>
      <c r="BK655" s="34"/>
      <c r="BL655" s="34"/>
      <c r="BM655" s="34"/>
      <c r="DX655" s="1395" t="e">
        <f t="shared" si="4"/>
        <v>#VALUE!</v>
      </c>
      <c r="DY655" s="1395"/>
      <c r="DZ655" s="1395"/>
      <c r="EA655" s="1395"/>
      <c r="EB655" s="1395"/>
      <c r="EC655" s="1395" t="e">
        <f t="shared" si="5"/>
        <v>#VALUE!</v>
      </c>
      <c r="ED655" s="1395"/>
      <c r="EE655" s="1395"/>
      <c r="EF655" s="1395"/>
      <c r="EG655" s="1395"/>
      <c r="EH655" s="1395" t="e">
        <f t="shared" si="6"/>
        <v>#VALUE!</v>
      </c>
      <c r="EI655" s="1395"/>
      <c r="EJ655" s="1395"/>
      <c r="EK655" s="1395"/>
      <c r="EL655" s="1395"/>
      <c r="EM655" s="1395" t="e">
        <f t="shared" si="7"/>
        <v>#VALUE!</v>
      </c>
      <c r="EN655" s="1395"/>
      <c r="EO655" s="1395"/>
      <c r="EP655" s="1395"/>
      <c r="EQ655" s="1395"/>
      <c r="ER655" s="1395" t="e">
        <f t="shared" si="8"/>
        <v>#VALUE!</v>
      </c>
      <c r="ES655" s="1395"/>
      <c r="ET655" s="1395"/>
      <c r="EU655" s="1395"/>
      <c r="EV655" s="1395"/>
      <c r="EW655" s="1395" t="e">
        <f t="shared" si="9"/>
        <v>#VALUE!</v>
      </c>
      <c r="EX655" s="1395"/>
      <c r="EY655" s="1395"/>
      <c r="EZ655" s="1395"/>
      <c r="FA655" s="1395"/>
    </row>
    <row r="656" spans="1:157" ht="12.95" customHeight="1">
      <c r="A656" s="22"/>
      <c r="B656" t="s">
        <v>18</v>
      </c>
      <c r="H656" s="1484" t="s">
        <v>2773</v>
      </c>
      <c r="I656" s="1484"/>
      <c r="J656" s="1484"/>
      <c r="K656" s="1484"/>
      <c r="L656" s="1484"/>
      <c r="M656" s="1484"/>
      <c r="N656" s="1484"/>
      <c r="O656" s="1484"/>
      <c r="P656" s="1484"/>
      <c r="Q656" s="1484"/>
      <c r="R656" s="1484"/>
      <c r="S656" s="8"/>
      <c r="T656" s="22"/>
      <c r="U656" t="s">
        <v>18</v>
      </c>
      <c r="AA656" s="1484" t="s">
        <v>2774</v>
      </c>
      <c r="AB656" s="1484"/>
      <c r="AC656" s="1484"/>
      <c r="AD656" s="1484"/>
      <c r="AE656" s="1484"/>
      <c r="AF656" s="1484"/>
      <c r="AG656" s="1484"/>
      <c r="AH656" s="1484"/>
      <c r="AI656" s="1484"/>
      <c r="AJ656" s="1484"/>
      <c r="AK656" s="1484"/>
      <c r="AZ656" s="34"/>
      <c r="BA656" s="34"/>
      <c r="BB656" s="34"/>
      <c r="BC656" s="34"/>
      <c r="BD656" s="34"/>
      <c r="BE656" s="34"/>
      <c r="BF656" s="34"/>
      <c r="BG656" s="34"/>
      <c r="BH656" s="34"/>
      <c r="BI656" s="34"/>
      <c r="BJ656" s="34"/>
      <c r="BK656" s="34"/>
      <c r="BL656" s="34"/>
      <c r="BM656" s="34"/>
      <c r="DX656" s="1395" t="e">
        <f t="shared" si="4"/>
        <v>#VALUE!</v>
      </c>
      <c r="DY656" s="1395"/>
      <c r="DZ656" s="1395"/>
      <c r="EA656" s="1395"/>
      <c r="EB656" s="1395"/>
      <c r="EC656" s="1395" t="e">
        <f t="shared" si="5"/>
        <v>#VALUE!</v>
      </c>
      <c r="ED656" s="1395"/>
      <c r="EE656" s="1395"/>
      <c r="EF656" s="1395"/>
      <c r="EG656" s="1395"/>
      <c r="EH656" s="1395" t="e">
        <f t="shared" si="6"/>
        <v>#VALUE!</v>
      </c>
      <c r="EI656" s="1395"/>
      <c r="EJ656" s="1395"/>
      <c r="EK656" s="1395"/>
      <c r="EL656" s="1395"/>
      <c r="EM656" s="1395" t="e">
        <f t="shared" si="7"/>
        <v>#VALUE!</v>
      </c>
      <c r="EN656" s="1395"/>
      <c r="EO656" s="1395"/>
      <c r="EP656" s="1395"/>
      <c r="EQ656" s="1395"/>
      <c r="ER656" s="1395" t="e">
        <f t="shared" si="8"/>
        <v>#VALUE!</v>
      </c>
      <c r="ES656" s="1395"/>
      <c r="ET656" s="1395"/>
      <c r="EU656" s="1395"/>
      <c r="EV656" s="1395"/>
      <c r="EW656" s="1395" t="e">
        <f t="shared" si="9"/>
        <v>#VALUE!</v>
      </c>
      <c r="EX656" s="1395"/>
      <c r="EY656" s="1395"/>
      <c r="EZ656" s="1395"/>
      <c r="FA656" s="1395"/>
    </row>
    <row r="657" spans="1:157" ht="12.95" customHeight="1">
      <c r="A657" s="22"/>
      <c r="B657" t="s">
        <v>20</v>
      </c>
      <c r="N657" s="1440" t="s">
        <v>545</v>
      </c>
      <c r="O657" s="1440"/>
      <c r="T657" s="22"/>
      <c r="U657" t="s">
        <v>20</v>
      </c>
      <c r="AG657" s="1440" t="s">
        <v>545</v>
      </c>
      <c r="AH657" s="1440"/>
      <c r="AZ657" s="34"/>
      <c r="BA657" s="34"/>
      <c r="BB657" s="34"/>
      <c r="BC657" s="34"/>
      <c r="BD657" s="34"/>
      <c r="BE657" s="34"/>
      <c r="BF657" s="34"/>
      <c r="BG657" s="34"/>
      <c r="BH657" s="34"/>
      <c r="BI657" s="34"/>
      <c r="BJ657" s="34"/>
      <c r="BK657" s="34"/>
      <c r="BL657" s="34"/>
      <c r="BM657" s="34"/>
      <c r="DX657" s="1395" t="e">
        <f t="shared" si="4"/>
        <v>#VALUE!</v>
      </c>
      <c r="DY657" s="1395"/>
      <c r="DZ657" s="1395"/>
      <c r="EA657" s="1395"/>
      <c r="EB657" s="1395"/>
      <c r="EC657" s="1395" t="e">
        <f t="shared" si="5"/>
        <v>#VALUE!</v>
      </c>
      <c r="ED657" s="1395"/>
      <c r="EE657" s="1395"/>
      <c r="EF657" s="1395"/>
      <c r="EG657" s="1395"/>
      <c r="EH657" s="1395" t="e">
        <f t="shared" si="6"/>
        <v>#VALUE!</v>
      </c>
      <c r="EI657" s="1395"/>
      <c r="EJ657" s="1395"/>
      <c r="EK657" s="1395"/>
      <c r="EL657" s="1395"/>
      <c r="EM657" s="1395" t="e">
        <f t="shared" si="7"/>
        <v>#VALUE!</v>
      </c>
      <c r="EN657" s="1395"/>
      <c r="EO657" s="1395"/>
      <c r="EP657" s="1395"/>
      <c r="EQ657" s="1395"/>
      <c r="ER657" s="1395" t="e">
        <f t="shared" si="8"/>
        <v>#VALUE!</v>
      </c>
      <c r="ES657" s="1395"/>
      <c r="ET657" s="1395"/>
      <c r="EU657" s="1395"/>
      <c r="EV657" s="1395"/>
      <c r="EW657" s="1395" t="e">
        <f t="shared" si="9"/>
        <v>#VALUE!</v>
      </c>
      <c r="EX657" s="1395"/>
      <c r="EY657" s="1395"/>
      <c r="EZ657" s="1395"/>
      <c r="FA657" s="1395"/>
    </row>
    <row r="658" spans="1:157" ht="12.95" customHeight="1">
      <c r="A658" s="22"/>
      <c r="T658" s="22"/>
      <c r="AZ658" s="34"/>
      <c r="BA658" s="34"/>
      <c r="BB658" s="34"/>
      <c r="BC658" s="34"/>
      <c r="BD658" s="34"/>
      <c r="BE658" s="34"/>
      <c r="BF658" s="34"/>
      <c r="BG658" s="34"/>
      <c r="BH658" s="34"/>
      <c r="BI658" s="34"/>
      <c r="BJ658" s="34"/>
      <c r="BK658" s="34"/>
      <c r="BL658" s="34"/>
      <c r="BM658" s="34"/>
      <c r="DX658" s="1395" t="e">
        <f t="shared" si="4"/>
        <v>#VALUE!</v>
      </c>
      <c r="DY658" s="1395"/>
      <c r="DZ658" s="1395"/>
      <c r="EA658" s="1395"/>
      <c r="EB658" s="1395"/>
      <c r="EC658" s="1395" t="e">
        <f t="shared" si="5"/>
        <v>#VALUE!</v>
      </c>
      <c r="ED658" s="1395"/>
      <c r="EE658" s="1395"/>
      <c r="EF658" s="1395"/>
      <c r="EG658" s="1395"/>
      <c r="EH658" s="1395" t="e">
        <f t="shared" si="6"/>
        <v>#VALUE!</v>
      </c>
      <c r="EI658" s="1395"/>
      <c r="EJ658" s="1395"/>
      <c r="EK658" s="1395"/>
      <c r="EL658" s="1395"/>
      <c r="EM658" s="1395" t="e">
        <f t="shared" si="7"/>
        <v>#VALUE!</v>
      </c>
      <c r="EN658" s="1395"/>
      <c r="EO658" s="1395"/>
      <c r="EP658" s="1395"/>
      <c r="EQ658" s="1395"/>
      <c r="ER658" s="1395" t="e">
        <f t="shared" si="8"/>
        <v>#VALUE!</v>
      </c>
      <c r="ES658" s="1395"/>
      <c r="ET658" s="1395"/>
      <c r="EU658" s="1395"/>
      <c r="EV658" s="1395"/>
      <c r="EW658" s="1395" t="e">
        <f t="shared" si="9"/>
        <v>#VALUE!</v>
      </c>
      <c r="EX658" s="1395"/>
      <c r="EY658" s="1395"/>
      <c r="EZ658" s="1395"/>
      <c r="FA658" s="1395"/>
    </row>
    <row r="659" spans="1:157" ht="12.95" customHeight="1">
      <c r="A659" s="55" t="s">
        <v>119</v>
      </c>
      <c r="B659" t="s">
        <v>463</v>
      </c>
      <c r="G659" s="1518" t="str">
        <f>C637</f>
        <v>Town of Mammoth Lakes</v>
      </c>
      <c r="H659" s="1518"/>
      <c r="I659" s="1518"/>
      <c r="J659" s="1518"/>
      <c r="K659" s="1518"/>
      <c r="L659" s="1518"/>
      <c r="M659" s="1518"/>
      <c r="N659" s="1518"/>
      <c r="O659" s="1518"/>
      <c r="P659" s="1518"/>
      <c r="Q659" s="1518"/>
      <c r="R659" s="1518"/>
      <c r="T659" s="55" t="s">
        <v>581</v>
      </c>
      <c r="U659" t="s">
        <v>463</v>
      </c>
      <c r="Z659" s="1518" t="str">
        <f>C638</f>
        <v>West Development Ventures, LLC</v>
      </c>
      <c r="AA659" s="1518"/>
      <c r="AB659" s="1518"/>
      <c r="AC659" s="1518"/>
      <c r="AD659" s="1518"/>
      <c r="AE659" s="1518"/>
      <c r="AF659" s="1518"/>
      <c r="AG659" s="1518"/>
      <c r="AH659" s="1518"/>
      <c r="AI659" s="1518"/>
      <c r="AJ659" s="1518"/>
      <c r="AK659" s="1518"/>
      <c r="AZ659" s="34"/>
      <c r="BA659" s="34"/>
      <c r="BB659" s="34"/>
      <c r="BC659" s="34"/>
      <c r="BD659" s="34"/>
      <c r="BE659" s="34"/>
      <c r="BF659" s="34"/>
      <c r="BG659" s="34"/>
      <c r="BH659" s="34"/>
      <c r="BI659" s="34"/>
      <c r="BJ659" s="34"/>
      <c r="BK659" s="34"/>
      <c r="BL659" s="34"/>
      <c r="BM659" s="34"/>
      <c r="DX659" s="1395" t="e">
        <f t="shared" si="4"/>
        <v>#VALUE!</v>
      </c>
      <c r="DY659" s="1395"/>
      <c r="DZ659" s="1395"/>
      <c r="EA659" s="1395"/>
      <c r="EB659" s="1395"/>
      <c r="EC659" s="1395" t="e">
        <f t="shared" si="5"/>
        <v>#VALUE!</v>
      </c>
      <c r="ED659" s="1395"/>
      <c r="EE659" s="1395"/>
      <c r="EF659" s="1395"/>
      <c r="EG659" s="1395"/>
      <c r="EH659" s="1395" t="e">
        <f t="shared" si="6"/>
        <v>#VALUE!</v>
      </c>
      <c r="EI659" s="1395"/>
      <c r="EJ659" s="1395"/>
      <c r="EK659" s="1395"/>
      <c r="EL659" s="1395"/>
      <c r="EM659" s="1395" t="e">
        <f t="shared" si="7"/>
        <v>#VALUE!</v>
      </c>
      <c r="EN659" s="1395"/>
      <c r="EO659" s="1395"/>
      <c r="EP659" s="1395"/>
      <c r="EQ659" s="1395"/>
      <c r="ER659" s="1395" t="e">
        <f t="shared" si="8"/>
        <v>#VALUE!</v>
      </c>
      <c r="ES659" s="1395"/>
      <c r="ET659" s="1395"/>
      <c r="EU659" s="1395"/>
      <c r="EV659" s="1395"/>
      <c r="EW659" s="1395" t="e">
        <f t="shared" si="9"/>
        <v>#VALUE!</v>
      </c>
      <c r="EX659" s="1395"/>
      <c r="EY659" s="1395"/>
      <c r="EZ659" s="1395"/>
      <c r="FA659" s="1395"/>
    </row>
    <row r="660" spans="1:157" ht="12.95" customHeight="1">
      <c r="A660" s="22"/>
      <c r="B660" t="s">
        <v>85</v>
      </c>
      <c r="G660" s="1484" t="s">
        <v>2761</v>
      </c>
      <c r="H660" s="1484"/>
      <c r="I660" s="1484"/>
      <c r="J660" s="1484"/>
      <c r="K660" s="1484"/>
      <c r="L660" s="1484"/>
      <c r="M660" s="1484"/>
      <c r="N660" s="1484"/>
      <c r="O660" s="1484"/>
      <c r="P660" s="1484"/>
      <c r="Q660" s="1484"/>
      <c r="R660" s="1484"/>
      <c r="T660" s="22"/>
      <c r="U660" t="s">
        <v>85</v>
      </c>
      <c r="Z660" s="1484" t="s">
        <v>2770</v>
      </c>
      <c r="AA660" s="1484"/>
      <c r="AB660" s="1484"/>
      <c r="AC660" s="1484"/>
      <c r="AD660" s="1484"/>
      <c r="AE660" s="1484"/>
      <c r="AF660" s="1484"/>
      <c r="AG660" s="1484"/>
      <c r="AH660" s="1484"/>
      <c r="AI660" s="1484"/>
      <c r="AJ660" s="1484"/>
      <c r="AK660" s="1484"/>
      <c r="AZ660" s="34"/>
      <c r="BA660" s="34"/>
      <c r="BB660" s="34"/>
      <c r="BC660" s="34"/>
      <c r="BD660" s="34"/>
      <c r="BE660" s="34"/>
      <c r="BF660" s="34"/>
      <c r="BG660" s="34"/>
      <c r="BH660" s="34"/>
      <c r="BI660" s="34"/>
      <c r="BJ660" s="34"/>
      <c r="BK660" s="34"/>
      <c r="BL660" s="34"/>
      <c r="BM660" s="34"/>
      <c r="DX660" s="1395" t="e">
        <f t="shared" si="4"/>
        <v>#VALUE!</v>
      </c>
      <c r="DY660" s="1395"/>
      <c r="DZ660" s="1395"/>
      <c r="EA660" s="1395"/>
      <c r="EB660" s="1395"/>
      <c r="EC660" s="1395" t="e">
        <f t="shared" si="5"/>
        <v>#VALUE!</v>
      </c>
      <c r="ED660" s="1395"/>
      <c r="EE660" s="1395"/>
      <c r="EF660" s="1395"/>
      <c r="EG660" s="1395"/>
      <c r="EH660" s="1395" t="e">
        <f t="shared" si="6"/>
        <v>#VALUE!</v>
      </c>
      <c r="EI660" s="1395"/>
      <c r="EJ660" s="1395"/>
      <c r="EK660" s="1395"/>
      <c r="EL660" s="1395"/>
      <c r="EM660" s="1395" t="e">
        <f t="shared" si="7"/>
        <v>#VALUE!</v>
      </c>
      <c r="EN660" s="1395"/>
      <c r="EO660" s="1395"/>
      <c r="EP660" s="1395"/>
      <c r="EQ660" s="1395"/>
      <c r="ER660" s="1395" t="e">
        <f t="shared" si="8"/>
        <v>#VALUE!</v>
      </c>
      <c r="ES660" s="1395"/>
      <c r="ET660" s="1395"/>
      <c r="EU660" s="1395"/>
      <c r="EV660" s="1395"/>
      <c r="EW660" s="1395" t="e">
        <f t="shared" si="9"/>
        <v>#VALUE!</v>
      </c>
      <c r="EX660" s="1395"/>
      <c r="EY660" s="1395"/>
      <c r="EZ660" s="1395"/>
      <c r="FA660" s="1395"/>
    </row>
    <row r="661" spans="1:157" ht="12.95" customHeight="1">
      <c r="A661" s="22"/>
      <c r="B661" t="s">
        <v>580</v>
      </c>
      <c r="G661" s="1346" t="s">
        <v>2762</v>
      </c>
      <c r="H661" s="1346"/>
      <c r="I661" s="1346"/>
      <c r="J661" s="1346"/>
      <c r="K661" s="1346"/>
      <c r="L661" s="1346"/>
      <c r="M661" s="1346"/>
      <c r="N661" s="1346"/>
      <c r="O661" s="1346"/>
      <c r="P661" s="1346"/>
      <c r="Q661" s="1346"/>
      <c r="R661" s="1346"/>
      <c r="T661" s="22"/>
      <c r="U661" t="s">
        <v>580</v>
      </c>
      <c r="Z661" s="1346" t="s">
        <v>68</v>
      </c>
      <c r="AA661" s="1346"/>
      <c r="AB661" s="1346"/>
      <c r="AC661" s="1346"/>
      <c r="AD661" s="1346"/>
      <c r="AE661" s="1346"/>
      <c r="AF661" s="1346"/>
      <c r="AG661" s="1346"/>
      <c r="AH661" s="1346"/>
      <c r="AI661" s="1346"/>
      <c r="AJ661" s="1346"/>
      <c r="AK661" s="1346"/>
      <c r="AZ661" s="34"/>
      <c r="BA661" s="34"/>
      <c r="BB661" s="34"/>
      <c r="BC661" s="34"/>
      <c r="BD661" s="34"/>
      <c r="BE661" s="34"/>
      <c r="BF661" s="34"/>
      <c r="BG661" s="34"/>
      <c r="BH661" s="34"/>
      <c r="BI661" s="34"/>
      <c r="BJ661" s="34"/>
      <c r="BK661" s="34"/>
      <c r="BL661" s="34"/>
      <c r="BM661" s="34"/>
      <c r="DX661" s="1395" t="e">
        <f t="shared" si="4"/>
        <v>#VALUE!</v>
      </c>
      <c r="DY661" s="1395"/>
      <c r="DZ661" s="1395"/>
      <c r="EA661" s="1395"/>
      <c r="EB661" s="1395"/>
      <c r="EC661" s="1395" t="e">
        <f t="shared" si="5"/>
        <v>#VALUE!</v>
      </c>
      <c r="ED661" s="1395"/>
      <c r="EE661" s="1395"/>
      <c r="EF661" s="1395"/>
      <c r="EG661" s="1395"/>
      <c r="EH661" s="1395" t="e">
        <f t="shared" si="6"/>
        <v>#VALUE!</v>
      </c>
      <c r="EI661" s="1395"/>
      <c r="EJ661" s="1395"/>
      <c r="EK661" s="1395"/>
      <c r="EL661" s="1395"/>
      <c r="EM661" s="1395" t="e">
        <f t="shared" si="7"/>
        <v>#VALUE!</v>
      </c>
      <c r="EN661" s="1395"/>
      <c r="EO661" s="1395"/>
      <c r="EP661" s="1395"/>
      <c r="EQ661" s="1395"/>
      <c r="ER661" s="1395" t="e">
        <f t="shared" si="8"/>
        <v>#VALUE!</v>
      </c>
      <c r="ES661" s="1395"/>
      <c r="ET661" s="1395"/>
      <c r="EU661" s="1395"/>
      <c r="EV661" s="1395"/>
      <c r="EW661" s="1395" t="e">
        <f t="shared" si="9"/>
        <v>#VALUE!</v>
      </c>
      <c r="EX661" s="1395"/>
      <c r="EY661" s="1395"/>
      <c r="EZ661" s="1395"/>
      <c r="FA661" s="1395"/>
    </row>
    <row r="662" spans="1:157" ht="12.95" customHeight="1">
      <c r="A662" s="22"/>
      <c r="B662" t="s">
        <v>17</v>
      </c>
      <c r="G662" s="1346" t="s">
        <v>2763</v>
      </c>
      <c r="H662" s="1346"/>
      <c r="I662" s="1346"/>
      <c r="J662" s="1346"/>
      <c r="K662" s="1346"/>
      <c r="L662" s="1346"/>
      <c r="M662" s="1346"/>
      <c r="N662" s="1346"/>
      <c r="O662" s="1346"/>
      <c r="P662" s="1346"/>
      <c r="Q662" s="1346"/>
      <c r="R662" s="1346"/>
      <c r="T662" s="22"/>
      <c r="U662" t="s">
        <v>17</v>
      </c>
      <c r="Z662" s="1346" t="s">
        <v>2771</v>
      </c>
      <c r="AA662" s="1346"/>
      <c r="AB662" s="1346"/>
      <c r="AC662" s="1346"/>
      <c r="AD662" s="1346"/>
      <c r="AE662" s="1346"/>
      <c r="AF662" s="1346"/>
      <c r="AG662" s="1346"/>
      <c r="AH662" s="1346"/>
      <c r="AI662" s="1346"/>
      <c r="AJ662" s="1346"/>
      <c r="AK662" s="1346"/>
      <c r="AZ662" s="34"/>
      <c r="BA662" s="34"/>
      <c r="BB662" s="34"/>
      <c r="BC662" s="34"/>
      <c r="BD662" s="34"/>
      <c r="BE662" s="34"/>
      <c r="BF662" s="34"/>
      <c r="BG662" s="34"/>
      <c r="BH662" s="34"/>
      <c r="BI662" s="34"/>
      <c r="BJ662" s="34"/>
      <c r="BK662" s="34"/>
      <c r="BL662" s="34"/>
      <c r="BM662" s="34"/>
      <c r="DX662" s="1395" t="e">
        <f t="shared" si="4"/>
        <v>#VALUE!</v>
      </c>
      <c r="DY662" s="1395"/>
      <c r="DZ662" s="1395"/>
      <c r="EA662" s="1395"/>
      <c r="EB662" s="1395"/>
      <c r="EC662" s="1395" t="e">
        <f t="shared" si="5"/>
        <v>#VALUE!</v>
      </c>
      <c r="ED662" s="1395"/>
      <c r="EE662" s="1395"/>
      <c r="EF662" s="1395"/>
      <c r="EG662" s="1395"/>
      <c r="EH662" s="1395" t="e">
        <f t="shared" si="6"/>
        <v>#VALUE!</v>
      </c>
      <c r="EI662" s="1395"/>
      <c r="EJ662" s="1395"/>
      <c r="EK662" s="1395"/>
      <c r="EL662" s="1395"/>
      <c r="EM662" s="1395" t="e">
        <f t="shared" si="7"/>
        <v>#VALUE!</v>
      </c>
      <c r="EN662" s="1395"/>
      <c r="EO662" s="1395"/>
      <c r="EP662" s="1395"/>
      <c r="EQ662" s="1395"/>
      <c r="ER662" s="1395" t="e">
        <f t="shared" si="8"/>
        <v>#VALUE!</v>
      </c>
      <c r="ES662" s="1395"/>
      <c r="ET662" s="1395"/>
      <c r="EU662" s="1395"/>
      <c r="EV662" s="1395"/>
      <c r="EW662" s="1395" t="e">
        <f t="shared" si="9"/>
        <v>#VALUE!</v>
      </c>
      <c r="EX662" s="1395"/>
      <c r="EY662" s="1395"/>
      <c r="EZ662" s="1395"/>
      <c r="FA662" s="1395"/>
    </row>
    <row r="663" spans="1:157" ht="12.95" customHeight="1">
      <c r="A663" s="22"/>
      <c r="B663" t="s">
        <v>316</v>
      </c>
      <c r="G663" s="1535">
        <v>7609653631</v>
      </c>
      <c r="H663" s="1535"/>
      <c r="I663" s="1535"/>
      <c r="J663" s="1535"/>
      <c r="K663" s="1535"/>
      <c r="L663" s="1535"/>
      <c r="O663" s="33" t="s">
        <v>206</v>
      </c>
      <c r="P663" s="1474"/>
      <c r="Q663" s="1474"/>
      <c r="R663" s="1474"/>
      <c r="T663" s="22"/>
      <c r="U663" t="s">
        <v>316</v>
      </c>
      <c r="Z663" s="1535">
        <v>9168345986</v>
      </c>
      <c r="AA663" s="1535"/>
      <c r="AB663" s="1535"/>
      <c r="AC663" s="1535"/>
      <c r="AD663" s="1535"/>
      <c r="AE663" s="1535"/>
      <c r="AH663" s="33" t="s">
        <v>206</v>
      </c>
      <c r="AI663" s="1474"/>
      <c r="AJ663" s="1474"/>
      <c r="AK663" s="1474"/>
      <c r="AZ663" s="34"/>
      <c r="BA663" s="34"/>
      <c r="BB663" s="34"/>
      <c r="BC663" s="34"/>
      <c r="BD663" s="34"/>
      <c r="BE663" s="34"/>
      <c r="BF663" s="34"/>
      <c r="BG663" s="34"/>
      <c r="BH663" s="34"/>
      <c r="BI663" s="34"/>
      <c r="BJ663" s="34"/>
      <c r="BK663" s="34"/>
      <c r="BL663" s="34"/>
      <c r="BM663" s="34"/>
      <c r="DX663" s="1395" t="e">
        <f t="shared" si="4"/>
        <v>#VALUE!</v>
      </c>
      <c r="DY663" s="1395"/>
      <c r="DZ663" s="1395"/>
      <c r="EA663" s="1395"/>
      <c r="EB663" s="1395"/>
      <c r="EC663" s="1395" t="e">
        <f t="shared" si="5"/>
        <v>#VALUE!</v>
      </c>
      <c r="ED663" s="1395"/>
      <c r="EE663" s="1395"/>
      <c r="EF663" s="1395"/>
      <c r="EG663" s="1395"/>
      <c r="EH663" s="1395" t="e">
        <f t="shared" si="6"/>
        <v>#VALUE!</v>
      </c>
      <c r="EI663" s="1395"/>
      <c r="EJ663" s="1395"/>
      <c r="EK663" s="1395"/>
      <c r="EL663" s="1395"/>
      <c r="EM663" s="1395" t="e">
        <f t="shared" si="7"/>
        <v>#VALUE!</v>
      </c>
      <c r="EN663" s="1395"/>
      <c r="EO663" s="1395"/>
      <c r="EP663" s="1395"/>
      <c r="EQ663" s="1395"/>
      <c r="ER663" s="1395" t="e">
        <f t="shared" si="8"/>
        <v>#VALUE!</v>
      </c>
      <c r="ES663" s="1395"/>
      <c r="ET663" s="1395"/>
      <c r="EU663" s="1395"/>
      <c r="EV663" s="1395"/>
      <c r="EW663" s="1395" t="e">
        <f t="shared" si="9"/>
        <v>#VALUE!</v>
      </c>
      <c r="EX663" s="1395"/>
      <c r="EY663" s="1395"/>
      <c r="EZ663" s="1395"/>
      <c r="FA663" s="1395"/>
    </row>
    <row r="664" spans="1:157" ht="12.95" customHeight="1">
      <c r="A664" s="22"/>
      <c r="B664" t="s">
        <v>18</v>
      </c>
      <c r="H664" s="1484" t="s">
        <v>2765</v>
      </c>
      <c r="I664" s="1484"/>
      <c r="J664" s="1484"/>
      <c r="K664" s="1484"/>
      <c r="L664" s="1484"/>
      <c r="M664" s="1484"/>
      <c r="N664" s="1484"/>
      <c r="O664" s="1484"/>
      <c r="P664" s="1484"/>
      <c r="Q664" s="1484"/>
      <c r="R664" s="1484"/>
      <c r="T664" s="22"/>
      <c r="U664" t="s">
        <v>18</v>
      </c>
      <c r="AA664" s="1484" t="s">
        <v>2772</v>
      </c>
      <c r="AB664" s="1484"/>
      <c r="AC664" s="1484"/>
      <c r="AD664" s="1484"/>
      <c r="AE664" s="1484"/>
      <c r="AF664" s="1484"/>
      <c r="AG664" s="1484"/>
      <c r="AH664" s="1484"/>
      <c r="AI664" s="1484"/>
      <c r="AJ664" s="1484"/>
      <c r="AK664" s="1484"/>
      <c r="AZ664" s="34"/>
      <c r="BA664" s="34"/>
      <c r="BB664" s="34"/>
      <c r="BC664" s="34"/>
      <c r="BD664" s="34"/>
      <c r="BE664" s="34"/>
      <c r="BF664" s="34"/>
      <c r="BG664" s="34"/>
      <c r="BH664" s="34"/>
      <c r="BI664" s="34"/>
      <c r="BJ664" s="34"/>
      <c r="BK664" s="34"/>
      <c r="BL664" s="34"/>
      <c r="BM664" s="34"/>
      <c r="DX664" s="1395" t="e">
        <f t="shared" si="4"/>
        <v>#VALUE!</v>
      </c>
      <c r="DY664" s="1395"/>
      <c r="DZ664" s="1395"/>
      <c r="EA664" s="1395"/>
      <c r="EB664" s="1395"/>
      <c r="EC664" s="1395" t="e">
        <f t="shared" si="5"/>
        <v>#VALUE!</v>
      </c>
      <c r="ED664" s="1395"/>
      <c r="EE664" s="1395"/>
      <c r="EF664" s="1395"/>
      <c r="EG664" s="1395"/>
      <c r="EH664" s="1395" t="e">
        <f t="shared" si="6"/>
        <v>#VALUE!</v>
      </c>
      <c r="EI664" s="1395"/>
      <c r="EJ664" s="1395"/>
      <c r="EK664" s="1395"/>
      <c r="EL664" s="1395"/>
      <c r="EM664" s="1395" t="e">
        <f t="shared" si="7"/>
        <v>#VALUE!</v>
      </c>
      <c r="EN664" s="1395"/>
      <c r="EO664" s="1395"/>
      <c r="EP664" s="1395"/>
      <c r="EQ664" s="1395"/>
      <c r="ER664" s="1395" t="e">
        <f t="shared" si="8"/>
        <v>#VALUE!</v>
      </c>
      <c r="ES664" s="1395"/>
      <c r="ET664" s="1395"/>
      <c r="EU664" s="1395"/>
      <c r="EV664" s="1395"/>
      <c r="EW664" s="1395" t="e">
        <f t="shared" si="9"/>
        <v>#VALUE!</v>
      </c>
      <c r="EX664" s="1395"/>
      <c r="EY664" s="1395"/>
      <c r="EZ664" s="1395"/>
      <c r="FA664" s="1395"/>
    </row>
    <row r="665" spans="1:157" ht="12.95" customHeight="1">
      <c r="A665" s="22"/>
      <c r="B665" t="s">
        <v>20</v>
      </c>
      <c r="N665" s="1440" t="s">
        <v>545</v>
      </c>
      <c r="O665" s="1440"/>
      <c r="T665" s="22"/>
      <c r="U665" t="s">
        <v>20</v>
      </c>
      <c r="AG665" s="1440" t="s">
        <v>545</v>
      </c>
      <c r="AH665" s="1440"/>
      <c r="AZ665" s="34"/>
      <c r="BA665" s="34"/>
      <c r="BB665" s="34"/>
      <c r="BC665" s="34"/>
      <c r="BD665" s="34"/>
      <c r="BE665" s="34"/>
      <c r="BF665" s="34"/>
      <c r="BG665" s="34"/>
      <c r="BH665" s="34"/>
      <c r="BI665" s="34"/>
      <c r="BJ665" s="34"/>
      <c r="BK665" s="34"/>
      <c r="BL665" s="34"/>
      <c r="BM665" s="34"/>
      <c r="DX665" s="1395" t="e">
        <f t="shared" si="4"/>
        <v>#VALUE!</v>
      </c>
      <c r="DY665" s="1395"/>
      <c r="DZ665" s="1395"/>
      <c r="EA665" s="1395"/>
      <c r="EB665" s="1395"/>
      <c r="EC665" s="1395" t="e">
        <f t="shared" si="5"/>
        <v>#VALUE!</v>
      </c>
      <c r="ED665" s="1395"/>
      <c r="EE665" s="1395"/>
      <c r="EF665" s="1395"/>
      <c r="EG665" s="1395"/>
      <c r="EH665" s="1395" t="e">
        <f t="shared" si="6"/>
        <v>#VALUE!</v>
      </c>
      <c r="EI665" s="1395"/>
      <c r="EJ665" s="1395"/>
      <c r="EK665" s="1395"/>
      <c r="EL665" s="1395"/>
      <c r="EM665" s="1395" t="e">
        <f t="shared" si="7"/>
        <v>#VALUE!</v>
      </c>
      <c r="EN665" s="1395"/>
      <c r="EO665" s="1395"/>
      <c r="EP665" s="1395"/>
      <c r="EQ665" s="1395"/>
      <c r="ER665" s="1395" t="e">
        <f t="shared" si="8"/>
        <v>#VALUE!</v>
      </c>
      <c r="ES665" s="1395"/>
      <c r="ET665" s="1395"/>
      <c r="EU665" s="1395"/>
      <c r="EV665" s="1395"/>
      <c r="EW665" s="1395" t="e">
        <f t="shared" si="9"/>
        <v>#VALUE!</v>
      </c>
      <c r="EX665" s="1395"/>
      <c r="EY665" s="1395"/>
      <c r="EZ665" s="1395"/>
      <c r="FA665" s="1395"/>
    </row>
    <row r="666" spans="1:157" ht="12.95" customHeight="1">
      <c r="A666" s="22"/>
      <c r="T666" s="22"/>
      <c r="AZ666" s="34"/>
      <c r="BA666" s="34"/>
      <c r="BB666" s="34"/>
      <c r="BC666" s="34"/>
      <c r="BD666" s="34"/>
      <c r="BE666" s="34"/>
      <c r="BF666" s="34"/>
      <c r="BG666" s="34"/>
      <c r="BH666" s="34"/>
      <c r="BI666" s="34"/>
      <c r="BJ666" s="34"/>
      <c r="BK666" s="34"/>
      <c r="BL666" s="34"/>
      <c r="BM666" s="34"/>
      <c r="DX666" s="1395" t="e">
        <f t="shared" si="4"/>
        <v>#VALUE!</v>
      </c>
      <c r="DY666" s="1395"/>
      <c r="DZ666" s="1395"/>
      <c r="EA666" s="1395"/>
      <c r="EB666" s="1395"/>
      <c r="EC666" s="1395" t="e">
        <f t="shared" si="5"/>
        <v>#VALUE!</v>
      </c>
      <c r="ED666" s="1395"/>
      <c r="EE666" s="1395"/>
      <c r="EF666" s="1395"/>
      <c r="EG666" s="1395"/>
      <c r="EH666" s="1395" t="e">
        <f t="shared" si="6"/>
        <v>#VALUE!</v>
      </c>
      <c r="EI666" s="1395"/>
      <c r="EJ666" s="1395"/>
      <c r="EK666" s="1395"/>
      <c r="EL666" s="1395"/>
      <c r="EM666" s="1395" t="e">
        <f t="shared" si="7"/>
        <v>#VALUE!</v>
      </c>
      <c r="EN666" s="1395"/>
      <c r="EO666" s="1395"/>
      <c r="EP666" s="1395"/>
      <c r="EQ666" s="1395"/>
      <c r="ER666" s="1395" t="e">
        <f t="shared" si="8"/>
        <v>#VALUE!</v>
      </c>
      <c r="ES666" s="1395"/>
      <c r="ET666" s="1395"/>
      <c r="EU666" s="1395"/>
      <c r="EV666" s="1395"/>
      <c r="EW666" s="1395" t="e">
        <f t="shared" si="9"/>
        <v>#VALUE!</v>
      </c>
      <c r="EX666" s="1395"/>
      <c r="EY666" s="1395"/>
      <c r="EZ666" s="1395"/>
      <c r="FA666" s="1395"/>
    </row>
    <row r="667" spans="1:157" ht="12.95" customHeight="1">
      <c r="A667" s="55" t="s">
        <v>763</v>
      </c>
      <c r="B667" t="s">
        <v>463</v>
      </c>
      <c r="G667" s="1518" t="str">
        <f>C639</f>
        <v>West Development Ventures, LLC</v>
      </c>
      <c r="H667" s="1518"/>
      <c r="I667" s="1518"/>
      <c r="J667" s="1518"/>
      <c r="K667" s="1518"/>
      <c r="L667" s="1518"/>
      <c r="M667" s="1518"/>
      <c r="N667" s="1518"/>
      <c r="O667" s="1518"/>
      <c r="P667" s="1518"/>
      <c r="Q667" s="1518"/>
      <c r="R667" s="1518"/>
      <c r="T667" s="55" t="s">
        <v>584</v>
      </c>
      <c r="U667" t="s">
        <v>463</v>
      </c>
      <c r="Z667" s="1518">
        <f>C640</f>
        <v>0</v>
      </c>
      <c r="AA667" s="1518"/>
      <c r="AB667" s="1518"/>
      <c r="AC667" s="1518"/>
      <c r="AD667" s="1518"/>
      <c r="AE667" s="1518"/>
      <c r="AF667" s="1518"/>
      <c r="AG667" s="1518"/>
      <c r="AH667" s="1518"/>
      <c r="AI667" s="1518"/>
      <c r="AJ667" s="1518"/>
      <c r="AK667" s="1518"/>
      <c r="AZ667" s="34"/>
      <c r="BA667" s="34"/>
      <c r="BB667" s="34"/>
      <c r="BC667" s="34"/>
      <c r="BD667" s="34"/>
      <c r="BE667" s="34"/>
      <c r="BF667" s="34"/>
      <c r="BG667" s="34"/>
      <c r="BH667" s="34"/>
      <c r="BI667" s="34"/>
      <c r="BJ667" s="34"/>
      <c r="BK667" s="34"/>
      <c r="BL667" s="34"/>
      <c r="BM667" s="34"/>
      <c r="DX667" s="1395" t="e">
        <f t="shared" si="4"/>
        <v>#VALUE!</v>
      </c>
      <c r="DY667" s="1395"/>
      <c r="DZ667" s="1395"/>
      <c r="EA667" s="1395"/>
      <c r="EB667" s="1395"/>
      <c r="EC667" s="1395" t="e">
        <f t="shared" si="5"/>
        <v>#VALUE!</v>
      </c>
      <c r="ED667" s="1395"/>
      <c r="EE667" s="1395"/>
      <c r="EF667" s="1395"/>
      <c r="EG667" s="1395"/>
      <c r="EH667" s="1395" t="e">
        <f t="shared" si="6"/>
        <v>#VALUE!</v>
      </c>
      <c r="EI667" s="1395"/>
      <c r="EJ667" s="1395"/>
      <c r="EK667" s="1395"/>
      <c r="EL667" s="1395"/>
      <c r="EM667" s="1395" t="e">
        <f t="shared" si="7"/>
        <v>#VALUE!</v>
      </c>
      <c r="EN667" s="1395"/>
      <c r="EO667" s="1395"/>
      <c r="EP667" s="1395"/>
      <c r="EQ667" s="1395"/>
      <c r="ER667" s="1395" t="e">
        <f t="shared" si="8"/>
        <v>#VALUE!</v>
      </c>
      <c r="ES667" s="1395"/>
      <c r="ET667" s="1395"/>
      <c r="EU667" s="1395"/>
      <c r="EV667" s="1395"/>
      <c r="EW667" s="1395" t="e">
        <f t="shared" si="9"/>
        <v>#VALUE!</v>
      </c>
      <c r="EX667" s="1395"/>
      <c r="EY667" s="1395"/>
      <c r="EZ667" s="1395"/>
      <c r="FA667" s="1395"/>
    </row>
    <row r="668" spans="1:157" ht="12.95" customHeight="1">
      <c r="A668" s="22"/>
      <c r="B668" t="s">
        <v>85</v>
      </c>
      <c r="G668" s="1484" t="s">
        <v>2770</v>
      </c>
      <c r="H668" s="1484"/>
      <c r="I668" s="1484"/>
      <c r="J668" s="1484"/>
      <c r="K668" s="1484"/>
      <c r="L668" s="1484"/>
      <c r="M668" s="1484"/>
      <c r="N668" s="1484"/>
      <c r="O668" s="1484"/>
      <c r="P668" s="1484"/>
      <c r="Q668" s="1484"/>
      <c r="R668" s="1484"/>
      <c r="T668" s="22"/>
      <c r="U668" t="s">
        <v>85</v>
      </c>
      <c r="Z668" s="1484"/>
      <c r="AA668" s="1484"/>
      <c r="AB668" s="1484"/>
      <c r="AC668" s="1484"/>
      <c r="AD668" s="1484"/>
      <c r="AE668" s="1484"/>
      <c r="AF668" s="1484"/>
      <c r="AG668" s="1484"/>
      <c r="AH668" s="1484"/>
      <c r="AI668" s="1484"/>
      <c r="AJ668" s="1484"/>
      <c r="AK668" s="1484"/>
      <c r="AZ668" s="34"/>
      <c r="BA668" s="34"/>
      <c r="BB668" s="34"/>
      <c r="BC668" s="34"/>
      <c r="BD668" s="34"/>
      <c r="BE668" s="34"/>
      <c r="BF668" s="34"/>
      <c r="BG668" s="34"/>
      <c r="BH668" s="34"/>
      <c r="BI668" s="34"/>
      <c r="BJ668" s="34"/>
      <c r="BK668" s="34"/>
      <c r="BL668" s="34"/>
      <c r="BM668" s="34"/>
      <c r="DX668" s="1395" t="e">
        <f t="shared" si="4"/>
        <v>#VALUE!</v>
      </c>
      <c r="DY668" s="1395"/>
      <c r="DZ668" s="1395"/>
      <c r="EA668" s="1395"/>
      <c r="EB668" s="1395"/>
      <c r="EC668" s="1395" t="e">
        <f t="shared" si="5"/>
        <v>#VALUE!</v>
      </c>
      <c r="ED668" s="1395"/>
      <c r="EE668" s="1395"/>
      <c r="EF668" s="1395"/>
      <c r="EG668" s="1395"/>
      <c r="EH668" s="1395" t="e">
        <f t="shared" si="6"/>
        <v>#VALUE!</v>
      </c>
      <c r="EI668" s="1395"/>
      <c r="EJ668" s="1395"/>
      <c r="EK668" s="1395"/>
      <c r="EL668" s="1395"/>
      <c r="EM668" s="1395" t="e">
        <f t="shared" si="7"/>
        <v>#VALUE!</v>
      </c>
      <c r="EN668" s="1395"/>
      <c r="EO668" s="1395"/>
      <c r="EP668" s="1395"/>
      <c r="EQ668" s="1395"/>
      <c r="ER668" s="1395" t="e">
        <f t="shared" si="8"/>
        <v>#VALUE!</v>
      </c>
      <c r="ES668" s="1395"/>
      <c r="ET668" s="1395"/>
      <c r="EU668" s="1395"/>
      <c r="EV668" s="1395"/>
      <c r="EW668" s="1395" t="e">
        <f t="shared" si="9"/>
        <v>#VALUE!</v>
      </c>
      <c r="EX668" s="1395"/>
      <c r="EY668" s="1395"/>
      <c r="EZ668" s="1395"/>
      <c r="FA668" s="1395"/>
    </row>
    <row r="669" spans="1:157" ht="12.95" customHeight="1">
      <c r="A669" s="22"/>
      <c r="B669" t="s">
        <v>580</v>
      </c>
      <c r="G669" s="1484" t="s">
        <v>68</v>
      </c>
      <c r="H669" s="1484"/>
      <c r="I669" s="1484"/>
      <c r="J669" s="1484"/>
      <c r="K669" s="1484"/>
      <c r="L669" s="1484"/>
      <c r="M669" s="1484"/>
      <c r="N669" s="1484"/>
      <c r="O669" s="1484"/>
      <c r="P669" s="1484"/>
      <c r="Q669" s="1484"/>
      <c r="R669" s="1484"/>
      <c r="T669" s="22"/>
      <c r="U669" t="s">
        <v>580</v>
      </c>
      <c r="Z669" s="1346"/>
      <c r="AA669" s="1346"/>
      <c r="AB669" s="1346"/>
      <c r="AC669" s="1346"/>
      <c r="AD669" s="1346"/>
      <c r="AE669" s="1346"/>
      <c r="AF669" s="1346"/>
      <c r="AG669" s="1346"/>
      <c r="AH669" s="1346"/>
      <c r="AI669" s="1346"/>
      <c r="AJ669" s="1346"/>
      <c r="AK669" s="1346"/>
      <c r="AZ669" s="34"/>
      <c r="BA669" s="34"/>
      <c r="BB669" s="34"/>
      <c r="BC669" s="34"/>
      <c r="BD669" s="34"/>
      <c r="BE669" s="34"/>
      <c r="BF669" s="34"/>
      <c r="BG669" s="34"/>
      <c r="BH669" s="34"/>
      <c r="BI669" s="34"/>
      <c r="BJ669" s="34"/>
      <c r="BK669" s="34"/>
      <c r="BL669" s="34"/>
      <c r="BM669" s="34"/>
      <c r="DX669" s="1395" t="e">
        <f t="shared" si="4"/>
        <v>#VALUE!</v>
      </c>
      <c r="DY669" s="1395"/>
      <c r="DZ669" s="1395"/>
      <c r="EA669" s="1395"/>
      <c r="EB669" s="1395"/>
      <c r="EC669" s="1395" t="e">
        <f t="shared" si="5"/>
        <v>#VALUE!</v>
      </c>
      <c r="ED669" s="1395"/>
      <c r="EE669" s="1395"/>
      <c r="EF669" s="1395"/>
      <c r="EG669" s="1395"/>
      <c r="EH669" s="1395" t="e">
        <f t="shared" si="6"/>
        <v>#VALUE!</v>
      </c>
      <c r="EI669" s="1395"/>
      <c r="EJ669" s="1395"/>
      <c r="EK669" s="1395"/>
      <c r="EL669" s="1395"/>
      <c r="EM669" s="1395" t="e">
        <f t="shared" si="7"/>
        <v>#VALUE!</v>
      </c>
      <c r="EN669" s="1395"/>
      <c r="EO669" s="1395"/>
      <c r="EP669" s="1395"/>
      <c r="EQ669" s="1395"/>
      <c r="ER669" s="1395" t="e">
        <f t="shared" si="8"/>
        <v>#VALUE!</v>
      </c>
      <c r="ES669" s="1395"/>
      <c r="ET669" s="1395"/>
      <c r="EU669" s="1395"/>
      <c r="EV669" s="1395"/>
      <c r="EW669" s="1395" t="e">
        <f t="shared" si="9"/>
        <v>#VALUE!</v>
      </c>
      <c r="EX669" s="1395"/>
      <c r="EY669" s="1395"/>
      <c r="EZ669" s="1395"/>
      <c r="FA669" s="1395"/>
    </row>
    <row r="670" spans="1:157" ht="12.95" customHeight="1">
      <c r="A670" s="22"/>
      <c r="B670" t="s">
        <v>17</v>
      </c>
      <c r="G670" s="1484" t="s">
        <v>2771</v>
      </c>
      <c r="H670" s="1484"/>
      <c r="I670" s="1484"/>
      <c r="J670" s="1484"/>
      <c r="K670" s="1484"/>
      <c r="L670" s="1484"/>
      <c r="M670" s="1484"/>
      <c r="N670" s="1484"/>
      <c r="O670" s="1484"/>
      <c r="P670" s="1484"/>
      <c r="Q670" s="1484"/>
      <c r="R670" s="1484"/>
      <c r="T670" s="22"/>
      <c r="U670" t="s">
        <v>17</v>
      </c>
      <c r="Z670" s="1346"/>
      <c r="AA670" s="1346"/>
      <c r="AB670" s="1346"/>
      <c r="AC670" s="1346"/>
      <c r="AD670" s="1346"/>
      <c r="AE670" s="1346"/>
      <c r="AF670" s="1346"/>
      <c r="AG670" s="1346"/>
      <c r="AH670" s="1346"/>
      <c r="AI670" s="1346"/>
      <c r="AJ670" s="1346"/>
      <c r="AK670" s="1346"/>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95" t="e">
        <f t="shared" si="4"/>
        <v>#VALUE!</v>
      </c>
      <c r="DY670" s="1395"/>
      <c r="DZ670" s="1395"/>
      <c r="EA670" s="1395"/>
      <c r="EB670" s="1395"/>
      <c r="EC670" s="1395" t="e">
        <f t="shared" si="5"/>
        <v>#VALUE!</v>
      </c>
      <c r="ED670" s="1395"/>
      <c r="EE670" s="1395"/>
      <c r="EF670" s="1395"/>
      <c r="EG670" s="1395"/>
      <c r="EH670" s="1395" t="e">
        <f t="shared" si="6"/>
        <v>#VALUE!</v>
      </c>
      <c r="EI670" s="1395"/>
      <c r="EJ670" s="1395"/>
      <c r="EK670" s="1395"/>
      <c r="EL670" s="1395"/>
      <c r="EM670" s="1395" t="e">
        <f t="shared" si="7"/>
        <v>#VALUE!</v>
      </c>
      <c r="EN670" s="1395"/>
      <c r="EO670" s="1395"/>
      <c r="EP670" s="1395"/>
      <c r="EQ670" s="1395"/>
      <c r="ER670" s="1395" t="e">
        <f t="shared" si="8"/>
        <v>#VALUE!</v>
      </c>
      <c r="ES670" s="1395"/>
      <c r="ET670" s="1395"/>
      <c r="EU670" s="1395"/>
      <c r="EV670" s="1395"/>
      <c r="EW670" s="1395" t="e">
        <f t="shared" si="9"/>
        <v>#VALUE!</v>
      </c>
      <c r="EX670" s="1395"/>
      <c r="EY670" s="1395"/>
      <c r="EZ670" s="1395"/>
      <c r="FA670" s="1395"/>
    </row>
    <row r="671" spans="1:157" ht="12.95" customHeight="1">
      <c r="A671" s="22"/>
      <c r="B671" t="s">
        <v>316</v>
      </c>
      <c r="G671" s="1535">
        <v>9168345986</v>
      </c>
      <c r="H671" s="1535"/>
      <c r="I671" s="1535"/>
      <c r="J671" s="1535"/>
      <c r="K671" s="1535"/>
      <c r="L671" s="1535"/>
      <c r="O671" s="33" t="s">
        <v>206</v>
      </c>
      <c r="P671" s="1474"/>
      <c r="Q671" s="1474"/>
      <c r="R671" s="1474"/>
      <c r="T671" s="22"/>
      <c r="U671" t="s">
        <v>316</v>
      </c>
      <c r="Z671" s="1535"/>
      <c r="AA671" s="1535"/>
      <c r="AB671" s="1535"/>
      <c r="AC671" s="1535"/>
      <c r="AD671" s="1535"/>
      <c r="AE671" s="1535"/>
      <c r="AH671" s="33" t="s">
        <v>206</v>
      </c>
      <c r="AI671" s="1474"/>
      <c r="AJ671" s="1474"/>
      <c r="AK671" s="1474"/>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95" t="e">
        <f t="shared" si="4"/>
        <v>#VALUE!</v>
      </c>
      <c r="DY671" s="1395"/>
      <c r="DZ671" s="1395"/>
      <c r="EA671" s="1395"/>
      <c r="EB671" s="1395"/>
      <c r="EC671" s="1395" t="e">
        <f t="shared" si="5"/>
        <v>#VALUE!</v>
      </c>
      <c r="ED671" s="1395"/>
      <c r="EE671" s="1395"/>
      <c r="EF671" s="1395"/>
      <c r="EG671" s="1395"/>
      <c r="EH671" s="1395" t="e">
        <f t="shared" si="6"/>
        <v>#VALUE!</v>
      </c>
      <c r="EI671" s="1395"/>
      <c r="EJ671" s="1395"/>
      <c r="EK671" s="1395"/>
      <c r="EL671" s="1395"/>
      <c r="EM671" s="1395" t="e">
        <f t="shared" si="7"/>
        <v>#VALUE!</v>
      </c>
      <c r="EN671" s="1395"/>
      <c r="EO671" s="1395"/>
      <c r="EP671" s="1395"/>
      <c r="EQ671" s="1395"/>
      <c r="ER671" s="1395" t="e">
        <f t="shared" si="8"/>
        <v>#VALUE!</v>
      </c>
      <c r="ES671" s="1395"/>
      <c r="ET671" s="1395"/>
      <c r="EU671" s="1395"/>
      <c r="EV671" s="1395"/>
      <c r="EW671" s="1395" t="e">
        <f t="shared" si="9"/>
        <v>#VALUE!</v>
      </c>
      <c r="EX671" s="1395"/>
      <c r="EY671" s="1395"/>
      <c r="EZ671" s="1395"/>
      <c r="FA671" s="1395"/>
    </row>
    <row r="672" spans="1:157" ht="12.95" customHeight="1">
      <c r="A672" s="22"/>
      <c r="B672" t="s">
        <v>18</v>
      </c>
      <c r="H672" s="1484" t="s">
        <v>2264</v>
      </c>
      <c r="I672" s="1484"/>
      <c r="J672" s="1484"/>
      <c r="K672" s="1484"/>
      <c r="L672" s="1484"/>
      <c r="M672" s="1484"/>
      <c r="N672" s="1484"/>
      <c r="O672" s="1484"/>
      <c r="P672" s="1484"/>
      <c r="Q672" s="1484"/>
      <c r="R672" s="1484"/>
      <c r="T672" s="22"/>
      <c r="U672" t="s">
        <v>18</v>
      </c>
      <c r="AA672" s="1484"/>
      <c r="AB672" s="1484"/>
      <c r="AC672" s="1484"/>
      <c r="AD672" s="1484"/>
      <c r="AE672" s="1484"/>
      <c r="AF672" s="1484"/>
      <c r="AG672" s="1484"/>
      <c r="AH672" s="1484"/>
      <c r="AI672" s="1484"/>
      <c r="AJ672" s="1484"/>
      <c r="AK672" s="1484"/>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95" t="e">
        <f t="shared" si="4"/>
        <v>#VALUE!</v>
      </c>
      <c r="DY672" s="1395"/>
      <c r="DZ672" s="1395"/>
      <c r="EA672" s="1395"/>
      <c r="EB672" s="1395"/>
      <c r="EC672" s="1395" t="e">
        <f t="shared" si="5"/>
        <v>#VALUE!</v>
      </c>
      <c r="ED672" s="1395"/>
      <c r="EE672" s="1395"/>
      <c r="EF672" s="1395"/>
      <c r="EG672" s="1395"/>
      <c r="EH672" s="1395" t="e">
        <f t="shared" si="6"/>
        <v>#VALUE!</v>
      </c>
      <c r="EI672" s="1395"/>
      <c r="EJ672" s="1395"/>
      <c r="EK672" s="1395"/>
      <c r="EL672" s="1395"/>
      <c r="EM672" s="1395" t="e">
        <f t="shared" si="7"/>
        <v>#VALUE!</v>
      </c>
      <c r="EN672" s="1395"/>
      <c r="EO672" s="1395"/>
      <c r="EP672" s="1395"/>
      <c r="EQ672" s="1395"/>
      <c r="ER672" s="1395" t="e">
        <f t="shared" si="8"/>
        <v>#VALUE!</v>
      </c>
      <c r="ES672" s="1395"/>
      <c r="ET672" s="1395"/>
      <c r="EU672" s="1395"/>
      <c r="EV672" s="1395"/>
      <c r="EW672" s="1395" t="e">
        <f t="shared" si="9"/>
        <v>#VALUE!</v>
      </c>
      <c r="EX672" s="1395"/>
      <c r="EY672" s="1395"/>
      <c r="EZ672" s="1395"/>
      <c r="FA672" s="1395"/>
    </row>
    <row r="673" spans="1:157" ht="12.95" customHeight="1">
      <c r="A673" s="22"/>
      <c r="B673" t="s">
        <v>20</v>
      </c>
      <c r="N673" s="1440" t="s">
        <v>545</v>
      </c>
      <c r="O673" s="1440"/>
      <c r="T673" s="22"/>
      <c r="U673" t="s">
        <v>20</v>
      </c>
      <c r="AG673" s="1440" t="s">
        <v>669</v>
      </c>
      <c r="AH673" s="1440"/>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95" t="e">
        <f t="shared" si="4"/>
        <v>#VALUE!</v>
      </c>
      <c r="DY673" s="1395"/>
      <c r="DZ673" s="1395"/>
      <c r="EA673" s="1395"/>
      <c r="EB673" s="1395"/>
      <c r="EC673" s="1395" t="e">
        <f t="shared" si="5"/>
        <v>#VALUE!</v>
      </c>
      <c r="ED673" s="1395"/>
      <c r="EE673" s="1395"/>
      <c r="EF673" s="1395"/>
      <c r="EG673" s="1395"/>
      <c r="EH673" s="1395" t="e">
        <f t="shared" si="6"/>
        <v>#VALUE!</v>
      </c>
      <c r="EI673" s="1395"/>
      <c r="EJ673" s="1395"/>
      <c r="EK673" s="1395"/>
      <c r="EL673" s="1395"/>
      <c r="EM673" s="1395" t="e">
        <f t="shared" si="7"/>
        <v>#VALUE!</v>
      </c>
      <c r="EN673" s="1395"/>
      <c r="EO673" s="1395"/>
      <c r="EP673" s="1395"/>
      <c r="EQ673" s="1395"/>
      <c r="ER673" s="1395" t="e">
        <f t="shared" si="8"/>
        <v>#VALUE!</v>
      </c>
      <c r="ES673" s="1395"/>
      <c r="ET673" s="1395"/>
      <c r="EU673" s="1395"/>
      <c r="EV673" s="1395"/>
      <c r="EW673" s="1395" t="e">
        <f t="shared" si="9"/>
        <v>#VALUE!</v>
      </c>
      <c r="EX673" s="1395"/>
      <c r="EY673" s="1395"/>
      <c r="EZ673" s="1395"/>
      <c r="FA673" s="1395"/>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95" t="e">
        <f t="shared" si="4"/>
        <v>#VALUE!</v>
      </c>
      <c r="DY674" s="1395"/>
      <c r="DZ674" s="1395"/>
      <c r="EA674" s="1395"/>
      <c r="EB674" s="1395"/>
      <c r="EC674" s="1395" t="e">
        <f t="shared" si="5"/>
        <v>#VALUE!</v>
      </c>
      <c r="ED674" s="1395"/>
      <c r="EE674" s="1395"/>
      <c r="EF674" s="1395"/>
      <c r="EG674" s="1395"/>
      <c r="EH674" s="1395" t="e">
        <f t="shared" si="6"/>
        <v>#VALUE!</v>
      </c>
      <c r="EI674" s="1395"/>
      <c r="EJ674" s="1395"/>
      <c r="EK674" s="1395"/>
      <c r="EL674" s="1395"/>
      <c r="EM674" s="1395" t="e">
        <f t="shared" si="7"/>
        <v>#VALUE!</v>
      </c>
      <c r="EN674" s="1395"/>
      <c r="EO674" s="1395"/>
      <c r="EP674" s="1395"/>
      <c r="EQ674" s="1395"/>
      <c r="ER674" s="1395" t="e">
        <f t="shared" si="8"/>
        <v>#VALUE!</v>
      </c>
      <c r="ES674" s="1395"/>
      <c r="ET674" s="1395"/>
      <c r="EU674" s="1395"/>
      <c r="EV674" s="1395"/>
      <c r="EW674" s="1395" t="e">
        <f t="shared" si="9"/>
        <v>#VALUE!</v>
      </c>
      <c r="EX674" s="1395"/>
      <c r="EY674" s="1395"/>
      <c r="EZ674" s="1395"/>
      <c r="FA674" s="1395"/>
    </row>
    <row r="675" spans="1:157" ht="12.95" customHeight="1">
      <c r="A675" s="55" t="s">
        <v>455</v>
      </c>
      <c r="B675" t="s">
        <v>463</v>
      </c>
      <c r="G675" s="1518">
        <f>C641</f>
        <v>0</v>
      </c>
      <c r="H675" s="1518"/>
      <c r="I675" s="1518"/>
      <c r="J675" s="1518"/>
      <c r="K675" s="1518"/>
      <c r="L675" s="1518"/>
      <c r="M675" s="1518"/>
      <c r="N675" s="1518"/>
      <c r="O675" s="1518"/>
      <c r="P675" s="1518"/>
      <c r="Q675" s="1518"/>
      <c r="R675" s="1518"/>
      <c r="T675" s="55" t="s">
        <v>456</v>
      </c>
      <c r="U675" t="s">
        <v>463</v>
      </c>
      <c r="Z675" s="1518">
        <f>C642</f>
        <v>0</v>
      </c>
      <c r="AA675" s="1518"/>
      <c r="AB675" s="1518"/>
      <c r="AC675" s="1518"/>
      <c r="AD675" s="1518"/>
      <c r="AE675" s="1518"/>
      <c r="AF675" s="1518"/>
      <c r="AG675" s="1518"/>
      <c r="AH675" s="1518"/>
      <c r="AI675" s="1518"/>
      <c r="AJ675" s="1518"/>
      <c r="AK675" s="1518"/>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95" t="e">
        <f t="shared" si="4"/>
        <v>#VALUE!</v>
      </c>
      <c r="DY675" s="1395"/>
      <c r="DZ675" s="1395"/>
      <c r="EA675" s="1395"/>
      <c r="EB675" s="1395"/>
      <c r="EC675" s="1395" t="e">
        <f t="shared" si="5"/>
        <v>#VALUE!</v>
      </c>
      <c r="ED675" s="1395"/>
      <c r="EE675" s="1395"/>
      <c r="EF675" s="1395"/>
      <c r="EG675" s="1395"/>
      <c r="EH675" s="1395" t="e">
        <f t="shared" si="6"/>
        <v>#VALUE!</v>
      </c>
      <c r="EI675" s="1395"/>
      <c r="EJ675" s="1395"/>
      <c r="EK675" s="1395"/>
      <c r="EL675" s="1395"/>
      <c r="EM675" s="1395" t="e">
        <f t="shared" si="7"/>
        <v>#VALUE!</v>
      </c>
      <c r="EN675" s="1395"/>
      <c r="EO675" s="1395"/>
      <c r="EP675" s="1395"/>
      <c r="EQ675" s="1395"/>
      <c r="ER675" s="1395" t="e">
        <f t="shared" si="8"/>
        <v>#VALUE!</v>
      </c>
      <c r="ES675" s="1395"/>
      <c r="ET675" s="1395"/>
      <c r="EU675" s="1395"/>
      <c r="EV675" s="1395"/>
      <c r="EW675" s="1395" t="e">
        <f t="shared" si="9"/>
        <v>#VALUE!</v>
      </c>
      <c r="EX675" s="1395"/>
      <c r="EY675" s="1395"/>
      <c r="EZ675" s="1395"/>
      <c r="FA675" s="1395"/>
    </row>
    <row r="676" spans="1:157" ht="12.95" customHeight="1">
      <c r="A676" s="22"/>
      <c r="B676" t="s">
        <v>85</v>
      </c>
      <c r="G676" s="1484"/>
      <c r="H676" s="1484"/>
      <c r="I676" s="1484"/>
      <c r="J676" s="1484"/>
      <c r="K676" s="1484"/>
      <c r="L676" s="1484"/>
      <c r="M676" s="1484"/>
      <c r="N676" s="1484"/>
      <c r="O676" s="1484"/>
      <c r="P676" s="1484"/>
      <c r="Q676" s="1484"/>
      <c r="R676" s="1484"/>
      <c r="T676" s="22"/>
      <c r="U676" t="s">
        <v>85</v>
      </c>
      <c r="Z676" s="1484"/>
      <c r="AA676" s="1484"/>
      <c r="AB676" s="1484"/>
      <c r="AC676" s="1484"/>
      <c r="AD676" s="1484"/>
      <c r="AE676" s="1484"/>
      <c r="AF676" s="1484"/>
      <c r="AG676" s="1484"/>
      <c r="AH676" s="1484"/>
      <c r="AI676" s="1484"/>
      <c r="AJ676" s="1484"/>
      <c r="AK676" s="1484"/>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95" t="e">
        <f t="shared" si="4"/>
        <v>#VALUE!</v>
      </c>
      <c r="DY676" s="1395"/>
      <c r="DZ676" s="1395"/>
      <c r="EA676" s="1395"/>
      <c r="EB676" s="1395"/>
      <c r="EC676" s="1395" t="e">
        <f t="shared" si="5"/>
        <v>#VALUE!</v>
      </c>
      <c r="ED676" s="1395"/>
      <c r="EE676" s="1395"/>
      <c r="EF676" s="1395"/>
      <c r="EG676" s="1395"/>
      <c r="EH676" s="1395" t="e">
        <f t="shared" si="6"/>
        <v>#VALUE!</v>
      </c>
      <c r="EI676" s="1395"/>
      <c r="EJ676" s="1395"/>
      <c r="EK676" s="1395"/>
      <c r="EL676" s="1395"/>
      <c r="EM676" s="1395" t="e">
        <f t="shared" si="7"/>
        <v>#VALUE!</v>
      </c>
      <c r="EN676" s="1395"/>
      <c r="EO676" s="1395"/>
      <c r="EP676" s="1395"/>
      <c r="EQ676" s="1395"/>
      <c r="ER676" s="1395" t="e">
        <f t="shared" si="8"/>
        <v>#VALUE!</v>
      </c>
      <c r="ES676" s="1395"/>
      <c r="ET676" s="1395"/>
      <c r="EU676" s="1395"/>
      <c r="EV676" s="1395"/>
      <c r="EW676" s="1395" t="e">
        <f t="shared" si="9"/>
        <v>#VALUE!</v>
      </c>
      <c r="EX676" s="1395"/>
      <c r="EY676" s="1395"/>
      <c r="EZ676" s="1395"/>
      <c r="FA676" s="1395"/>
    </row>
    <row r="677" spans="1:157" ht="12.95" customHeight="1">
      <c r="A677" s="22"/>
      <c r="B677" t="s">
        <v>580</v>
      </c>
      <c r="G677" s="1484"/>
      <c r="H677" s="1484"/>
      <c r="I677" s="1484"/>
      <c r="J677" s="1484"/>
      <c r="K677" s="1484"/>
      <c r="L677" s="1484"/>
      <c r="M677" s="1484"/>
      <c r="N677" s="1484"/>
      <c r="O677" s="1484"/>
      <c r="P677" s="1484"/>
      <c r="Q677" s="1484"/>
      <c r="R677" s="1484"/>
      <c r="T677" s="22"/>
      <c r="U677" t="s">
        <v>580</v>
      </c>
      <c r="Z677" s="1346"/>
      <c r="AA677" s="1346"/>
      <c r="AB677" s="1346"/>
      <c r="AC677" s="1346"/>
      <c r="AD677" s="1346"/>
      <c r="AE677" s="1346"/>
      <c r="AF677" s="1346"/>
      <c r="AG677" s="1346"/>
      <c r="AH677" s="1346"/>
      <c r="AI677" s="1346"/>
      <c r="AJ677" s="1346"/>
      <c r="AK677" s="1346"/>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95" t="e">
        <f t="shared" si="4"/>
        <v>#VALUE!</v>
      </c>
      <c r="DY677" s="1395"/>
      <c r="DZ677" s="1395"/>
      <c r="EA677" s="1395"/>
      <c r="EB677" s="1395"/>
      <c r="EC677" s="1395" t="e">
        <f t="shared" si="5"/>
        <v>#VALUE!</v>
      </c>
      <c r="ED677" s="1395"/>
      <c r="EE677" s="1395"/>
      <c r="EF677" s="1395"/>
      <c r="EG677" s="1395"/>
      <c r="EH677" s="1395" t="e">
        <f t="shared" si="6"/>
        <v>#VALUE!</v>
      </c>
      <c r="EI677" s="1395"/>
      <c r="EJ677" s="1395"/>
      <c r="EK677" s="1395"/>
      <c r="EL677" s="1395"/>
      <c r="EM677" s="1395" t="e">
        <f t="shared" si="7"/>
        <v>#VALUE!</v>
      </c>
      <c r="EN677" s="1395"/>
      <c r="EO677" s="1395"/>
      <c r="EP677" s="1395"/>
      <c r="EQ677" s="1395"/>
      <c r="ER677" s="1395" t="e">
        <f t="shared" si="8"/>
        <v>#VALUE!</v>
      </c>
      <c r="ES677" s="1395"/>
      <c r="ET677" s="1395"/>
      <c r="EU677" s="1395"/>
      <c r="EV677" s="1395"/>
      <c r="EW677" s="1395" t="e">
        <f t="shared" si="9"/>
        <v>#VALUE!</v>
      </c>
      <c r="EX677" s="1395"/>
      <c r="EY677" s="1395"/>
      <c r="EZ677" s="1395"/>
      <c r="FA677" s="1395"/>
    </row>
    <row r="678" spans="1:157" ht="12.95" customHeight="1">
      <c r="A678" s="22"/>
      <c r="B678" t="s">
        <v>17</v>
      </c>
      <c r="G678" s="1484"/>
      <c r="H678" s="1484"/>
      <c r="I678" s="1484"/>
      <c r="J678" s="1484"/>
      <c r="K678" s="1484"/>
      <c r="L678" s="1484"/>
      <c r="M678" s="1484"/>
      <c r="N678" s="1484"/>
      <c r="O678" s="1484"/>
      <c r="P678" s="1484"/>
      <c r="Q678" s="1484"/>
      <c r="R678" s="1484"/>
      <c r="T678" s="22"/>
      <c r="U678" t="s">
        <v>17</v>
      </c>
      <c r="Z678" s="1346"/>
      <c r="AA678" s="1346"/>
      <c r="AB678" s="1346"/>
      <c r="AC678" s="1346"/>
      <c r="AD678" s="1346"/>
      <c r="AE678" s="1346"/>
      <c r="AF678" s="1346"/>
      <c r="AG678" s="1346"/>
      <c r="AH678" s="1346"/>
      <c r="AI678" s="1346"/>
      <c r="AJ678" s="1346"/>
      <c r="AK678" s="1346"/>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95">
        <f>SUMIF(DX643:EB677,"&gt;0")</f>
        <v>0</v>
      </c>
      <c r="DY678" s="1395"/>
      <c r="DZ678" s="1395"/>
      <c r="EA678" s="1395"/>
      <c r="EB678" s="1395"/>
      <c r="EC678" s="1395">
        <f>SUMIF(EC643:EG677,"&gt;0")</f>
        <v>0</v>
      </c>
      <c r="ED678" s="1395"/>
      <c r="EE678" s="1395"/>
      <c r="EF678" s="1395"/>
      <c r="EG678" s="1395"/>
      <c r="EH678" s="1395">
        <f>SUMIF(EH643:EL677,"&gt;0")</f>
        <v>1049.6969696969695</v>
      </c>
      <c r="EI678" s="1395"/>
      <c r="EJ678" s="1395"/>
      <c r="EK678" s="1395"/>
      <c r="EL678" s="1395"/>
      <c r="EM678" s="1395">
        <f>SUMIF(EM643:EQ677,"&gt;0")</f>
        <v>1235.4545454545455</v>
      </c>
      <c r="EN678" s="1395"/>
      <c r="EO678" s="1395"/>
      <c r="EP678" s="1395"/>
      <c r="EQ678" s="1395"/>
      <c r="ER678" s="1395">
        <f>SUMIF(ER643:EV677,"&gt;0")</f>
        <v>0</v>
      </c>
      <c r="ES678" s="1395"/>
      <c r="ET678" s="1395"/>
      <c r="EU678" s="1395"/>
      <c r="EV678" s="1395"/>
      <c r="EW678" s="1395">
        <f>SUMIF(EW643:FA677,"&gt;0")</f>
        <v>0</v>
      </c>
      <c r="EX678" s="1395"/>
      <c r="EY678" s="1395"/>
      <c r="EZ678" s="1395"/>
      <c r="FA678" s="1395"/>
    </row>
    <row r="679" spans="1:157" ht="12.95" customHeight="1">
      <c r="A679" s="22"/>
      <c r="B679" t="s">
        <v>316</v>
      </c>
      <c r="G679" s="1535"/>
      <c r="H679" s="1535"/>
      <c r="I679" s="1535"/>
      <c r="J679" s="1535"/>
      <c r="K679" s="1535"/>
      <c r="L679" s="1535"/>
      <c r="O679" s="33" t="s">
        <v>206</v>
      </c>
      <c r="P679" s="1474"/>
      <c r="Q679" s="1474"/>
      <c r="R679" s="1474"/>
      <c r="T679" s="22"/>
      <c r="U679" t="s">
        <v>316</v>
      </c>
      <c r="Z679" s="1535"/>
      <c r="AA679" s="1535"/>
      <c r="AB679" s="1535"/>
      <c r="AC679" s="1535"/>
      <c r="AD679" s="1535"/>
      <c r="AE679" s="1535"/>
      <c r="AH679" s="33" t="s">
        <v>206</v>
      </c>
      <c r="AI679" s="1474"/>
      <c r="AJ679" s="1474"/>
      <c r="AK679" s="1474"/>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484"/>
      <c r="I680" s="1484"/>
      <c r="J680" s="1484"/>
      <c r="K680" s="1484"/>
      <c r="L680" s="1484"/>
      <c r="M680" s="1484"/>
      <c r="N680" s="1484"/>
      <c r="O680" s="1484"/>
      <c r="P680" s="1484"/>
      <c r="Q680" s="1484"/>
      <c r="R680" s="1484"/>
      <c r="T680" s="22"/>
      <c r="U680" t="s">
        <v>18</v>
      </c>
      <c r="AA680" s="1484"/>
      <c r="AB680" s="1484"/>
      <c r="AC680" s="1484"/>
      <c r="AD680" s="1484"/>
      <c r="AE680" s="1484"/>
      <c r="AF680" s="1484"/>
      <c r="AG680" s="1484"/>
      <c r="AH680" s="1484"/>
      <c r="AI680" s="1484"/>
      <c r="AJ680" s="1484"/>
      <c r="AK680" s="1484"/>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440" t="s">
        <v>669</v>
      </c>
      <c r="O681" s="1440"/>
      <c r="T681" s="22"/>
      <c r="U681" t="s">
        <v>20</v>
      </c>
      <c r="AG681" s="1440" t="s">
        <v>669</v>
      </c>
      <c r="AH681" s="1440"/>
      <c r="AZ681" s="3"/>
    </row>
    <row r="682" spans="1:157" ht="12.95" customHeight="1">
      <c r="A682" s="22"/>
      <c r="T682" s="22"/>
      <c r="AZ682" s="3"/>
    </row>
    <row r="683" spans="1:157" ht="12.95" customHeight="1">
      <c r="A683" s="55" t="s">
        <v>461</v>
      </c>
      <c r="B683" t="s">
        <v>463</v>
      </c>
      <c r="G683" s="1518">
        <f>C643</f>
        <v>0</v>
      </c>
      <c r="H683" s="1518"/>
      <c r="I683" s="1518"/>
      <c r="J683" s="1518"/>
      <c r="K683" s="1518"/>
      <c r="L683" s="1518"/>
      <c r="M683" s="1518"/>
      <c r="N683" s="1518"/>
      <c r="O683" s="1518"/>
      <c r="P683" s="1518"/>
      <c r="Q683" s="1518"/>
      <c r="R683" s="1518"/>
      <c r="T683" s="55" t="s">
        <v>646</v>
      </c>
      <c r="U683" t="s">
        <v>463</v>
      </c>
      <c r="Z683" s="1518">
        <f>C644</f>
        <v>0</v>
      </c>
      <c r="AA683" s="1518"/>
      <c r="AB683" s="1518"/>
      <c r="AC683" s="1518"/>
      <c r="AD683" s="1518"/>
      <c r="AE683" s="1518"/>
      <c r="AF683" s="1518"/>
      <c r="AG683" s="1518"/>
      <c r="AH683" s="1518"/>
      <c r="AI683" s="1518"/>
      <c r="AJ683" s="1518"/>
      <c r="AK683" s="1518"/>
      <c r="AZ683" s="3"/>
    </row>
    <row r="684" spans="1:157" ht="12.95" customHeight="1">
      <c r="A684" s="22"/>
      <c r="B684" t="s">
        <v>85</v>
      </c>
      <c r="G684" s="1484"/>
      <c r="H684" s="1484"/>
      <c r="I684" s="1484"/>
      <c r="J684" s="1484"/>
      <c r="K684" s="1484"/>
      <c r="L684" s="1484"/>
      <c r="M684" s="1484"/>
      <c r="N684" s="1484"/>
      <c r="O684" s="1484"/>
      <c r="P684" s="1484"/>
      <c r="Q684" s="1484"/>
      <c r="R684" s="1484"/>
      <c r="T684" s="22"/>
      <c r="U684" t="s">
        <v>85</v>
      </c>
      <c r="Z684" s="1484"/>
      <c r="AA684" s="1484"/>
      <c r="AB684" s="1484"/>
      <c r="AC684" s="1484"/>
      <c r="AD684" s="1484"/>
      <c r="AE684" s="1484"/>
      <c r="AF684" s="1484"/>
      <c r="AG684" s="1484"/>
      <c r="AH684" s="1484"/>
      <c r="AI684" s="1484"/>
      <c r="AJ684" s="1484"/>
      <c r="AK684" s="1484"/>
      <c r="AZ684" s="3"/>
    </row>
    <row r="685" spans="1:157" ht="12.95" customHeight="1">
      <c r="A685" s="22"/>
      <c r="B685" t="s">
        <v>580</v>
      </c>
      <c r="G685" s="1484"/>
      <c r="H685" s="1484"/>
      <c r="I685" s="1484"/>
      <c r="J685" s="1484"/>
      <c r="K685" s="1484"/>
      <c r="L685" s="1484"/>
      <c r="M685" s="1484"/>
      <c r="N685" s="1484"/>
      <c r="O685" s="1484"/>
      <c r="P685" s="1484"/>
      <c r="Q685" s="1484"/>
      <c r="R685" s="1484"/>
      <c r="T685" s="22"/>
      <c r="U685" t="s">
        <v>580</v>
      </c>
      <c r="Z685" s="1346"/>
      <c r="AA685" s="1346"/>
      <c r="AB685" s="1346"/>
      <c r="AC685" s="1346"/>
      <c r="AD685" s="1346"/>
      <c r="AE685" s="1346"/>
      <c r="AF685" s="1346"/>
      <c r="AG685" s="1346"/>
      <c r="AH685" s="1346"/>
      <c r="AI685" s="1346"/>
      <c r="AJ685" s="1346"/>
      <c r="AK685" s="1346"/>
      <c r="AZ685" s="3"/>
    </row>
    <row r="686" spans="1:157" ht="12.95" customHeight="1">
      <c r="A686" s="22"/>
      <c r="B686" t="s">
        <v>17</v>
      </c>
      <c r="G686" s="1484"/>
      <c r="H686" s="1484"/>
      <c r="I686" s="1484"/>
      <c r="J686" s="1484"/>
      <c r="K686" s="1484"/>
      <c r="L686" s="1484"/>
      <c r="M686" s="1484"/>
      <c r="N686" s="1484"/>
      <c r="O686" s="1484"/>
      <c r="P686" s="1484"/>
      <c r="Q686" s="1484"/>
      <c r="R686" s="1484"/>
      <c r="T686" s="22"/>
      <c r="U686" t="s">
        <v>17</v>
      </c>
      <c r="Z686" s="1346"/>
      <c r="AA686" s="1346"/>
      <c r="AB686" s="1346"/>
      <c r="AC686" s="1346"/>
      <c r="AD686" s="1346"/>
      <c r="AE686" s="1346"/>
      <c r="AF686" s="1346"/>
      <c r="AG686" s="1346"/>
      <c r="AH686" s="1346"/>
      <c r="AI686" s="1346"/>
      <c r="AJ686" s="1346"/>
      <c r="AK686" s="1346"/>
      <c r="AZ686" s="3"/>
    </row>
    <row r="687" spans="1:157" ht="12.95" customHeight="1">
      <c r="A687" s="22"/>
      <c r="B687" t="s">
        <v>316</v>
      </c>
      <c r="G687" s="1535"/>
      <c r="H687" s="1535"/>
      <c r="I687" s="1535"/>
      <c r="J687" s="1535"/>
      <c r="K687" s="1535"/>
      <c r="L687" s="1535"/>
      <c r="O687" s="33" t="s">
        <v>206</v>
      </c>
      <c r="P687" s="1474"/>
      <c r="Q687" s="1474"/>
      <c r="R687" s="1474"/>
      <c r="T687" s="22"/>
      <c r="U687" t="s">
        <v>316</v>
      </c>
      <c r="Z687" s="1535"/>
      <c r="AA687" s="1535"/>
      <c r="AB687" s="1535"/>
      <c r="AC687" s="1535"/>
      <c r="AD687" s="1535"/>
      <c r="AE687" s="1535"/>
      <c r="AH687" s="33" t="s">
        <v>206</v>
      </c>
      <c r="AI687" s="1474"/>
      <c r="AJ687" s="1474"/>
      <c r="AK687" s="1474"/>
      <c r="AZ687" s="3"/>
    </row>
    <row r="688" spans="1:157" ht="12.95" customHeight="1">
      <c r="A688" s="22"/>
      <c r="B688" t="s">
        <v>18</v>
      </c>
      <c r="H688" s="1484"/>
      <c r="I688" s="1484"/>
      <c r="J688" s="1484"/>
      <c r="K688" s="1484"/>
      <c r="L688" s="1484"/>
      <c r="M688" s="1484"/>
      <c r="N688" s="1484"/>
      <c r="O688" s="1484"/>
      <c r="P688" s="1484"/>
      <c r="Q688" s="1484"/>
      <c r="R688" s="1484"/>
      <c r="T688" s="22"/>
      <c r="U688" t="s">
        <v>18</v>
      </c>
      <c r="AA688" s="1484"/>
      <c r="AB688" s="1484"/>
      <c r="AC688" s="1484"/>
      <c r="AD688" s="1484"/>
      <c r="AE688" s="1484"/>
      <c r="AF688" s="1484"/>
      <c r="AG688" s="1484"/>
      <c r="AH688" s="1484"/>
      <c r="AI688" s="1484"/>
      <c r="AJ688" s="1484"/>
      <c r="AK688" s="1484"/>
      <c r="AZ688" s="3"/>
    </row>
    <row r="689" spans="1:52" ht="12.95" customHeight="1">
      <c r="A689" s="22"/>
      <c r="B689" t="s">
        <v>20</v>
      </c>
      <c r="N689" s="1440" t="s">
        <v>669</v>
      </c>
      <c r="O689" s="1440"/>
      <c r="T689" s="22"/>
      <c r="U689" t="s">
        <v>20</v>
      </c>
      <c r="AG689" s="1440" t="s">
        <v>669</v>
      </c>
      <c r="AH689" s="1440"/>
      <c r="AZ689" s="3"/>
    </row>
    <row r="690" spans="1:52" ht="12.95" customHeight="1">
      <c r="A690" s="22"/>
      <c r="T690" s="22"/>
      <c r="AZ690" s="3"/>
    </row>
    <row r="691" spans="1:52" ht="12.95" customHeight="1">
      <c r="A691" s="55" t="s">
        <v>362</v>
      </c>
      <c r="B691" t="s">
        <v>463</v>
      </c>
      <c r="G691" s="1518">
        <f>C645</f>
        <v>0</v>
      </c>
      <c r="H691" s="1518"/>
      <c r="I691" s="1518"/>
      <c r="J691" s="1518"/>
      <c r="K691" s="1518"/>
      <c r="L691" s="1518"/>
      <c r="M691" s="1518"/>
      <c r="N691" s="1518"/>
      <c r="O691" s="1518"/>
      <c r="P691" s="1518"/>
      <c r="Q691" s="1518"/>
      <c r="R691" s="1518"/>
      <c r="T691" s="55" t="s">
        <v>363</v>
      </c>
      <c r="U691" t="s">
        <v>463</v>
      </c>
      <c r="Z691" s="1518">
        <f>C646</f>
        <v>0</v>
      </c>
      <c r="AA691" s="1518"/>
      <c r="AB691" s="1518"/>
      <c r="AC691" s="1518"/>
      <c r="AD691" s="1518"/>
      <c r="AE691" s="1518"/>
      <c r="AF691" s="1518"/>
      <c r="AG691" s="1518"/>
      <c r="AH691" s="1518"/>
      <c r="AI691" s="1518"/>
      <c r="AJ691" s="1518"/>
      <c r="AK691" s="1518"/>
      <c r="AZ691" s="3"/>
    </row>
    <row r="692" spans="1:52" ht="12.95" customHeight="1">
      <c r="B692" t="s">
        <v>85</v>
      </c>
      <c r="G692" s="1484"/>
      <c r="H692" s="1484"/>
      <c r="I692" s="1484"/>
      <c r="J692" s="1484"/>
      <c r="K692" s="1484"/>
      <c r="L692" s="1484"/>
      <c r="M692" s="1484"/>
      <c r="N692" s="1484"/>
      <c r="O692" s="1484"/>
      <c r="P692" s="1484"/>
      <c r="Q692" s="1484"/>
      <c r="R692" s="1484"/>
      <c r="T692" s="22"/>
      <c r="U692" t="s">
        <v>85</v>
      </c>
      <c r="Z692" s="1484"/>
      <c r="AA692" s="1484"/>
      <c r="AB692" s="1484"/>
      <c r="AC692" s="1484"/>
      <c r="AD692" s="1484"/>
      <c r="AE692" s="1484"/>
      <c r="AF692" s="1484"/>
      <c r="AG692" s="1484"/>
      <c r="AH692" s="1484"/>
      <c r="AI692" s="1484"/>
      <c r="AJ692" s="1484"/>
      <c r="AK692" s="1484"/>
      <c r="AZ692" s="3"/>
    </row>
    <row r="693" spans="1:52" ht="12.95" customHeight="1">
      <c r="B693" t="s">
        <v>580</v>
      </c>
      <c r="G693" s="1484"/>
      <c r="H693" s="1484"/>
      <c r="I693" s="1484"/>
      <c r="J693" s="1484"/>
      <c r="K693" s="1484"/>
      <c r="L693" s="1484"/>
      <c r="M693" s="1484"/>
      <c r="N693" s="1484"/>
      <c r="O693" s="1484"/>
      <c r="P693" s="1484"/>
      <c r="Q693" s="1484"/>
      <c r="R693" s="1484"/>
      <c r="U693" t="s">
        <v>580</v>
      </c>
      <c r="Z693" s="1346"/>
      <c r="AA693" s="1346"/>
      <c r="AB693" s="1346"/>
      <c r="AC693" s="1346"/>
      <c r="AD693" s="1346"/>
      <c r="AE693" s="1346"/>
      <c r="AF693" s="1346"/>
      <c r="AG693" s="1346"/>
      <c r="AH693" s="1346"/>
      <c r="AI693" s="1346"/>
      <c r="AJ693" s="1346"/>
      <c r="AK693" s="1346"/>
      <c r="AZ693" s="3"/>
    </row>
    <row r="694" spans="1:52" ht="12.95" customHeight="1">
      <c r="B694" t="s">
        <v>17</v>
      </c>
      <c r="G694" s="1484"/>
      <c r="H694" s="1484"/>
      <c r="I694" s="1484"/>
      <c r="J694" s="1484"/>
      <c r="K694" s="1484"/>
      <c r="L694" s="1484"/>
      <c r="M694" s="1484"/>
      <c r="N694" s="1484"/>
      <c r="O694" s="1484"/>
      <c r="P694" s="1484"/>
      <c r="Q694" s="1484"/>
      <c r="R694" s="1484"/>
      <c r="U694" t="s">
        <v>17</v>
      </c>
      <c r="Z694" s="1346"/>
      <c r="AA694" s="1346"/>
      <c r="AB694" s="1346"/>
      <c r="AC694" s="1346"/>
      <c r="AD694" s="1346"/>
      <c r="AE694" s="1346"/>
      <c r="AF694" s="1346"/>
      <c r="AG694" s="1346"/>
      <c r="AH694" s="1346"/>
      <c r="AI694" s="1346"/>
      <c r="AJ694" s="1346"/>
      <c r="AK694" s="1346"/>
      <c r="AZ694" s="3"/>
    </row>
    <row r="695" spans="1:52" ht="12.95" customHeight="1">
      <c r="B695" t="s">
        <v>316</v>
      </c>
      <c r="G695" s="1535"/>
      <c r="H695" s="1535"/>
      <c r="I695" s="1535"/>
      <c r="J695" s="1535"/>
      <c r="K695" s="1535"/>
      <c r="L695" s="1535"/>
      <c r="O695" s="33" t="s">
        <v>206</v>
      </c>
      <c r="P695" s="1474"/>
      <c r="Q695" s="1474"/>
      <c r="R695" s="1474"/>
      <c r="U695" t="s">
        <v>316</v>
      </c>
      <c r="Z695" s="1535"/>
      <c r="AA695" s="1535"/>
      <c r="AB695" s="1535"/>
      <c r="AC695" s="1535"/>
      <c r="AD695" s="1535"/>
      <c r="AE695" s="1535"/>
      <c r="AH695" s="33" t="s">
        <v>206</v>
      </c>
      <c r="AI695" s="1474"/>
      <c r="AJ695" s="1474"/>
      <c r="AK695" s="1474"/>
      <c r="AZ695" s="3"/>
    </row>
    <row r="696" spans="1:52" ht="12.95" customHeight="1">
      <c r="B696" t="s">
        <v>18</v>
      </c>
      <c r="H696" s="1484"/>
      <c r="I696" s="1484"/>
      <c r="J696" s="1484"/>
      <c r="K696" s="1484"/>
      <c r="L696" s="1484"/>
      <c r="M696" s="1484"/>
      <c r="N696" s="1484"/>
      <c r="O696" s="1484"/>
      <c r="P696" s="1484"/>
      <c r="Q696" s="1484"/>
      <c r="R696" s="1484"/>
      <c r="U696" t="s">
        <v>18</v>
      </c>
      <c r="AA696" s="1484"/>
      <c r="AB696" s="1484"/>
      <c r="AC696" s="1484"/>
      <c r="AD696" s="1484"/>
      <c r="AE696" s="1484"/>
      <c r="AF696" s="1484"/>
      <c r="AG696" s="1484"/>
      <c r="AH696" s="1484"/>
      <c r="AI696" s="1484"/>
      <c r="AJ696" s="1484"/>
      <c r="AK696" s="1484"/>
      <c r="AZ696" s="3"/>
    </row>
    <row r="697" spans="1:52" ht="12.95" customHeight="1">
      <c r="B697" t="s">
        <v>20</v>
      </c>
      <c r="N697" s="1440" t="s">
        <v>669</v>
      </c>
      <c r="O697" s="1440"/>
      <c r="U697" t="s">
        <v>20</v>
      </c>
      <c r="AG697" s="1440" t="s">
        <v>669</v>
      </c>
      <c r="AH697" s="1440"/>
      <c r="AZ697" s="3"/>
    </row>
    <row r="698" spans="1:52" ht="12.95" customHeight="1">
      <c r="AZ698" s="3"/>
    </row>
    <row r="699" spans="1:52" ht="12.95" customHeight="1">
      <c r="A699" s="2" t="s">
        <v>576</v>
      </c>
      <c r="C699" s="2" t="s">
        <v>327</v>
      </c>
      <c r="E699" s="130"/>
      <c r="F699" s="130"/>
      <c r="G699" s="130"/>
      <c r="H699" s="130"/>
      <c r="AZ699" s="3"/>
    </row>
    <row r="700" spans="1:52" ht="12.95" customHeight="1">
      <c r="B700" s="135"/>
      <c r="C700" s="135"/>
      <c r="D700" s="1030" t="s">
        <v>2613</v>
      </c>
      <c r="E700" s="135"/>
      <c r="F700" s="135"/>
      <c r="G700" s="135"/>
      <c r="H700" s="135"/>
      <c r="AZ700" s="3"/>
    </row>
    <row r="701" spans="1:52" ht="12.95" customHeight="1">
      <c r="B701" s="135"/>
      <c r="C701" s="135"/>
      <c r="E701" s="136" t="s">
        <v>434</v>
      </c>
      <c r="F701" s="135"/>
      <c r="G701" s="135"/>
      <c r="H701" s="135"/>
      <c r="AE701" s="1440" t="s">
        <v>545</v>
      </c>
      <c r="AF701" s="1440"/>
      <c r="AZ701" s="3"/>
    </row>
    <row r="702" spans="1:52" ht="12.95" customHeight="1">
      <c r="B702" s="135"/>
      <c r="C702" s="135"/>
      <c r="D702" s="136" t="s">
        <v>437</v>
      </c>
      <c r="E702" s="135"/>
      <c r="F702" s="135"/>
      <c r="G702" s="135"/>
      <c r="H702" s="135"/>
      <c r="AE702" s="1440" t="s">
        <v>669</v>
      </c>
      <c r="AF702" s="1440"/>
      <c r="AZ702" s="3"/>
    </row>
    <row r="703" spans="1:52" ht="12.95" customHeight="1">
      <c r="B703" s="135"/>
      <c r="C703" s="135"/>
      <c r="D703" s="136" t="s">
        <v>920</v>
      </c>
      <c r="E703" s="135"/>
      <c r="F703" s="135"/>
      <c r="G703" s="135"/>
      <c r="H703" s="135"/>
      <c r="AE703" s="1494">
        <v>46056</v>
      </c>
      <c r="AF703" s="1494"/>
      <c r="AG703" s="1494"/>
      <c r="AH703" s="1494"/>
      <c r="AI703" s="1494"/>
    </row>
    <row r="704" spans="1:52" ht="12.95" customHeight="1">
      <c r="B704" s="135"/>
      <c r="C704" s="135"/>
      <c r="D704" s="317" t="s">
        <v>983</v>
      </c>
      <c r="E704" s="135"/>
      <c r="F704" s="135"/>
      <c r="G704" s="135"/>
      <c r="H704" s="135"/>
      <c r="AE704" s="1702">
        <v>46154</v>
      </c>
      <c r="AF704" s="1702"/>
      <c r="AG704" s="1702"/>
      <c r="AH704" s="1702"/>
      <c r="AI704" s="1702"/>
    </row>
    <row r="705" spans="1:110" ht="12.95" customHeight="1">
      <c r="B705" s="135"/>
      <c r="C705" s="135"/>
    </row>
    <row r="706" spans="1:110" ht="12.95" customHeight="1">
      <c r="B706" s="135"/>
      <c r="C706" s="135"/>
      <c r="D706" s="136" t="s">
        <v>816</v>
      </c>
      <c r="E706" s="135"/>
      <c r="F706" s="135"/>
      <c r="G706" s="135"/>
      <c r="H706" s="135"/>
      <c r="AE706" s="1494">
        <v>46296</v>
      </c>
      <c r="AF706" s="1494"/>
      <c r="AG706" s="1494"/>
      <c r="AH706" s="1494"/>
      <c r="AI706" s="1494"/>
    </row>
    <row r="707" spans="1:110" ht="12.95" customHeight="1">
      <c r="B707" s="135"/>
      <c r="C707" s="135"/>
      <c r="D707" s="136" t="s">
        <v>435</v>
      </c>
      <c r="E707" s="135"/>
      <c r="F707" s="135"/>
      <c r="G707" s="135"/>
      <c r="H707" s="135"/>
      <c r="AE707" s="1495">
        <v>0.27500000000000002</v>
      </c>
      <c r="AF707" s="1495"/>
      <c r="AG707" s="1495"/>
      <c r="AH707" s="1495"/>
      <c r="AI707" s="1495"/>
    </row>
    <row r="708" spans="1:110" ht="12.95" customHeight="1">
      <c r="B708" s="135"/>
      <c r="C708" s="135"/>
      <c r="D708" s="136" t="s">
        <v>436</v>
      </c>
      <c r="E708" s="135"/>
      <c r="F708" s="135"/>
      <c r="G708" s="135"/>
      <c r="H708" s="135"/>
      <c r="W708" s="1518" t="str">
        <f>H344</f>
        <v xml:space="preserve">California Munifical Finance Authority </v>
      </c>
      <c r="X708" s="1518"/>
      <c r="Y708" s="1518"/>
      <c r="Z708" s="1518"/>
      <c r="AA708" s="1518"/>
      <c r="AB708" s="1518"/>
      <c r="AC708" s="1518"/>
      <c r="AD708" s="1518"/>
      <c r="AE708" s="1518"/>
      <c r="AF708" s="1518"/>
      <c r="AG708" s="1518"/>
      <c r="AH708" s="1518"/>
      <c r="AI708" s="1518"/>
      <c r="AJ708" s="1518"/>
      <c r="AK708" s="1518"/>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440" t="s">
        <v>669</v>
      </c>
      <c r="AF710" s="1440"/>
    </row>
    <row r="711" spans="1:110" ht="12.95" customHeight="1">
      <c r="B711" s="135"/>
      <c r="C711" s="135"/>
      <c r="D711" s="136" t="s">
        <v>442</v>
      </c>
      <c r="E711" s="135"/>
      <c r="F711" s="135"/>
      <c r="G711" s="135"/>
      <c r="H711" s="135"/>
      <c r="W711" s="1484" t="s">
        <v>591</v>
      </c>
      <c r="X711" s="1484"/>
      <c r="Y711" s="1484"/>
      <c r="Z711" s="1484"/>
      <c r="AA711" s="1484"/>
      <c r="AB711" s="1484"/>
      <c r="AC711" s="1484"/>
      <c r="AD711" s="1484"/>
      <c r="AE711" s="1484"/>
      <c r="AF711" s="1484"/>
      <c r="AG711" s="1484"/>
      <c r="AH711" s="1484"/>
      <c r="AI711" s="1484"/>
      <c r="AJ711" s="1484"/>
      <c r="AK711" s="1484"/>
    </row>
    <row r="712" spans="1:110" ht="12.95" customHeight="1">
      <c r="B712" s="135"/>
      <c r="C712" s="135"/>
      <c r="D712" s="136" t="s">
        <v>87</v>
      </c>
      <c r="E712" s="135"/>
      <c r="F712" s="135"/>
      <c r="G712" s="135"/>
      <c r="H712" s="135"/>
      <c r="J712" s="1484"/>
      <c r="K712" s="1484"/>
      <c r="L712" s="1484"/>
      <c r="M712" s="1484"/>
      <c r="N712" s="1484"/>
      <c r="O712" s="1484"/>
      <c r="P712" s="1484"/>
      <c r="Q712" s="1484"/>
      <c r="R712" s="1484"/>
      <c r="S712" s="1484"/>
      <c r="T712" s="1484"/>
      <c r="U712" s="1484"/>
      <c r="V712" s="1484"/>
      <c r="W712" s="1484"/>
      <c r="X712" s="1484"/>
      <c r="BB712" s="34"/>
      <c r="BC712" s="34"/>
      <c r="BD712" s="34"/>
      <c r="BE712" s="3"/>
      <c r="BF712" s="3"/>
      <c r="BJ712" s="3"/>
      <c r="BK712" s="3"/>
      <c r="BL712" s="3"/>
      <c r="BM712" s="3"/>
      <c r="BN712" s="34"/>
      <c r="BO712" s="34"/>
    </row>
    <row r="713" spans="1:110" ht="12.95" customHeight="1">
      <c r="B713" s="135"/>
      <c r="C713" s="135"/>
      <c r="D713" s="136" t="s">
        <v>88</v>
      </c>
      <c r="J713" s="1535"/>
      <c r="K713" s="1535"/>
      <c r="L713" s="1535"/>
      <c r="M713" s="1535"/>
      <c r="N713" s="1535"/>
      <c r="O713" s="1535"/>
      <c r="P713" s="4" t="s">
        <v>206</v>
      </c>
      <c r="Q713" s="4"/>
      <c r="R713" s="1474"/>
      <c r="S713" s="1474"/>
      <c r="T713" s="1474"/>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443</v>
      </c>
      <c r="W714" s="1484" t="s">
        <v>307</v>
      </c>
      <c r="X714" s="1484"/>
      <c r="Y714" s="1484"/>
      <c r="Z714" s="1484"/>
      <c r="AA714" s="1484"/>
      <c r="AB714" s="1484"/>
      <c r="AC714" s="1484"/>
      <c r="AD714" s="1484"/>
      <c r="AE714" s="1484"/>
      <c r="AF714" s="1484"/>
      <c r="AG714" s="1484"/>
      <c r="AH714" s="1484"/>
      <c r="AI714" s="1484"/>
      <c r="AJ714" s="1484"/>
      <c r="AK714" s="1484"/>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84" t="s">
        <v>334</v>
      </c>
      <c r="F715" s="1484"/>
      <c r="G715" s="1484"/>
      <c r="H715" s="1484"/>
      <c r="I715" s="1484"/>
      <c r="J715" s="1484"/>
      <c r="K715" s="1484"/>
      <c r="L715" s="1484"/>
      <c r="M715" s="1484"/>
      <c r="N715" s="1484"/>
      <c r="O715" s="1484"/>
      <c r="P715" s="1484"/>
      <c r="Q715" s="1484"/>
      <c r="R715" s="1484"/>
      <c r="S715" s="1484"/>
      <c r="T715" s="1484"/>
      <c r="U715" s="1484"/>
      <c r="V715" s="1484"/>
      <c r="W715" s="1484"/>
      <c r="X715" s="1484"/>
      <c r="Y715" s="1484"/>
      <c r="Z715" s="1484"/>
      <c r="AA715" s="1484"/>
      <c r="AB715" s="1484"/>
      <c r="AC715" s="1484"/>
      <c r="AD715" s="1484"/>
      <c r="AE715" s="1484"/>
      <c r="AF715" s="1484"/>
      <c r="AG715" s="1484"/>
      <c r="AH715" s="1484"/>
      <c r="AI715" s="1484"/>
      <c r="AJ715" s="1484"/>
      <c r="AK715" s="1484"/>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78" t="s">
        <v>95</v>
      </c>
      <c r="B717" s="1278"/>
      <c r="C717" s="1278"/>
      <c r="D717" s="1278"/>
      <c r="E717" s="1278"/>
      <c r="F717" s="1278"/>
      <c r="G717" s="1278"/>
      <c r="H717" s="1278"/>
      <c r="I717" s="1278"/>
      <c r="J717" s="1278"/>
      <c r="K717" s="1278"/>
      <c r="L717" s="1278"/>
      <c r="M717" s="1278"/>
      <c r="N717" s="1278"/>
      <c r="O717" s="1278"/>
      <c r="P717" s="1278"/>
      <c r="Q717" s="1278"/>
      <c r="R717" s="1278"/>
      <c r="S717" s="1278"/>
      <c r="T717" s="1278"/>
      <c r="U717" s="1278"/>
      <c r="V717" s="1278"/>
      <c r="W717" s="1278"/>
      <c r="X717" s="1278"/>
      <c r="Y717" s="1278"/>
      <c r="Z717" s="1278"/>
      <c r="AA717" s="1278"/>
      <c r="AB717" s="1278"/>
      <c r="AC717" s="1278"/>
      <c r="AD717" s="1278"/>
      <c r="AE717" s="1278"/>
      <c r="AF717" s="1278"/>
      <c r="AG717" s="1278"/>
      <c r="AH717" s="1278"/>
      <c r="AI717" s="1278"/>
      <c r="AJ717" s="1278"/>
      <c r="AK717" s="1278"/>
      <c r="AL717" s="1278"/>
      <c r="AM717" s="1278"/>
      <c r="AN717" s="1278"/>
      <c r="AO717" s="1278"/>
      <c r="AP717" s="1278"/>
      <c r="AQ717" s="1278"/>
      <c r="AR717" s="1278"/>
      <c r="AS717" s="1278"/>
      <c r="AT717" s="1278"/>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78"/>
      <c r="B718" s="1278"/>
      <c r="C718" s="1278"/>
      <c r="D718" s="1278"/>
      <c r="E718" s="1278"/>
      <c r="F718" s="1278"/>
      <c r="G718" s="1278"/>
      <c r="H718" s="1278"/>
      <c r="I718" s="1278"/>
      <c r="J718" s="1278"/>
      <c r="K718" s="1278"/>
      <c r="L718" s="1278"/>
      <c r="M718" s="1278"/>
      <c r="N718" s="1278"/>
      <c r="O718" s="1278"/>
      <c r="P718" s="1278"/>
      <c r="Q718" s="1278"/>
      <c r="R718" s="1278"/>
      <c r="S718" s="1278"/>
      <c r="T718" s="1278"/>
      <c r="U718" s="1278"/>
      <c r="V718" s="1278"/>
      <c r="W718" s="1278"/>
      <c r="X718" s="1278"/>
      <c r="Y718" s="1278"/>
      <c r="Z718" s="1278"/>
      <c r="AA718" s="1278"/>
      <c r="AB718" s="1278"/>
      <c r="AC718" s="1278"/>
      <c r="AD718" s="1278"/>
      <c r="AE718" s="1278"/>
      <c r="AF718" s="1278"/>
      <c r="AG718" s="1278"/>
      <c r="AH718" s="1278"/>
      <c r="AI718" s="1278"/>
      <c r="AJ718" s="1278"/>
      <c r="AK718" s="1278"/>
      <c r="AL718" s="1278"/>
      <c r="AM718" s="1278"/>
      <c r="AN718" s="1278"/>
      <c r="AO718" s="1278"/>
      <c r="AP718" s="1278"/>
      <c r="AQ718" s="1278"/>
      <c r="AR718" s="1278"/>
      <c r="AS718" s="1278"/>
      <c r="AT718" s="1278"/>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78"/>
      <c r="B719" s="1278"/>
      <c r="C719" s="1278"/>
      <c r="D719" s="1278"/>
      <c r="E719" s="1278"/>
      <c r="F719" s="1278"/>
      <c r="G719" s="1278"/>
      <c r="H719" s="1278"/>
      <c r="I719" s="1278"/>
      <c r="J719" s="1278"/>
      <c r="K719" s="1278"/>
      <c r="L719" s="1278"/>
      <c r="M719" s="1278"/>
      <c r="N719" s="1278"/>
      <c r="O719" s="1278"/>
      <c r="P719" s="1278"/>
      <c r="Q719" s="1278"/>
      <c r="R719" s="1278"/>
      <c r="S719" s="1278"/>
      <c r="T719" s="1278"/>
      <c r="U719" s="1278"/>
      <c r="V719" s="1278"/>
      <c r="W719" s="1278"/>
      <c r="X719" s="1278"/>
      <c r="Y719" s="1278"/>
      <c r="Z719" s="1278"/>
      <c r="AA719" s="1278"/>
      <c r="AB719" s="1278"/>
      <c r="AC719" s="1278"/>
      <c r="AD719" s="1278"/>
      <c r="AE719" s="1278"/>
      <c r="AF719" s="1278"/>
      <c r="AG719" s="1278"/>
      <c r="AH719" s="1278"/>
      <c r="AI719" s="1278"/>
      <c r="AJ719" s="1278"/>
      <c r="AK719" s="1278"/>
      <c r="AL719" s="1278"/>
      <c r="AM719" s="1278"/>
      <c r="AN719" s="1278"/>
      <c r="AO719" s="1278"/>
      <c r="AP719" s="1278"/>
      <c r="AQ719" s="1278"/>
      <c r="AR719" s="1278"/>
      <c r="AS719" s="1278"/>
      <c r="AT719" s="1278"/>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614" t="s">
        <v>389</v>
      </c>
      <c r="C722" s="1498"/>
      <c r="D722" s="1498"/>
      <c r="E722" s="1498"/>
      <c r="F722" s="1499"/>
      <c r="G722" s="1614" t="s">
        <v>285</v>
      </c>
      <c r="H722" s="1498"/>
      <c r="I722" s="1498"/>
      <c r="J722" s="1499"/>
      <c r="K722" s="1512" t="s">
        <v>1668</v>
      </c>
      <c r="L722" s="1513"/>
      <c r="M722" s="1513"/>
      <c r="N722" s="1514"/>
      <c r="O722" s="1614" t="s">
        <v>447</v>
      </c>
      <c r="P722" s="1498"/>
      <c r="Q722" s="1498"/>
      <c r="R722" s="1498"/>
      <c r="S722" s="1499"/>
      <c r="T722" s="1497" t="s">
        <v>1923</v>
      </c>
      <c r="U722" s="1498"/>
      <c r="V722" s="1498"/>
      <c r="W722" s="1499"/>
      <c r="X722" s="1497" t="s">
        <v>1925</v>
      </c>
      <c r="Y722" s="1498"/>
      <c r="Z722" s="1498"/>
      <c r="AA722" s="1498"/>
      <c r="AB722" s="1499"/>
      <c r="AC722" s="1497" t="s">
        <v>1924</v>
      </c>
      <c r="AD722" s="1498"/>
      <c r="AE722" s="1498"/>
      <c r="AF722" s="1498"/>
      <c r="AG722" s="1499"/>
      <c r="AH722" s="1497" t="s">
        <v>1926</v>
      </c>
      <c r="AI722" s="1498"/>
      <c r="AJ722" s="1499"/>
      <c r="AK722" s="1497" t="s">
        <v>1953</v>
      </c>
      <c r="AL722" s="1498"/>
      <c r="AM722" s="1498"/>
      <c r="AN722" s="1498"/>
      <c r="AO722" s="1499"/>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500"/>
      <c r="C723" s="1501"/>
      <c r="D723" s="1501"/>
      <c r="E723" s="1501"/>
      <c r="F723" s="1502"/>
      <c r="G723" s="1500"/>
      <c r="H723" s="1501"/>
      <c r="I723" s="1501"/>
      <c r="J723" s="1502"/>
      <c r="K723" s="1515"/>
      <c r="L723" s="1516"/>
      <c r="M723" s="1516"/>
      <c r="N723" s="1517"/>
      <c r="O723" s="1500"/>
      <c r="P723" s="1501"/>
      <c r="Q723" s="1501"/>
      <c r="R723" s="1501"/>
      <c r="S723" s="1502"/>
      <c r="T723" s="1500"/>
      <c r="U723" s="1501"/>
      <c r="V723" s="1501"/>
      <c r="W723" s="1502"/>
      <c r="X723" s="1500"/>
      <c r="Y723" s="1501"/>
      <c r="Z723" s="1501"/>
      <c r="AA723" s="1501"/>
      <c r="AB723" s="1502"/>
      <c r="AC723" s="1500"/>
      <c r="AD723" s="1501"/>
      <c r="AE723" s="1501"/>
      <c r="AF723" s="1501"/>
      <c r="AG723" s="1502"/>
      <c r="AH723" s="1500"/>
      <c r="AI723" s="1501"/>
      <c r="AJ723" s="1502"/>
      <c r="AK723" s="1500"/>
      <c r="AL723" s="1501"/>
      <c r="AM723" s="1501"/>
      <c r="AN723" s="1501"/>
      <c r="AO723" s="1502"/>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500"/>
      <c r="C724" s="1501"/>
      <c r="D724" s="1501"/>
      <c r="E724" s="1501"/>
      <c r="F724" s="1502"/>
      <c r="G724" s="1500"/>
      <c r="H724" s="1501"/>
      <c r="I724" s="1501"/>
      <c r="J724" s="1502"/>
      <c r="K724" s="1515"/>
      <c r="L724" s="1516"/>
      <c r="M724" s="1516"/>
      <c r="N724" s="1517"/>
      <c r="O724" s="1500"/>
      <c r="P724" s="1501"/>
      <c r="Q724" s="1501"/>
      <c r="R724" s="1501"/>
      <c r="S724" s="1502"/>
      <c r="T724" s="1500"/>
      <c r="U724" s="1501"/>
      <c r="V724" s="1501"/>
      <c r="W724" s="1502"/>
      <c r="X724" s="1500"/>
      <c r="Y724" s="1501"/>
      <c r="Z724" s="1501"/>
      <c r="AA724" s="1501"/>
      <c r="AB724" s="1502"/>
      <c r="AC724" s="1500"/>
      <c r="AD724" s="1501"/>
      <c r="AE724" s="1501"/>
      <c r="AF724" s="1501"/>
      <c r="AG724" s="1502"/>
      <c r="AH724" s="1500"/>
      <c r="AI724" s="1501"/>
      <c r="AJ724" s="1502"/>
      <c r="AK724" s="1500"/>
      <c r="AL724" s="1501"/>
      <c r="AM724" s="1501"/>
      <c r="AN724" s="1501"/>
      <c r="AO724" s="1502"/>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1820</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503"/>
      <c r="C725" s="1504"/>
      <c r="D725" s="1504"/>
      <c r="E725" s="1504"/>
      <c r="F725" s="1505"/>
      <c r="G725" s="1503"/>
      <c r="H725" s="1504"/>
      <c r="I725" s="1504"/>
      <c r="J725" s="1505"/>
      <c r="K725" s="1515"/>
      <c r="L725" s="1516"/>
      <c r="M725" s="1516"/>
      <c r="N725" s="1517"/>
      <c r="O725" s="1503"/>
      <c r="P725" s="1504"/>
      <c r="Q725" s="1504"/>
      <c r="R725" s="1504"/>
      <c r="S725" s="1505"/>
      <c r="T725" s="1503"/>
      <c r="U725" s="1504"/>
      <c r="V725" s="1504"/>
      <c r="W725" s="1505"/>
      <c r="X725" s="1503"/>
      <c r="Y725" s="1504"/>
      <c r="Z725" s="1504"/>
      <c r="AA725" s="1504"/>
      <c r="AB725" s="1505"/>
      <c r="AC725" s="1503"/>
      <c r="AD725" s="1504"/>
      <c r="AE725" s="1504"/>
      <c r="AF725" s="1504"/>
      <c r="AG725" s="1505"/>
      <c r="AH725" s="1503"/>
      <c r="AI725" s="1504"/>
      <c r="AJ725" s="1505"/>
      <c r="AK725" s="1503"/>
      <c r="AL725" s="1504"/>
      <c r="AM725" s="1504"/>
      <c r="AN725" s="1504"/>
      <c r="AO725" s="1505"/>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352"/>
      <c r="CJ725" s="1353"/>
      <c r="CK725" s="121" t="s">
        <v>475</v>
      </c>
      <c r="CL725" s="122"/>
      <c r="CM725" s="1352"/>
      <c r="CN725" s="1353"/>
      <c r="CO725" s="3"/>
      <c r="CP725" s="1703" t="s">
        <v>633</v>
      </c>
      <c r="CQ725" s="1704"/>
      <c r="CR725" s="1704"/>
      <c r="CS725" s="1704"/>
      <c r="CT725" s="1705"/>
      <c r="CU725" s="1692" t="s">
        <v>325</v>
      </c>
      <c r="CV725" s="1692"/>
      <c r="CW725" s="1692"/>
      <c r="CX725" s="1692"/>
      <c r="CY725" s="1692"/>
      <c r="CZ725" s="1692" t="s">
        <v>163</v>
      </c>
      <c r="DA725" s="1692"/>
      <c r="DB725" s="1692"/>
      <c r="DC725" s="1692"/>
      <c r="DD725" s="1692"/>
      <c r="DE725" s="1692" t="s">
        <v>164</v>
      </c>
      <c r="DF725" s="1692"/>
      <c r="DG725" s="1692"/>
      <c r="DH725" s="1692"/>
      <c r="DI725" s="1692"/>
      <c r="DJ725" s="1692" t="s">
        <v>460</v>
      </c>
      <c r="DK725" s="1692"/>
      <c r="DL725" s="1692"/>
      <c r="DM725" s="1692"/>
      <c r="DN725" s="1692"/>
      <c r="DO725" s="1692" t="s">
        <v>30</v>
      </c>
      <c r="DP725" s="1692"/>
      <c r="DQ725" s="1692"/>
      <c r="DR725" s="1692"/>
      <c r="DS725" s="1692"/>
      <c r="DT725" s="89"/>
      <c r="DU725" s="1692" t="s">
        <v>633</v>
      </c>
      <c r="DV725" s="1692"/>
      <c r="DW725" s="1692"/>
      <c r="DX725" s="1692"/>
      <c r="DY725" s="1692"/>
      <c r="DZ725" s="1692" t="s">
        <v>325</v>
      </c>
      <c r="EA725" s="1692"/>
      <c r="EB725" s="1692"/>
      <c r="EC725" s="1692"/>
      <c r="ED725" s="1692"/>
      <c r="EE725" s="1692" t="s">
        <v>163</v>
      </c>
      <c r="EF725" s="1692"/>
      <c r="EG725" s="1692"/>
      <c r="EH725" s="1692"/>
      <c r="EI725" s="1692"/>
      <c r="EJ725" s="1692" t="s">
        <v>164</v>
      </c>
      <c r="EK725" s="1692"/>
      <c r="EL725" s="1692"/>
      <c r="EM725" s="1692"/>
      <c r="EN725" s="1692"/>
      <c r="EO725" s="1692" t="s">
        <v>460</v>
      </c>
      <c r="EP725" s="1692"/>
      <c r="EQ725" s="1692"/>
      <c r="ER725" s="1692"/>
      <c r="ES725" s="1692"/>
      <c r="ET725" s="1692" t="s">
        <v>30</v>
      </c>
      <c r="EU725" s="1692"/>
      <c r="EV725" s="1692"/>
      <c r="EW725" s="1692"/>
      <c r="EX725" s="1692"/>
      <c r="EY725" s="4"/>
      <c r="EZ725" s="1692" t="s">
        <v>633</v>
      </c>
      <c r="FA725" s="1692"/>
      <c r="FB725" s="1692"/>
      <c r="FC725" s="1692"/>
      <c r="FD725" s="1692"/>
      <c r="FE725" s="1692" t="s">
        <v>325</v>
      </c>
      <c r="FF725" s="1692"/>
      <c r="FG725" s="1692"/>
      <c r="FH725" s="1692"/>
      <c r="FI725" s="1692"/>
      <c r="FJ725" s="1692" t="s">
        <v>163</v>
      </c>
      <c r="FK725" s="1692"/>
      <c r="FL725" s="1692"/>
      <c r="FM725" s="1692"/>
      <c r="FN725" s="1692"/>
      <c r="FO725" s="1692" t="s">
        <v>164</v>
      </c>
      <c r="FP725" s="1692"/>
      <c r="FQ725" s="1692"/>
      <c r="FR725" s="1692"/>
      <c r="FS725" s="1692"/>
      <c r="FT725" s="1692" t="s">
        <v>460</v>
      </c>
      <c r="FU725" s="1692"/>
      <c r="FV725" s="1692"/>
      <c r="FW725" s="1692"/>
      <c r="FX725" s="1692"/>
      <c r="FY725" s="1692" t="s">
        <v>30</v>
      </c>
      <c r="FZ725" s="1692"/>
      <c r="GA725" s="1692"/>
      <c r="GB725" s="1692"/>
      <c r="GC725" s="1692"/>
    </row>
    <row r="726" spans="1:185" ht="12.95" customHeight="1">
      <c r="A726" s="4"/>
      <c r="B726" s="1399" t="s">
        <v>163</v>
      </c>
      <c r="C726" s="1400"/>
      <c r="D726" s="1400"/>
      <c r="E726" s="1400"/>
      <c r="F726" s="1401"/>
      <c r="G726" s="1396">
        <v>1</v>
      </c>
      <c r="H726" s="1397"/>
      <c r="I726" s="1397"/>
      <c r="J726" s="1398"/>
      <c r="K726" s="1349">
        <v>1015</v>
      </c>
      <c r="L726" s="1350"/>
      <c r="M726" s="1350"/>
      <c r="N726" s="1351"/>
      <c r="O726" s="1358">
        <v>512</v>
      </c>
      <c r="P726" s="1359"/>
      <c r="Q726" s="1359"/>
      <c r="R726" s="1359"/>
      <c r="S726" s="1360"/>
      <c r="T726" s="1358">
        <v>176</v>
      </c>
      <c r="U726" s="1359"/>
      <c r="V726" s="1359"/>
      <c r="W726" s="1360"/>
      <c r="X726" s="1383">
        <f t="shared" ref="X726:X749" si="10">O726+T726</f>
        <v>688</v>
      </c>
      <c r="Y726" s="1384"/>
      <c r="Z726" s="1384"/>
      <c r="AA726" s="1384"/>
      <c r="AB726" s="1385"/>
      <c r="AC726" s="1485">
        <v>0.3</v>
      </c>
      <c r="AD726" s="1486"/>
      <c r="AE726" s="1486"/>
      <c r="AF726" s="1486"/>
      <c r="AG726" s="1487"/>
      <c r="AH726" s="1386">
        <f>IF($AC726&gt;0,($X726/$AZ726), "")</f>
        <v>0.29991281604184827</v>
      </c>
      <c r="AI726" s="1387"/>
      <c r="AJ726" s="1388"/>
      <c r="AK726" s="1389" t="s">
        <v>591</v>
      </c>
      <c r="AL726" s="1390"/>
      <c r="AM726" s="1390"/>
      <c r="AN726" s="1390"/>
      <c r="AO726" s="1391"/>
      <c r="AP726" s="3"/>
      <c r="AQ726" s="3"/>
      <c r="AR726" s="3"/>
      <c r="AS726" s="3"/>
      <c r="AZ726" s="118">
        <f t="shared" ref="AZ726:AZ760" si="11">IF($G726=0,"N/A",VLOOKUP($T$189,TC_Rent,(MATCH($B726,bedrooms,FALSE)),FALSE))</f>
        <v>2294</v>
      </c>
      <c r="BA726" s="3"/>
      <c r="BB726" s="3"/>
      <c r="BC726" s="3"/>
      <c r="BD726" s="3"/>
      <c r="BE726" s="204"/>
      <c r="BF726" s="293">
        <f t="shared" ref="BF726:BF760" si="12">G726</f>
        <v>1</v>
      </c>
      <c r="BG726" s="297">
        <f t="shared" ref="BG726:BG760" si="13">IF($BF$761=0,0,BF726/$BF$761)</f>
        <v>1.2987012987012988E-2</v>
      </c>
      <c r="BH726" s="298">
        <f t="shared" ref="BH726:BH760" si="14">IF(BG726=0,"",BG726*AC726)</f>
        <v>3.8961038961038961E-3</v>
      </c>
      <c r="BI726" s="3"/>
      <c r="BJ726" s="3"/>
      <c r="BK726" s="3"/>
      <c r="BL726" s="3"/>
      <c r="BM726" s="3"/>
      <c r="BN726" s="3"/>
      <c r="BS726" s="293">
        <f t="shared" ref="BS726:BS760" si="15">G726</f>
        <v>1</v>
      </c>
      <c r="BT726" s="297">
        <f t="shared" ref="BT726:BT760" si="16">IF($BS$761=0,0,BS726/$BS$761)</f>
        <v>1.2987012987012988E-2</v>
      </c>
      <c r="BU726" s="298">
        <f t="shared" ref="BU726:BU760" si="17">IF(BT726=0,"",BT726*AH726)</f>
        <v>3.8949716369071209E-3</v>
      </c>
      <c r="CC726" s="3"/>
      <c r="CD726" s="3"/>
      <c r="CE726" s="3"/>
      <c r="CF726" s="3"/>
      <c r="CG726" s="1355">
        <f>IF(AND(AC726&lt;=0.5,AC726&gt;=0.36),1,0)</f>
        <v>0</v>
      </c>
      <c r="CH726" s="1356"/>
      <c r="CI726" s="1352">
        <f>IF(CG726=1,G726,0)</f>
        <v>0</v>
      </c>
      <c r="CJ726" s="1353"/>
      <c r="CK726" s="1355">
        <f t="shared" ref="CK726:CK760" si="18">IF(AND(AC726&lt;=0.35,AC726&gt;0),1,0)</f>
        <v>1</v>
      </c>
      <c r="CL726" s="1356"/>
      <c r="CM726" s="1352">
        <f t="shared" ref="CM726:CM760" si="19">IF(CK726=1,G726,0)</f>
        <v>1</v>
      </c>
      <c r="CN726" s="1353"/>
      <c r="CO726" s="3"/>
      <c r="CP726" s="1341">
        <f t="shared" ref="CP726:CP760" si="20">IF(B726="SRO/Studio",G726,0)</f>
        <v>0</v>
      </c>
      <c r="CQ726" s="1342"/>
      <c r="CR726" s="1342"/>
      <c r="CS726" s="1342"/>
      <c r="CT726" s="1343"/>
      <c r="CU726" s="1354">
        <f t="shared" ref="CU726:CU760" si="21">IF(B726="1 Bedroom",G726,0)</f>
        <v>0</v>
      </c>
      <c r="CV726" s="1354"/>
      <c r="CW726" s="1354"/>
      <c r="CX726" s="1354"/>
      <c r="CY726" s="1354"/>
      <c r="CZ726" s="1354">
        <f t="shared" ref="CZ726:CZ760" si="22">IF(B726="2 Bedrooms",G726,0)</f>
        <v>1</v>
      </c>
      <c r="DA726" s="1354"/>
      <c r="DB726" s="1354"/>
      <c r="DC726" s="1354"/>
      <c r="DD726" s="1354"/>
      <c r="DE726" s="1354">
        <f t="shared" ref="DE726:DE760" si="23">IF(B726="3 Bedrooms",G726,0)</f>
        <v>0</v>
      </c>
      <c r="DF726" s="1354"/>
      <c r="DG726" s="1354"/>
      <c r="DH726" s="1354"/>
      <c r="DI726" s="1354"/>
      <c r="DJ726" s="1354">
        <f t="shared" ref="DJ726:DJ760" si="24">IF(B726="4 Bedrooms",G726,0)</f>
        <v>0</v>
      </c>
      <c r="DK726" s="1354"/>
      <c r="DL726" s="1354"/>
      <c r="DM726" s="1354"/>
      <c r="DN726" s="1354"/>
      <c r="DO726" s="1354">
        <f t="shared" ref="DO726:DO760" si="25">IF(B726="5 Bedrooms",G726,0)</f>
        <v>0</v>
      </c>
      <c r="DP726" s="1354"/>
      <c r="DQ726" s="1354"/>
      <c r="DR726" s="1354"/>
      <c r="DS726" s="1354"/>
      <c r="DT726" s="6"/>
      <c r="DU726" s="1394">
        <f t="shared" ref="DU726:DU760" si="26">IF(AND(B726="SRO/Studio",AC726&lt;=0.3),G726,0)</f>
        <v>0</v>
      </c>
      <c r="DV726" s="1394"/>
      <c r="DW726" s="1394"/>
      <c r="DX726" s="1394"/>
      <c r="DY726" s="1394"/>
      <c r="DZ726" s="1394">
        <f t="shared" ref="DZ726:DZ760" si="27">IF(AND(B726="1 Bedroom",AC726&lt;=0.3),G726,0)</f>
        <v>0</v>
      </c>
      <c r="EA726" s="1394"/>
      <c r="EB726" s="1394"/>
      <c r="EC726" s="1394"/>
      <c r="ED726" s="1394"/>
      <c r="EE726" s="1394">
        <f t="shared" ref="EE726:EE760" si="28">IF(AND(B726="2 Bedrooms",AC726&lt;=0.3),G726,0)</f>
        <v>1</v>
      </c>
      <c r="EF726" s="1394"/>
      <c r="EG726" s="1394"/>
      <c r="EH726" s="1394"/>
      <c r="EI726" s="1394"/>
      <c r="EJ726" s="1394">
        <f t="shared" ref="EJ726:EJ760" si="29">IF(AND(B726="3 Bedrooms",AC726&lt;=0.3),G726,0)</f>
        <v>0</v>
      </c>
      <c r="EK726" s="1394"/>
      <c r="EL726" s="1394"/>
      <c r="EM726" s="1394"/>
      <c r="EN726" s="1394"/>
      <c r="EO726" s="1394">
        <f t="shared" ref="EO726:EO760" si="30">IF(AND(B726="4 Bedrooms",AC726&lt;=0.3),G726,0)</f>
        <v>0</v>
      </c>
      <c r="EP726" s="1394"/>
      <c r="EQ726" s="1394"/>
      <c r="ER726" s="1394"/>
      <c r="ES726" s="1394"/>
      <c r="ET726" s="1394">
        <f t="shared" ref="ET726:ET760" si="31">IF(AND(B726="5 Bedrooms",AC726&lt;=0.3),G726,0)</f>
        <v>0</v>
      </c>
      <c r="EU726" s="1394"/>
      <c r="EV726" s="1394"/>
      <c r="EW726" s="1394"/>
      <c r="EX726" s="1394"/>
      <c r="EY726" s="4"/>
      <c r="EZ726" s="1355" t="str">
        <f t="shared" ref="EZ726:EZ760" si="32">IF(CP726&gt;0,O726,"")</f>
        <v/>
      </c>
      <c r="FA726" s="1372"/>
      <c r="FB726" s="1372"/>
      <c r="FC726" s="1372"/>
      <c r="FD726" s="1356"/>
      <c r="FE726" s="1355" t="str">
        <f t="shared" ref="FE726:FE760" si="33">IF(CU726&gt;0,O726,"")</f>
        <v/>
      </c>
      <c r="FF726" s="1372"/>
      <c r="FG726" s="1372"/>
      <c r="FH726" s="1372"/>
      <c r="FI726" s="1356"/>
      <c r="FJ726" s="1355">
        <f t="shared" ref="FJ726:FJ760" si="34">IF(CZ726&gt;0,O726,"")</f>
        <v>512</v>
      </c>
      <c r="FK726" s="1372"/>
      <c r="FL726" s="1372"/>
      <c r="FM726" s="1372"/>
      <c r="FN726" s="1356"/>
      <c r="FO726" s="1355" t="str">
        <f t="shared" ref="FO726:FO760" si="35">IF(DE726&gt;0,O726,"")</f>
        <v/>
      </c>
      <c r="FP726" s="1372"/>
      <c r="FQ726" s="1372"/>
      <c r="FR726" s="1372"/>
      <c r="FS726" s="1356"/>
      <c r="FT726" s="1355" t="str">
        <f t="shared" ref="FT726:FT760" si="36">IF(DJ726&gt;0,O726,"")</f>
        <v/>
      </c>
      <c r="FU726" s="1372"/>
      <c r="FV726" s="1372"/>
      <c r="FW726" s="1372"/>
      <c r="FX726" s="1356"/>
      <c r="FY726" s="1355" t="str">
        <f t="shared" ref="FY726:FY760" si="37">IF(DO726&gt;0,O726,"")</f>
        <v/>
      </c>
      <c r="FZ726" s="1372"/>
      <c r="GA726" s="1372"/>
      <c r="GB726" s="1372"/>
      <c r="GC726" s="1356"/>
    </row>
    <row r="727" spans="1:185" ht="12.95" customHeight="1">
      <c r="A727" s="4"/>
      <c r="B727" s="1399" t="s">
        <v>163</v>
      </c>
      <c r="C727" s="1400"/>
      <c r="D727" s="1400"/>
      <c r="E727" s="1400"/>
      <c r="F727" s="1401"/>
      <c r="G727" s="1396">
        <v>3</v>
      </c>
      <c r="H727" s="1397"/>
      <c r="I727" s="1397"/>
      <c r="J727" s="1398"/>
      <c r="K727" s="1349">
        <v>1011</v>
      </c>
      <c r="L727" s="1350"/>
      <c r="M727" s="1350"/>
      <c r="N727" s="1351"/>
      <c r="O727" s="1358">
        <v>533</v>
      </c>
      <c r="P727" s="1359"/>
      <c r="Q727" s="1359"/>
      <c r="R727" s="1359"/>
      <c r="S727" s="1360"/>
      <c r="T727" s="1358">
        <v>155</v>
      </c>
      <c r="U727" s="1359"/>
      <c r="V727" s="1359"/>
      <c r="W727" s="1360"/>
      <c r="X727" s="1383">
        <f t="shared" si="10"/>
        <v>688</v>
      </c>
      <c r="Y727" s="1384"/>
      <c r="Z727" s="1384"/>
      <c r="AA727" s="1384"/>
      <c r="AB727" s="1385"/>
      <c r="AC727" s="1485">
        <v>0.3</v>
      </c>
      <c r="AD727" s="1486"/>
      <c r="AE727" s="1486"/>
      <c r="AF727" s="1486"/>
      <c r="AG727" s="1487"/>
      <c r="AH727" s="1386">
        <f t="shared" ref="AH727:AH760" si="38">IF($AC727&gt;0,($X727/$AZ727), "")</f>
        <v>0.29991281604184827</v>
      </c>
      <c r="AI727" s="1387"/>
      <c r="AJ727" s="1388"/>
      <c r="AK727" s="1389" t="s">
        <v>591</v>
      </c>
      <c r="AL727" s="1390"/>
      <c r="AM727" s="1390"/>
      <c r="AN727" s="1390"/>
      <c r="AO727" s="1391"/>
      <c r="AP727" s="3"/>
      <c r="AQ727" s="3"/>
      <c r="AR727" s="3"/>
      <c r="AS727" s="3"/>
      <c r="AZ727" s="118">
        <f t="shared" si="11"/>
        <v>2294</v>
      </c>
      <c r="BA727" s="3"/>
      <c r="BB727" s="3"/>
      <c r="BC727" s="3"/>
      <c r="BD727" s="3"/>
      <c r="BE727" s="204"/>
      <c r="BF727" s="294">
        <f t="shared" si="12"/>
        <v>3</v>
      </c>
      <c r="BG727" s="297">
        <f t="shared" si="13"/>
        <v>3.896103896103896E-2</v>
      </c>
      <c r="BH727" s="298">
        <f t="shared" si="14"/>
        <v>1.1688311688311687E-2</v>
      </c>
      <c r="BI727" s="3"/>
      <c r="BJ727" s="3"/>
      <c r="BK727" s="3"/>
      <c r="BL727" s="3"/>
      <c r="BM727" s="3"/>
      <c r="BN727" s="3"/>
      <c r="BS727" s="294">
        <f t="shared" si="15"/>
        <v>3</v>
      </c>
      <c r="BT727" s="297">
        <f t="shared" si="16"/>
        <v>3.896103896103896E-2</v>
      </c>
      <c r="BU727" s="298">
        <f t="shared" si="17"/>
        <v>1.1684914910721361E-2</v>
      </c>
      <c r="CC727" s="3"/>
      <c r="CD727" s="3"/>
      <c r="CE727" s="3"/>
      <c r="CF727" s="3"/>
      <c r="CG727" s="1355">
        <f t="shared" ref="CG727:CG760" si="39">IF(AND(AC727&lt;=0.5,AC727&gt;=0.36),1,0)</f>
        <v>0</v>
      </c>
      <c r="CH727" s="1356"/>
      <c r="CI727" s="1352">
        <f t="shared" ref="CI727:CI760" si="40">IF(CG727=1,G727,0)</f>
        <v>0</v>
      </c>
      <c r="CJ727" s="1353"/>
      <c r="CK727" s="1355">
        <f t="shared" si="18"/>
        <v>1</v>
      </c>
      <c r="CL727" s="1356"/>
      <c r="CM727" s="1352">
        <f t="shared" si="19"/>
        <v>3</v>
      </c>
      <c r="CN727" s="1353"/>
      <c r="CO727" s="3"/>
      <c r="CP727" s="1341">
        <f t="shared" si="20"/>
        <v>0</v>
      </c>
      <c r="CQ727" s="1342"/>
      <c r="CR727" s="1342"/>
      <c r="CS727" s="1342"/>
      <c r="CT727" s="1343"/>
      <c r="CU727" s="1354">
        <f t="shared" si="21"/>
        <v>0</v>
      </c>
      <c r="CV727" s="1354"/>
      <c r="CW727" s="1354"/>
      <c r="CX727" s="1354"/>
      <c r="CY727" s="1354"/>
      <c r="CZ727" s="1354">
        <f t="shared" si="22"/>
        <v>3</v>
      </c>
      <c r="DA727" s="1354"/>
      <c r="DB727" s="1354"/>
      <c r="DC727" s="1354"/>
      <c r="DD727" s="1354"/>
      <c r="DE727" s="1354">
        <f t="shared" si="23"/>
        <v>0</v>
      </c>
      <c r="DF727" s="1354"/>
      <c r="DG727" s="1354"/>
      <c r="DH727" s="1354"/>
      <c r="DI727" s="1354"/>
      <c r="DJ727" s="1354">
        <f t="shared" si="24"/>
        <v>0</v>
      </c>
      <c r="DK727" s="1354"/>
      <c r="DL727" s="1354"/>
      <c r="DM727" s="1354"/>
      <c r="DN727" s="1354"/>
      <c r="DO727" s="1354">
        <f t="shared" si="25"/>
        <v>0</v>
      </c>
      <c r="DP727" s="1354"/>
      <c r="DQ727" s="1354"/>
      <c r="DR727" s="1354"/>
      <c r="DS727" s="1354"/>
      <c r="DT727" s="6"/>
      <c r="DU727" s="1394">
        <f t="shared" si="26"/>
        <v>0</v>
      </c>
      <c r="DV727" s="1394"/>
      <c r="DW727" s="1394"/>
      <c r="DX727" s="1394"/>
      <c r="DY727" s="1394"/>
      <c r="DZ727" s="1394">
        <f t="shared" si="27"/>
        <v>0</v>
      </c>
      <c r="EA727" s="1394"/>
      <c r="EB727" s="1394"/>
      <c r="EC727" s="1394"/>
      <c r="ED727" s="1394"/>
      <c r="EE727" s="1394">
        <f t="shared" si="28"/>
        <v>3</v>
      </c>
      <c r="EF727" s="1394"/>
      <c r="EG727" s="1394"/>
      <c r="EH727" s="1394"/>
      <c r="EI727" s="1394"/>
      <c r="EJ727" s="1394">
        <f t="shared" si="29"/>
        <v>0</v>
      </c>
      <c r="EK727" s="1394"/>
      <c r="EL727" s="1394"/>
      <c r="EM727" s="1394"/>
      <c r="EN727" s="1394"/>
      <c r="EO727" s="1394">
        <f t="shared" si="30"/>
        <v>0</v>
      </c>
      <c r="EP727" s="1394"/>
      <c r="EQ727" s="1394"/>
      <c r="ER727" s="1394"/>
      <c r="ES727" s="1394"/>
      <c r="ET727" s="1394">
        <f t="shared" si="31"/>
        <v>0</v>
      </c>
      <c r="EU727" s="1394"/>
      <c r="EV727" s="1394"/>
      <c r="EW727" s="1394"/>
      <c r="EX727" s="1394"/>
      <c r="EY727" s="4"/>
      <c r="EZ727" s="1355" t="str">
        <f t="shared" si="32"/>
        <v/>
      </c>
      <c r="FA727" s="1372"/>
      <c r="FB727" s="1372"/>
      <c r="FC727" s="1372"/>
      <c r="FD727" s="1356"/>
      <c r="FE727" s="1355" t="str">
        <f t="shared" si="33"/>
        <v/>
      </c>
      <c r="FF727" s="1372"/>
      <c r="FG727" s="1372"/>
      <c r="FH727" s="1372"/>
      <c r="FI727" s="1356"/>
      <c r="FJ727" s="1355">
        <f t="shared" si="34"/>
        <v>533</v>
      </c>
      <c r="FK727" s="1372"/>
      <c r="FL727" s="1372"/>
      <c r="FM727" s="1372"/>
      <c r="FN727" s="1356"/>
      <c r="FO727" s="1355" t="str">
        <f t="shared" si="35"/>
        <v/>
      </c>
      <c r="FP727" s="1372"/>
      <c r="FQ727" s="1372"/>
      <c r="FR727" s="1372"/>
      <c r="FS727" s="1356"/>
      <c r="FT727" s="1355" t="str">
        <f t="shared" si="36"/>
        <v/>
      </c>
      <c r="FU727" s="1372"/>
      <c r="FV727" s="1372"/>
      <c r="FW727" s="1372"/>
      <c r="FX727" s="1356"/>
      <c r="FY727" s="1355" t="str">
        <f t="shared" si="37"/>
        <v/>
      </c>
      <c r="FZ727" s="1372"/>
      <c r="GA727" s="1372"/>
      <c r="GB727" s="1372"/>
      <c r="GC727" s="1356"/>
    </row>
    <row r="728" spans="1:185" ht="12.95" customHeight="1">
      <c r="A728" s="4"/>
      <c r="B728" s="1399" t="s">
        <v>163</v>
      </c>
      <c r="C728" s="1400"/>
      <c r="D728" s="1400"/>
      <c r="E728" s="1400"/>
      <c r="F728" s="1401"/>
      <c r="G728" s="1396">
        <v>1</v>
      </c>
      <c r="H728" s="1397"/>
      <c r="I728" s="1397"/>
      <c r="J728" s="1398"/>
      <c r="K728" s="1349">
        <v>1015</v>
      </c>
      <c r="L728" s="1350"/>
      <c r="M728" s="1350"/>
      <c r="N728" s="1351"/>
      <c r="O728" s="1358">
        <v>915</v>
      </c>
      <c r="P728" s="1359"/>
      <c r="Q728" s="1359"/>
      <c r="R728" s="1359"/>
      <c r="S728" s="1360"/>
      <c r="T728" s="1358">
        <v>176</v>
      </c>
      <c r="U728" s="1359"/>
      <c r="V728" s="1359"/>
      <c r="W728" s="1360"/>
      <c r="X728" s="1383">
        <f t="shared" si="10"/>
        <v>1091</v>
      </c>
      <c r="Y728" s="1384"/>
      <c r="Z728" s="1384"/>
      <c r="AA728" s="1384"/>
      <c r="AB728" s="1385"/>
      <c r="AC728" s="1485">
        <v>0.5</v>
      </c>
      <c r="AD728" s="1486"/>
      <c r="AE728" s="1486"/>
      <c r="AF728" s="1486"/>
      <c r="AG728" s="1487"/>
      <c r="AH728" s="1386">
        <f t="shared" si="38"/>
        <v>0.47558849171752399</v>
      </c>
      <c r="AI728" s="1387"/>
      <c r="AJ728" s="1388"/>
      <c r="AK728" s="1389" t="s">
        <v>591</v>
      </c>
      <c r="AL728" s="1390"/>
      <c r="AM728" s="1390"/>
      <c r="AN728" s="1390"/>
      <c r="AO728" s="1391"/>
      <c r="AP728" s="3"/>
      <c r="AQ728" s="3"/>
      <c r="AR728" s="3"/>
      <c r="AS728" s="3"/>
      <c r="AZ728" s="118">
        <f t="shared" si="11"/>
        <v>2294</v>
      </c>
      <c r="BA728" s="3"/>
      <c r="BB728" s="3"/>
      <c r="BC728" s="3"/>
      <c r="BD728" s="3"/>
      <c r="BE728" s="204"/>
      <c r="BF728" s="294">
        <f t="shared" si="12"/>
        <v>1</v>
      </c>
      <c r="BG728" s="297">
        <f t="shared" si="13"/>
        <v>1.2987012987012988E-2</v>
      </c>
      <c r="BH728" s="298">
        <f t="shared" si="14"/>
        <v>6.4935064935064939E-3</v>
      </c>
      <c r="BI728" s="3"/>
      <c r="BJ728" s="3"/>
      <c r="BK728" s="3"/>
      <c r="BL728" s="3"/>
      <c r="BM728" s="3"/>
      <c r="BN728" s="3"/>
      <c r="BS728" s="294">
        <f t="shared" si="15"/>
        <v>1</v>
      </c>
      <c r="BT728" s="297">
        <f t="shared" si="16"/>
        <v>1.2987012987012988E-2</v>
      </c>
      <c r="BU728" s="298">
        <f t="shared" si="17"/>
        <v>6.1764739184094032E-3</v>
      </c>
      <c r="CC728" s="3"/>
      <c r="CD728" s="3"/>
      <c r="CE728" s="3"/>
      <c r="CF728" s="3"/>
      <c r="CG728" s="1355">
        <f t="shared" si="39"/>
        <v>1</v>
      </c>
      <c r="CH728" s="1356"/>
      <c r="CI728" s="1352">
        <f t="shared" si="40"/>
        <v>1</v>
      </c>
      <c r="CJ728" s="1353"/>
      <c r="CK728" s="1355">
        <f t="shared" si="18"/>
        <v>0</v>
      </c>
      <c r="CL728" s="1356"/>
      <c r="CM728" s="1352">
        <f t="shared" si="19"/>
        <v>0</v>
      </c>
      <c r="CN728" s="1353"/>
      <c r="CO728" s="3"/>
      <c r="CP728" s="1341">
        <f t="shared" si="20"/>
        <v>0</v>
      </c>
      <c r="CQ728" s="1342"/>
      <c r="CR728" s="1342"/>
      <c r="CS728" s="1342"/>
      <c r="CT728" s="1343"/>
      <c r="CU728" s="1354">
        <f t="shared" si="21"/>
        <v>0</v>
      </c>
      <c r="CV728" s="1354"/>
      <c r="CW728" s="1354"/>
      <c r="CX728" s="1354"/>
      <c r="CY728" s="1354"/>
      <c r="CZ728" s="1354">
        <f t="shared" si="22"/>
        <v>1</v>
      </c>
      <c r="DA728" s="1354"/>
      <c r="DB728" s="1354"/>
      <c r="DC728" s="1354"/>
      <c r="DD728" s="1354"/>
      <c r="DE728" s="1354">
        <f t="shared" si="23"/>
        <v>0</v>
      </c>
      <c r="DF728" s="1354"/>
      <c r="DG728" s="1354"/>
      <c r="DH728" s="1354"/>
      <c r="DI728" s="1354"/>
      <c r="DJ728" s="1354">
        <f t="shared" si="24"/>
        <v>0</v>
      </c>
      <c r="DK728" s="1354"/>
      <c r="DL728" s="1354"/>
      <c r="DM728" s="1354"/>
      <c r="DN728" s="1354"/>
      <c r="DO728" s="1354">
        <f t="shared" si="25"/>
        <v>0</v>
      </c>
      <c r="DP728" s="1354"/>
      <c r="DQ728" s="1354"/>
      <c r="DR728" s="1354"/>
      <c r="DS728" s="1354"/>
      <c r="DT728" s="6"/>
      <c r="DU728" s="1394">
        <f t="shared" si="26"/>
        <v>0</v>
      </c>
      <c r="DV728" s="1394"/>
      <c r="DW728" s="1394"/>
      <c r="DX728" s="1394"/>
      <c r="DY728" s="1394"/>
      <c r="DZ728" s="1394">
        <f t="shared" si="27"/>
        <v>0</v>
      </c>
      <c r="EA728" s="1394"/>
      <c r="EB728" s="1394"/>
      <c r="EC728" s="1394"/>
      <c r="ED728" s="1394"/>
      <c r="EE728" s="1394">
        <f t="shared" si="28"/>
        <v>0</v>
      </c>
      <c r="EF728" s="1394"/>
      <c r="EG728" s="1394"/>
      <c r="EH728" s="1394"/>
      <c r="EI728" s="1394"/>
      <c r="EJ728" s="1394">
        <f t="shared" si="29"/>
        <v>0</v>
      </c>
      <c r="EK728" s="1394"/>
      <c r="EL728" s="1394"/>
      <c r="EM728" s="1394"/>
      <c r="EN728" s="1394"/>
      <c r="EO728" s="1394">
        <f t="shared" si="30"/>
        <v>0</v>
      </c>
      <c r="EP728" s="1394"/>
      <c r="EQ728" s="1394"/>
      <c r="ER728" s="1394"/>
      <c r="ES728" s="1394"/>
      <c r="ET728" s="1394">
        <f t="shared" si="31"/>
        <v>0</v>
      </c>
      <c r="EU728" s="1394"/>
      <c r="EV728" s="1394"/>
      <c r="EW728" s="1394"/>
      <c r="EX728" s="1394"/>
      <c r="EZ728" s="1355" t="str">
        <f t="shared" si="32"/>
        <v/>
      </c>
      <c r="FA728" s="1372"/>
      <c r="FB728" s="1372"/>
      <c r="FC728" s="1372"/>
      <c r="FD728" s="1356"/>
      <c r="FE728" s="1355" t="str">
        <f t="shared" si="33"/>
        <v/>
      </c>
      <c r="FF728" s="1372"/>
      <c r="FG728" s="1372"/>
      <c r="FH728" s="1372"/>
      <c r="FI728" s="1356"/>
      <c r="FJ728" s="1355">
        <f t="shared" si="34"/>
        <v>915</v>
      </c>
      <c r="FK728" s="1372"/>
      <c r="FL728" s="1372"/>
      <c r="FM728" s="1372"/>
      <c r="FN728" s="1356"/>
      <c r="FO728" s="1355" t="str">
        <f t="shared" si="35"/>
        <v/>
      </c>
      <c r="FP728" s="1372"/>
      <c r="FQ728" s="1372"/>
      <c r="FR728" s="1372"/>
      <c r="FS728" s="1356"/>
      <c r="FT728" s="1355" t="str">
        <f t="shared" si="36"/>
        <v/>
      </c>
      <c r="FU728" s="1372"/>
      <c r="FV728" s="1372"/>
      <c r="FW728" s="1372"/>
      <c r="FX728" s="1356"/>
      <c r="FY728" s="1355" t="str">
        <f t="shared" si="37"/>
        <v/>
      </c>
      <c r="FZ728" s="1372"/>
      <c r="GA728" s="1372"/>
      <c r="GB728" s="1372"/>
      <c r="GC728" s="1356"/>
    </row>
    <row r="729" spans="1:185" ht="12.95" customHeight="1">
      <c r="B729" s="1399" t="s">
        <v>163</v>
      </c>
      <c r="C729" s="1400"/>
      <c r="D729" s="1400"/>
      <c r="E729" s="1400"/>
      <c r="F729" s="1401"/>
      <c r="G729" s="1396">
        <v>3</v>
      </c>
      <c r="H729" s="1397"/>
      <c r="I729" s="1397"/>
      <c r="J729" s="1398"/>
      <c r="K729" s="1349">
        <v>1011</v>
      </c>
      <c r="L729" s="1350"/>
      <c r="M729" s="1350"/>
      <c r="N729" s="1351"/>
      <c r="O729" s="1358">
        <v>938</v>
      </c>
      <c r="P729" s="1359"/>
      <c r="Q729" s="1359"/>
      <c r="R729" s="1359"/>
      <c r="S729" s="1360"/>
      <c r="T729" s="1358">
        <v>155</v>
      </c>
      <c r="U729" s="1359"/>
      <c r="V729" s="1359"/>
      <c r="W729" s="1360"/>
      <c r="X729" s="1383">
        <f t="shared" si="10"/>
        <v>1093</v>
      </c>
      <c r="Y729" s="1384"/>
      <c r="Z729" s="1384"/>
      <c r="AA729" s="1384"/>
      <c r="AB729" s="1385"/>
      <c r="AC729" s="1485">
        <v>0.5</v>
      </c>
      <c r="AD729" s="1486"/>
      <c r="AE729" s="1486"/>
      <c r="AF729" s="1486"/>
      <c r="AG729" s="1487"/>
      <c r="AH729" s="1386">
        <f t="shared" si="38"/>
        <v>0.47646033129904097</v>
      </c>
      <c r="AI729" s="1387"/>
      <c r="AJ729" s="1388"/>
      <c r="AK729" s="1389" t="s">
        <v>591</v>
      </c>
      <c r="AL729" s="1390"/>
      <c r="AM729" s="1390"/>
      <c r="AN729" s="1390"/>
      <c r="AO729" s="1391"/>
      <c r="AP729" s="3"/>
      <c r="AQ729" s="3"/>
      <c r="AR729" s="3"/>
      <c r="AS729" s="3"/>
      <c r="AY729" s="116"/>
      <c r="AZ729" s="118">
        <f t="shared" si="11"/>
        <v>2294</v>
      </c>
      <c r="BA729" s="3"/>
      <c r="BB729" s="3"/>
      <c r="BC729" s="3"/>
      <c r="BD729" s="3"/>
      <c r="BE729" s="204"/>
      <c r="BF729" s="294">
        <f t="shared" si="12"/>
        <v>3</v>
      </c>
      <c r="BG729" s="297">
        <f t="shared" si="13"/>
        <v>3.896103896103896E-2</v>
      </c>
      <c r="BH729" s="298">
        <f t="shared" si="14"/>
        <v>1.948051948051948E-2</v>
      </c>
      <c r="BI729" s="3"/>
      <c r="BJ729" s="3"/>
      <c r="BK729" s="3"/>
      <c r="BL729" s="3"/>
      <c r="BM729" s="3"/>
      <c r="BN729" s="3"/>
      <c r="BS729" s="294">
        <f t="shared" si="15"/>
        <v>3</v>
      </c>
      <c r="BT729" s="297">
        <f t="shared" si="16"/>
        <v>3.896103896103896E-2</v>
      </c>
      <c r="BU729" s="298">
        <f t="shared" si="17"/>
        <v>1.8563389531131465E-2</v>
      </c>
      <c r="CC729" s="3"/>
      <c r="CD729" s="3"/>
      <c r="CE729" s="3"/>
      <c r="CF729" s="3"/>
      <c r="CG729" s="1355">
        <f t="shared" si="39"/>
        <v>1</v>
      </c>
      <c r="CH729" s="1356"/>
      <c r="CI729" s="1352">
        <f t="shared" si="40"/>
        <v>3</v>
      </c>
      <c r="CJ729" s="1353"/>
      <c r="CK729" s="1355">
        <f t="shared" si="18"/>
        <v>0</v>
      </c>
      <c r="CL729" s="1356"/>
      <c r="CM729" s="1352">
        <f t="shared" si="19"/>
        <v>0</v>
      </c>
      <c r="CN729" s="1353"/>
      <c r="CO729" s="3"/>
      <c r="CP729" s="1341">
        <f t="shared" si="20"/>
        <v>0</v>
      </c>
      <c r="CQ729" s="1342"/>
      <c r="CR729" s="1342"/>
      <c r="CS729" s="1342"/>
      <c r="CT729" s="1343"/>
      <c r="CU729" s="1354">
        <f t="shared" si="21"/>
        <v>0</v>
      </c>
      <c r="CV729" s="1354"/>
      <c r="CW729" s="1354"/>
      <c r="CX729" s="1354"/>
      <c r="CY729" s="1354"/>
      <c r="CZ729" s="1354">
        <f t="shared" si="22"/>
        <v>3</v>
      </c>
      <c r="DA729" s="1354"/>
      <c r="DB729" s="1354"/>
      <c r="DC729" s="1354"/>
      <c r="DD729" s="1354"/>
      <c r="DE729" s="1354">
        <f t="shared" si="23"/>
        <v>0</v>
      </c>
      <c r="DF729" s="1354"/>
      <c r="DG729" s="1354"/>
      <c r="DH729" s="1354"/>
      <c r="DI729" s="1354"/>
      <c r="DJ729" s="1354">
        <f t="shared" si="24"/>
        <v>0</v>
      </c>
      <c r="DK729" s="1354"/>
      <c r="DL729" s="1354"/>
      <c r="DM729" s="1354"/>
      <c r="DN729" s="1354"/>
      <c r="DO729" s="1354">
        <f t="shared" si="25"/>
        <v>0</v>
      </c>
      <c r="DP729" s="1354"/>
      <c r="DQ729" s="1354"/>
      <c r="DR729" s="1354"/>
      <c r="DS729" s="1354"/>
      <c r="DT729" s="6"/>
      <c r="DU729" s="1394">
        <f t="shared" si="26"/>
        <v>0</v>
      </c>
      <c r="DV729" s="1394"/>
      <c r="DW729" s="1394"/>
      <c r="DX729" s="1394"/>
      <c r="DY729" s="1394"/>
      <c r="DZ729" s="1394">
        <f t="shared" si="27"/>
        <v>0</v>
      </c>
      <c r="EA729" s="1394"/>
      <c r="EB729" s="1394"/>
      <c r="EC729" s="1394"/>
      <c r="ED729" s="1394"/>
      <c r="EE729" s="1394">
        <f t="shared" si="28"/>
        <v>0</v>
      </c>
      <c r="EF729" s="1394"/>
      <c r="EG729" s="1394"/>
      <c r="EH729" s="1394"/>
      <c r="EI729" s="1394"/>
      <c r="EJ729" s="1394">
        <f t="shared" si="29"/>
        <v>0</v>
      </c>
      <c r="EK729" s="1394"/>
      <c r="EL729" s="1394"/>
      <c r="EM729" s="1394"/>
      <c r="EN729" s="1394"/>
      <c r="EO729" s="1394">
        <f t="shared" si="30"/>
        <v>0</v>
      </c>
      <c r="EP729" s="1394"/>
      <c r="EQ729" s="1394"/>
      <c r="ER729" s="1394"/>
      <c r="ES729" s="1394"/>
      <c r="ET729" s="1394">
        <f t="shared" si="31"/>
        <v>0</v>
      </c>
      <c r="EU729" s="1394"/>
      <c r="EV729" s="1394"/>
      <c r="EW729" s="1394"/>
      <c r="EX729" s="1394"/>
      <c r="EZ729" s="1355" t="str">
        <f t="shared" si="32"/>
        <v/>
      </c>
      <c r="FA729" s="1372"/>
      <c r="FB729" s="1372"/>
      <c r="FC729" s="1372"/>
      <c r="FD729" s="1356"/>
      <c r="FE729" s="1355" t="str">
        <f t="shared" si="33"/>
        <v/>
      </c>
      <c r="FF729" s="1372"/>
      <c r="FG729" s="1372"/>
      <c r="FH729" s="1372"/>
      <c r="FI729" s="1356"/>
      <c r="FJ729" s="1355">
        <f t="shared" si="34"/>
        <v>938</v>
      </c>
      <c r="FK729" s="1372"/>
      <c r="FL729" s="1372"/>
      <c r="FM729" s="1372"/>
      <c r="FN729" s="1356"/>
      <c r="FO729" s="1355" t="str">
        <f t="shared" si="35"/>
        <v/>
      </c>
      <c r="FP729" s="1372"/>
      <c r="FQ729" s="1372"/>
      <c r="FR729" s="1372"/>
      <c r="FS729" s="1356"/>
      <c r="FT729" s="1355" t="str">
        <f t="shared" si="36"/>
        <v/>
      </c>
      <c r="FU729" s="1372"/>
      <c r="FV729" s="1372"/>
      <c r="FW729" s="1372"/>
      <c r="FX729" s="1356"/>
      <c r="FY729" s="1355" t="str">
        <f t="shared" si="37"/>
        <v/>
      </c>
      <c r="FZ729" s="1372"/>
      <c r="GA729" s="1372"/>
      <c r="GB729" s="1372"/>
      <c r="GC729" s="1356"/>
    </row>
    <row r="730" spans="1:185" ht="12.95" customHeight="1">
      <c r="B730" s="1399" t="s">
        <v>163</v>
      </c>
      <c r="C730" s="1400"/>
      <c r="D730" s="1400"/>
      <c r="E730" s="1400"/>
      <c r="F730" s="1401"/>
      <c r="G730" s="1396">
        <v>8</v>
      </c>
      <c r="H730" s="1397"/>
      <c r="I730" s="1397"/>
      <c r="J730" s="1398"/>
      <c r="K730" s="1349">
        <v>1015</v>
      </c>
      <c r="L730" s="1350"/>
      <c r="M730" s="1350"/>
      <c r="N730" s="1351"/>
      <c r="O730" s="1358">
        <v>1135</v>
      </c>
      <c r="P730" s="1359"/>
      <c r="Q730" s="1359"/>
      <c r="R730" s="1359"/>
      <c r="S730" s="1360"/>
      <c r="T730" s="1358">
        <v>176</v>
      </c>
      <c r="U730" s="1359"/>
      <c r="V730" s="1359"/>
      <c r="W730" s="1360"/>
      <c r="X730" s="1383">
        <f t="shared" si="10"/>
        <v>1311</v>
      </c>
      <c r="Y730" s="1384"/>
      <c r="Z730" s="1384"/>
      <c r="AA730" s="1384"/>
      <c r="AB730" s="1385"/>
      <c r="AC730" s="1485">
        <v>0.6</v>
      </c>
      <c r="AD730" s="1486"/>
      <c r="AE730" s="1486"/>
      <c r="AF730" s="1486"/>
      <c r="AG730" s="1487"/>
      <c r="AH730" s="1386">
        <f t="shared" si="38"/>
        <v>0.57149084568439412</v>
      </c>
      <c r="AI730" s="1387"/>
      <c r="AJ730" s="1388"/>
      <c r="AK730" s="1389" t="s">
        <v>591</v>
      </c>
      <c r="AL730" s="1390"/>
      <c r="AM730" s="1390"/>
      <c r="AN730" s="1390"/>
      <c r="AO730" s="1391"/>
      <c r="AP730" s="3"/>
      <c r="AQ730" s="3"/>
      <c r="AR730" s="3"/>
      <c r="AS730" s="3"/>
      <c r="AY730" s="116"/>
      <c r="AZ730" s="118">
        <f t="shared" si="11"/>
        <v>2294</v>
      </c>
      <c r="BA730" s="3"/>
      <c r="BB730" s="3"/>
      <c r="BC730" s="3"/>
      <c r="BD730" s="3"/>
      <c r="BE730" s="204"/>
      <c r="BF730" s="294">
        <f t="shared" si="12"/>
        <v>8</v>
      </c>
      <c r="BG730" s="297">
        <f t="shared" si="13"/>
        <v>0.1038961038961039</v>
      </c>
      <c r="BH730" s="298">
        <f t="shared" si="14"/>
        <v>6.2337662337662338E-2</v>
      </c>
      <c r="BI730" s="3"/>
      <c r="BJ730" s="3"/>
      <c r="BK730" s="3"/>
      <c r="BL730" s="3"/>
      <c r="BM730" s="3"/>
      <c r="BN730" s="3"/>
      <c r="BS730" s="294">
        <f t="shared" si="15"/>
        <v>8</v>
      </c>
      <c r="BT730" s="297">
        <f t="shared" si="16"/>
        <v>0.1038961038961039</v>
      </c>
      <c r="BU730" s="298">
        <f t="shared" si="17"/>
        <v>5.9375672278898096E-2</v>
      </c>
      <c r="CC730" s="3"/>
      <c r="CD730" s="3"/>
      <c r="CE730" s="3"/>
      <c r="CF730" s="3"/>
      <c r="CG730" s="1355">
        <f t="shared" si="39"/>
        <v>0</v>
      </c>
      <c r="CH730" s="1356"/>
      <c r="CI730" s="1352">
        <f t="shared" si="40"/>
        <v>0</v>
      </c>
      <c r="CJ730" s="1353"/>
      <c r="CK730" s="1355">
        <f t="shared" si="18"/>
        <v>0</v>
      </c>
      <c r="CL730" s="1356"/>
      <c r="CM730" s="1352">
        <f t="shared" si="19"/>
        <v>0</v>
      </c>
      <c r="CN730" s="1353"/>
      <c r="CO730" s="3"/>
      <c r="CP730" s="1341">
        <f t="shared" si="20"/>
        <v>0</v>
      </c>
      <c r="CQ730" s="1342"/>
      <c r="CR730" s="1342"/>
      <c r="CS730" s="1342"/>
      <c r="CT730" s="1343"/>
      <c r="CU730" s="1354">
        <f t="shared" si="21"/>
        <v>0</v>
      </c>
      <c r="CV730" s="1354"/>
      <c r="CW730" s="1354"/>
      <c r="CX730" s="1354"/>
      <c r="CY730" s="1354"/>
      <c r="CZ730" s="1354">
        <f t="shared" si="22"/>
        <v>8</v>
      </c>
      <c r="DA730" s="1354"/>
      <c r="DB730" s="1354"/>
      <c r="DC730" s="1354"/>
      <c r="DD730" s="1354"/>
      <c r="DE730" s="1354">
        <f t="shared" si="23"/>
        <v>0</v>
      </c>
      <c r="DF730" s="1354"/>
      <c r="DG730" s="1354"/>
      <c r="DH730" s="1354"/>
      <c r="DI730" s="1354"/>
      <c r="DJ730" s="1354">
        <f t="shared" si="24"/>
        <v>0</v>
      </c>
      <c r="DK730" s="1354"/>
      <c r="DL730" s="1354"/>
      <c r="DM730" s="1354"/>
      <c r="DN730" s="1354"/>
      <c r="DO730" s="1354">
        <f t="shared" si="25"/>
        <v>0</v>
      </c>
      <c r="DP730" s="1354"/>
      <c r="DQ730" s="1354"/>
      <c r="DR730" s="1354"/>
      <c r="DS730" s="1354"/>
      <c r="DT730" s="6"/>
      <c r="DU730" s="1394">
        <f t="shared" si="26"/>
        <v>0</v>
      </c>
      <c r="DV730" s="1394"/>
      <c r="DW730" s="1394"/>
      <c r="DX730" s="1394"/>
      <c r="DY730" s="1394"/>
      <c r="DZ730" s="1394">
        <f t="shared" si="27"/>
        <v>0</v>
      </c>
      <c r="EA730" s="1394"/>
      <c r="EB730" s="1394"/>
      <c r="EC730" s="1394"/>
      <c r="ED730" s="1394"/>
      <c r="EE730" s="1394">
        <f t="shared" si="28"/>
        <v>0</v>
      </c>
      <c r="EF730" s="1394"/>
      <c r="EG730" s="1394"/>
      <c r="EH730" s="1394"/>
      <c r="EI730" s="1394"/>
      <c r="EJ730" s="1394">
        <f t="shared" si="29"/>
        <v>0</v>
      </c>
      <c r="EK730" s="1394"/>
      <c r="EL730" s="1394"/>
      <c r="EM730" s="1394"/>
      <c r="EN730" s="1394"/>
      <c r="EO730" s="1394">
        <f t="shared" si="30"/>
        <v>0</v>
      </c>
      <c r="EP730" s="1394"/>
      <c r="EQ730" s="1394"/>
      <c r="ER730" s="1394"/>
      <c r="ES730" s="1394"/>
      <c r="ET730" s="1394">
        <f t="shared" si="31"/>
        <v>0</v>
      </c>
      <c r="EU730" s="1394"/>
      <c r="EV730" s="1394"/>
      <c r="EW730" s="1394"/>
      <c r="EX730" s="1394"/>
      <c r="EZ730" s="1355" t="str">
        <f t="shared" si="32"/>
        <v/>
      </c>
      <c r="FA730" s="1372"/>
      <c r="FB730" s="1372"/>
      <c r="FC730" s="1372"/>
      <c r="FD730" s="1356"/>
      <c r="FE730" s="1355" t="str">
        <f t="shared" si="33"/>
        <v/>
      </c>
      <c r="FF730" s="1372"/>
      <c r="FG730" s="1372"/>
      <c r="FH730" s="1372"/>
      <c r="FI730" s="1356"/>
      <c r="FJ730" s="1355">
        <f t="shared" si="34"/>
        <v>1135</v>
      </c>
      <c r="FK730" s="1372"/>
      <c r="FL730" s="1372"/>
      <c r="FM730" s="1372"/>
      <c r="FN730" s="1356"/>
      <c r="FO730" s="1355" t="str">
        <f t="shared" si="35"/>
        <v/>
      </c>
      <c r="FP730" s="1372"/>
      <c r="FQ730" s="1372"/>
      <c r="FR730" s="1372"/>
      <c r="FS730" s="1356"/>
      <c r="FT730" s="1355" t="str">
        <f t="shared" si="36"/>
        <v/>
      </c>
      <c r="FU730" s="1372"/>
      <c r="FV730" s="1372"/>
      <c r="FW730" s="1372"/>
      <c r="FX730" s="1356"/>
      <c r="FY730" s="1355" t="str">
        <f t="shared" si="37"/>
        <v/>
      </c>
      <c r="FZ730" s="1372"/>
      <c r="GA730" s="1372"/>
      <c r="GB730" s="1372"/>
      <c r="GC730" s="1356"/>
    </row>
    <row r="731" spans="1:185" ht="12.95" customHeight="1">
      <c r="B731" s="1399" t="s">
        <v>163</v>
      </c>
      <c r="C731" s="1400"/>
      <c r="D731" s="1400"/>
      <c r="E731" s="1400"/>
      <c r="F731" s="1401"/>
      <c r="G731" s="1396">
        <v>17</v>
      </c>
      <c r="H731" s="1397"/>
      <c r="I731" s="1397"/>
      <c r="J731" s="1398"/>
      <c r="K731" s="1349">
        <v>1011</v>
      </c>
      <c r="L731" s="1350"/>
      <c r="M731" s="1350"/>
      <c r="N731" s="1351"/>
      <c r="O731" s="1358">
        <v>1160</v>
      </c>
      <c r="P731" s="1359"/>
      <c r="Q731" s="1359"/>
      <c r="R731" s="1359"/>
      <c r="S731" s="1360"/>
      <c r="T731" s="1358">
        <v>155</v>
      </c>
      <c r="U731" s="1359"/>
      <c r="V731" s="1359"/>
      <c r="W731" s="1360"/>
      <c r="X731" s="1383">
        <f t="shared" si="10"/>
        <v>1315</v>
      </c>
      <c r="Y731" s="1384"/>
      <c r="Z731" s="1384"/>
      <c r="AA731" s="1384"/>
      <c r="AB731" s="1385"/>
      <c r="AC731" s="1485">
        <v>0.6</v>
      </c>
      <c r="AD731" s="1486"/>
      <c r="AE731" s="1486"/>
      <c r="AF731" s="1486"/>
      <c r="AG731" s="1487"/>
      <c r="AH731" s="1386">
        <f t="shared" si="38"/>
        <v>0.5732345248474281</v>
      </c>
      <c r="AI731" s="1387"/>
      <c r="AJ731" s="1388"/>
      <c r="AK731" s="1389" t="s">
        <v>591</v>
      </c>
      <c r="AL731" s="1390"/>
      <c r="AM731" s="1390"/>
      <c r="AN731" s="1390"/>
      <c r="AO731" s="1391"/>
      <c r="AP731" s="3"/>
      <c r="AQ731" s="3"/>
      <c r="AR731" s="3"/>
      <c r="AS731" s="3"/>
      <c r="AY731" s="116"/>
      <c r="AZ731" s="118">
        <f t="shared" si="11"/>
        <v>2294</v>
      </c>
      <c r="BA731" s="3"/>
      <c r="BB731" s="3"/>
      <c r="BC731" s="3"/>
      <c r="BD731" s="3"/>
      <c r="BE731" s="204"/>
      <c r="BF731" s="294">
        <f t="shared" si="12"/>
        <v>17</v>
      </c>
      <c r="BG731" s="297">
        <f t="shared" si="13"/>
        <v>0.22077922077922077</v>
      </c>
      <c r="BH731" s="298">
        <f t="shared" si="14"/>
        <v>0.13246753246753246</v>
      </c>
      <c r="BI731" s="3"/>
      <c r="BJ731" s="3"/>
      <c r="BK731" s="3"/>
      <c r="BL731" s="3"/>
      <c r="BM731" s="3"/>
      <c r="BN731" s="3"/>
      <c r="BS731" s="294">
        <f t="shared" si="15"/>
        <v>17</v>
      </c>
      <c r="BT731" s="297">
        <f t="shared" si="16"/>
        <v>0.22077922077922077</v>
      </c>
      <c r="BU731" s="298">
        <f t="shared" si="17"/>
        <v>0.12655827171956205</v>
      </c>
      <c r="CC731" s="3"/>
      <c r="CD731" s="3"/>
      <c r="CE731" s="3"/>
      <c r="CF731" s="3"/>
      <c r="CG731" s="1355">
        <f t="shared" si="39"/>
        <v>0</v>
      </c>
      <c r="CH731" s="1356"/>
      <c r="CI731" s="1352">
        <f t="shared" si="40"/>
        <v>0</v>
      </c>
      <c r="CJ731" s="1353"/>
      <c r="CK731" s="1355">
        <f t="shared" si="18"/>
        <v>0</v>
      </c>
      <c r="CL731" s="1356"/>
      <c r="CM731" s="1352">
        <f t="shared" si="19"/>
        <v>0</v>
      </c>
      <c r="CN731" s="1353"/>
      <c r="CO731" s="3"/>
      <c r="CP731" s="1341">
        <f t="shared" si="20"/>
        <v>0</v>
      </c>
      <c r="CQ731" s="1342"/>
      <c r="CR731" s="1342"/>
      <c r="CS731" s="1342"/>
      <c r="CT731" s="1343"/>
      <c r="CU731" s="1354">
        <f t="shared" si="21"/>
        <v>0</v>
      </c>
      <c r="CV731" s="1354"/>
      <c r="CW731" s="1354"/>
      <c r="CX731" s="1354"/>
      <c r="CY731" s="1354"/>
      <c r="CZ731" s="1354">
        <f t="shared" si="22"/>
        <v>17</v>
      </c>
      <c r="DA731" s="1354"/>
      <c r="DB731" s="1354"/>
      <c r="DC731" s="1354"/>
      <c r="DD731" s="1354"/>
      <c r="DE731" s="1354">
        <f t="shared" si="23"/>
        <v>0</v>
      </c>
      <c r="DF731" s="1354"/>
      <c r="DG731" s="1354"/>
      <c r="DH731" s="1354"/>
      <c r="DI731" s="1354"/>
      <c r="DJ731" s="1354">
        <f t="shared" si="24"/>
        <v>0</v>
      </c>
      <c r="DK731" s="1354"/>
      <c r="DL731" s="1354"/>
      <c r="DM731" s="1354"/>
      <c r="DN731" s="1354"/>
      <c r="DO731" s="1354">
        <f t="shared" si="25"/>
        <v>0</v>
      </c>
      <c r="DP731" s="1354"/>
      <c r="DQ731" s="1354"/>
      <c r="DR731" s="1354"/>
      <c r="DS731" s="1354"/>
      <c r="DT731" s="6"/>
      <c r="DU731" s="1394">
        <f t="shared" si="26"/>
        <v>0</v>
      </c>
      <c r="DV731" s="1394"/>
      <c r="DW731" s="1394"/>
      <c r="DX731" s="1394"/>
      <c r="DY731" s="1394"/>
      <c r="DZ731" s="1394">
        <f t="shared" si="27"/>
        <v>0</v>
      </c>
      <c r="EA731" s="1394"/>
      <c r="EB731" s="1394"/>
      <c r="EC731" s="1394"/>
      <c r="ED731" s="1394"/>
      <c r="EE731" s="1394">
        <f t="shared" si="28"/>
        <v>0</v>
      </c>
      <c r="EF731" s="1394"/>
      <c r="EG731" s="1394"/>
      <c r="EH731" s="1394"/>
      <c r="EI731" s="1394"/>
      <c r="EJ731" s="1394">
        <f t="shared" si="29"/>
        <v>0</v>
      </c>
      <c r="EK731" s="1394"/>
      <c r="EL731" s="1394"/>
      <c r="EM731" s="1394"/>
      <c r="EN731" s="1394"/>
      <c r="EO731" s="1394">
        <f t="shared" si="30"/>
        <v>0</v>
      </c>
      <c r="EP731" s="1394"/>
      <c r="EQ731" s="1394"/>
      <c r="ER731" s="1394"/>
      <c r="ES731" s="1394"/>
      <c r="ET731" s="1394">
        <f t="shared" si="31"/>
        <v>0</v>
      </c>
      <c r="EU731" s="1394"/>
      <c r="EV731" s="1394"/>
      <c r="EW731" s="1394"/>
      <c r="EX731" s="1394"/>
      <c r="EZ731" s="1355" t="str">
        <f t="shared" si="32"/>
        <v/>
      </c>
      <c r="FA731" s="1372"/>
      <c r="FB731" s="1372"/>
      <c r="FC731" s="1372"/>
      <c r="FD731" s="1356"/>
      <c r="FE731" s="1355" t="str">
        <f t="shared" si="33"/>
        <v/>
      </c>
      <c r="FF731" s="1372"/>
      <c r="FG731" s="1372"/>
      <c r="FH731" s="1372"/>
      <c r="FI731" s="1356"/>
      <c r="FJ731" s="1355">
        <f t="shared" si="34"/>
        <v>1160</v>
      </c>
      <c r="FK731" s="1372"/>
      <c r="FL731" s="1372"/>
      <c r="FM731" s="1372"/>
      <c r="FN731" s="1356"/>
      <c r="FO731" s="1355" t="str">
        <f t="shared" si="35"/>
        <v/>
      </c>
      <c r="FP731" s="1372"/>
      <c r="FQ731" s="1372"/>
      <c r="FR731" s="1372"/>
      <c r="FS731" s="1356"/>
      <c r="FT731" s="1355" t="str">
        <f t="shared" si="36"/>
        <v/>
      </c>
      <c r="FU731" s="1372"/>
      <c r="FV731" s="1372"/>
      <c r="FW731" s="1372"/>
      <c r="FX731" s="1356"/>
      <c r="FY731" s="1355" t="str">
        <f t="shared" si="37"/>
        <v/>
      </c>
      <c r="FZ731" s="1372"/>
      <c r="GA731" s="1372"/>
      <c r="GB731" s="1372"/>
      <c r="GC731" s="1356"/>
    </row>
    <row r="732" spans="1:185" ht="12.95" customHeight="1">
      <c r="B732" s="1399" t="s">
        <v>164</v>
      </c>
      <c r="C732" s="1400"/>
      <c r="D732" s="1400"/>
      <c r="E732" s="1400"/>
      <c r="F732" s="1401"/>
      <c r="G732" s="1396">
        <v>2</v>
      </c>
      <c r="H732" s="1397"/>
      <c r="I732" s="1397"/>
      <c r="J732" s="1398"/>
      <c r="K732" s="1349">
        <v>1200</v>
      </c>
      <c r="L732" s="1350"/>
      <c r="M732" s="1350"/>
      <c r="N732" s="1351"/>
      <c r="O732" s="1358">
        <v>585</v>
      </c>
      <c r="P732" s="1359"/>
      <c r="Q732" s="1359"/>
      <c r="R732" s="1359"/>
      <c r="S732" s="1360"/>
      <c r="T732" s="1358">
        <v>211</v>
      </c>
      <c r="U732" s="1359"/>
      <c r="V732" s="1359"/>
      <c r="W732" s="1360"/>
      <c r="X732" s="1383">
        <f t="shared" si="10"/>
        <v>796</v>
      </c>
      <c r="Y732" s="1384"/>
      <c r="Z732" s="1384"/>
      <c r="AA732" s="1384"/>
      <c r="AB732" s="1385"/>
      <c r="AC732" s="1485">
        <v>0.3</v>
      </c>
      <c r="AD732" s="1486"/>
      <c r="AE732" s="1486"/>
      <c r="AF732" s="1486"/>
      <c r="AG732" s="1487"/>
      <c r="AH732" s="1386">
        <f t="shared" si="38"/>
        <v>0.30015082956259426</v>
      </c>
      <c r="AI732" s="1387"/>
      <c r="AJ732" s="1388"/>
      <c r="AK732" s="1389" t="s">
        <v>591</v>
      </c>
      <c r="AL732" s="1390"/>
      <c r="AM732" s="1390"/>
      <c r="AN732" s="1390"/>
      <c r="AO732" s="1391"/>
      <c r="AP732" s="3"/>
      <c r="AQ732" s="3"/>
      <c r="AR732" s="3"/>
      <c r="AS732" s="3"/>
      <c r="AY732" s="116"/>
      <c r="AZ732" s="118">
        <f t="shared" si="11"/>
        <v>2652</v>
      </c>
      <c r="BA732" s="3"/>
      <c r="BB732" s="3"/>
      <c r="BC732" s="3"/>
      <c r="BD732" s="3"/>
      <c r="BE732" s="204"/>
      <c r="BF732" s="294">
        <f t="shared" si="12"/>
        <v>2</v>
      </c>
      <c r="BG732" s="297">
        <f t="shared" si="13"/>
        <v>2.5974025974025976E-2</v>
      </c>
      <c r="BH732" s="298">
        <f t="shared" si="14"/>
        <v>7.7922077922077922E-3</v>
      </c>
      <c r="BI732" s="3"/>
      <c r="BJ732" s="3"/>
      <c r="BK732" s="3"/>
      <c r="BL732" s="3"/>
      <c r="BM732" s="3"/>
      <c r="BN732" s="3"/>
      <c r="BS732" s="294">
        <f t="shared" si="15"/>
        <v>2</v>
      </c>
      <c r="BT732" s="297">
        <f t="shared" si="16"/>
        <v>2.5974025974025976E-2</v>
      </c>
      <c r="BU732" s="298">
        <f t="shared" si="17"/>
        <v>7.7961254431842672E-3</v>
      </c>
      <c r="CC732" s="3"/>
      <c r="CE732" s="3"/>
      <c r="CF732" s="3"/>
      <c r="CG732" s="1355">
        <f t="shared" si="39"/>
        <v>0</v>
      </c>
      <c r="CH732" s="1356"/>
      <c r="CI732" s="1352">
        <f t="shared" si="40"/>
        <v>0</v>
      </c>
      <c r="CJ732" s="1353"/>
      <c r="CK732" s="1355">
        <f t="shared" si="18"/>
        <v>1</v>
      </c>
      <c r="CL732" s="1356"/>
      <c r="CM732" s="1352">
        <f t="shared" si="19"/>
        <v>2</v>
      </c>
      <c r="CN732" s="1353"/>
      <c r="CO732" s="3"/>
      <c r="CP732" s="1341">
        <f t="shared" si="20"/>
        <v>0</v>
      </c>
      <c r="CQ732" s="1342"/>
      <c r="CR732" s="1342"/>
      <c r="CS732" s="1342"/>
      <c r="CT732" s="1343"/>
      <c r="CU732" s="1354">
        <f t="shared" si="21"/>
        <v>0</v>
      </c>
      <c r="CV732" s="1354"/>
      <c r="CW732" s="1354"/>
      <c r="CX732" s="1354"/>
      <c r="CY732" s="1354"/>
      <c r="CZ732" s="1354">
        <f t="shared" si="22"/>
        <v>0</v>
      </c>
      <c r="DA732" s="1354"/>
      <c r="DB732" s="1354"/>
      <c r="DC732" s="1354"/>
      <c r="DD732" s="1354"/>
      <c r="DE732" s="1354">
        <f t="shared" si="23"/>
        <v>2</v>
      </c>
      <c r="DF732" s="1354"/>
      <c r="DG732" s="1354"/>
      <c r="DH732" s="1354"/>
      <c r="DI732" s="1354"/>
      <c r="DJ732" s="1354">
        <f t="shared" si="24"/>
        <v>0</v>
      </c>
      <c r="DK732" s="1354"/>
      <c r="DL732" s="1354"/>
      <c r="DM732" s="1354"/>
      <c r="DN732" s="1354"/>
      <c r="DO732" s="1354">
        <f t="shared" si="25"/>
        <v>0</v>
      </c>
      <c r="DP732" s="1354"/>
      <c r="DQ732" s="1354"/>
      <c r="DR732" s="1354"/>
      <c r="DS732" s="1354"/>
      <c r="DT732" s="6"/>
      <c r="DU732" s="1394">
        <f t="shared" si="26"/>
        <v>0</v>
      </c>
      <c r="DV732" s="1394"/>
      <c r="DW732" s="1394"/>
      <c r="DX732" s="1394"/>
      <c r="DY732" s="1394"/>
      <c r="DZ732" s="1394">
        <f t="shared" si="27"/>
        <v>0</v>
      </c>
      <c r="EA732" s="1394"/>
      <c r="EB732" s="1394"/>
      <c r="EC732" s="1394"/>
      <c r="ED732" s="1394"/>
      <c r="EE732" s="1394">
        <f t="shared" si="28"/>
        <v>0</v>
      </c>
      <c r="EF732" s="1394"/>
      <c r="EG732" s="1394"/>
      <c r="EH732" s="1394"/>
      <c r="EI732" s="1394"/>
      <c r="EJ732" s="1394">
        <f t="shared" si="29"/>
        <v>2</v>
      </c>
      <c r="EK732" s="1394"/>
      <c r="EL732" s="1394"/>
      <c r="EM732" s="1394"/>
      <c r="EN732" s="1394"/>
      <c r="EO732" s="1394">
        <f t="shared" si="30"/>
        <v>0</v>
      </c>
      <c r="EP732" s="1394"/>
      <c r="EQ732" s="1394"/>
      <c r="ER732" s="1394"/>
      <c r="ES732" s="1394"/>
      <c r="ET732" s="1394">
        <f t="shared" si="31"/>
        <v>0</v>
      </c>
      <c r="EU732" s="1394"/>
      <c r="EV732" s="1394"/>
      <c r="EW732" s="1394"/>
      <c r="EX732" s="1394"/>
      <c r="EZ732" s="1355" t="str">
        <f t="shared" si="32"/>
        <v/>
      </c>
      <c r="FA732" s="1372"/>
      <c r="FB732" s="1372"/>
      <c r="FC732" s="1372"/>
      <c r="FD732" s="1356"/>
      <c r="FE732" s="1355" t="str">
        <f t="shared" si="33"/>
        <v/>
      </c>
      <c r="FF732" s="1372"/>
      <c r="FG732" s="1372"/>
      <c r="FH732" s="1372"/>
      <c r="FI732" s="1356"/>
      <c r="FJ732" s="1355" t="str">
        <f t="shared" si="34"/>
        <v/>
      </c>
      <c r="FK732" s="1372"/>
      <c r="FL732" s="1372"/>
      <c r="FM732" s="1372"/>
      <c r="FN732" s="1356"/>
      <c r="FO732" s="1355">
        <f t="shared" si="35"/>
        <v>585</v>
      </c>
      <c r="FP732" s="1372"/>
      <c r="FQ732" s="1372"/>
      <c r="FR732" s="1372"/>
      <c r="FS732" s="1356"/>
      <c r="FT732" s="1355" t="str">
        <f t="shared" si="36"/>
        <v/>
      </c>
      <c r="FU732" s="1372"/>
      <c r="FV732" s="1372"/>
      <c r="FW732" s="1372"/>
      <c r="FX732" s="1356"/>
      <c r="FY732" s="1355" t="str">
        <f t="shared" si="37"/>
        <v/>
      </c>
      <c r="FZ732" s="1372"/>
      <c r="GA732" s="1372"/>
      <c r="GB732" s="1372"/>
      <c r="GC732" s="1356"/>
    </row>
    <row r="733" spans="1:185" ht="12.95" customHeight="1">
      <c r="B733" s="1399" t="s">
        <v>164</v>
      </c>
      <c r="C733" s="1400"/>
      <c r="D733" s="1400"/>
      <c r="E733" s="1400"/>
      <c r="F733" s="1401"/>
      <c r="G733" s="1396">
        <v>2</v>
      </c>
      <c r="H733" s="1397"/>
      <c r="I733" s="1397"/>
      <c r="J733" s="1398"/>
      <c r="K733" s="1349">
        <v>1199</v>
      </c>
      <c r="L733" s="1350"/>
      <c r="M733" s="1350"/>
      <c r="N733" s="1351"/>
      <c r="O733" s="1358">
        <v>613</v>
      </c>
      <c r="P733" s="1359"/>
      <c r="Q733" s="1359"/>
      <c r="R733" s="1359"/>
      <c r="S733" s="1360"/>
      <c r="T733" s="1358">
        <v>183</v>
      </c>
      <c r="U733" s="1359"/>
      <c r="V733" s="1359"/>
      <c r="W733" s="1360"/>
      <c r="X733" s="1383">
        <f t="shared" si="10"/>
        <v>796</v>
      </c>
      <c r="Y733" s="1384"/>
      <c r="Z733" s="1384"/>
      <c r="AA733" s="1384"/>
      <c r="AB733" s="1385"/>
      <c r="AC733" s="1485">
        <v>0.3</v>
      </c>
      <c r="AD733" s="1486"/>
      <c r="AE733" s="1486"/>
      <c r="AF733" s="1486"/>
      <c r="AG733" s="1487"/>
      <c r="AH733" s="1386">
        <f t="shared" si="38"/>
        <v>0.30015082956259426</v>
      </c>
      <c r="AI733" s="1387"/>
      <c r="AJ733" s="1388"/>
      <c r="AK733" s="1389" t="s">
        <v>591</v>
      </c>
      <c r="AL733" s="1390"/>
      <c r="AM733" s="1390"/>
      <c r="AN733" s="1390"/>
      <c r="AO733" s="1391"/>
      <c r="AP733" s="3"/>
      <c r="AQ733" s="3"/>
      <c r="AR733" s="3"/>
      <c r="AS733" s="3"/>
      <c r="AY733" s="1080"/>
      <c r="AZ733" s="118">
        <f t="shared" si="11"/>
        <v>2652</v>
      </c>
      <c r="BA733" s="3"/>
      <c r="BB733" s="3"/>
      <c r="BC733" s="3"/>
      <c r="BD733" s="3"/>
      <c r="BE733" s="204"/>
      <c r="BF733" s="294">
        <f t="shared" si="12"/>
        <v>2</v>
      </c>
      <c r="BG733" s="297">
        <f t="shared" si="13"/>
        <v>2.5974025974025976E-2</v>
      </c>
      <c r="BH733" s="298">
        <f t="shared" si="14"/>
        <v>7.7922077922077922E-3</v>
      </c>
      <c r="BI733" s="3"/>
      <c r="BJ733" s="3"/>
      <c r="BK733" s="3"/>
      <c r="BL733" s="3"/>
      <c r="BM733" s="3"/>
      <c r="BN733" s="3"/>
      <c r="BS733" s="294">
        <f t="shared" si="15"/>
        <v>2</v>
      </c>
      <c r="BT733" s="297">
        <f t="shared" si="16"/>
        <v>2.5974025974025976E-2</v>
      </c>
      <c r="BU733" s="298">
        <f t="shared" si="17"/>
        <v>7.7961254431842672E-3</v>
      </c>
      <c r="BV733" s="292"/>
      <c r="BW733" s="3"/>
      <c r="BX733" s="3"/>
      <c r="BY733" s="3"/>
      <c r="BZ733" s="3"/>
      <c r="CA733" s="3"/>
      <c r="CB733" s="3"/>
      <c r="CC733" s="3"/>
      <c r="CE733" s="3"/>
      <c r="CF733" s="3"/>
      <c r="CG733" s="1355">
        <f t="shared" si="39"/>
        <v>0</v>
      </c>
      <c r="CH733" s="1356"/>
      <c r="CI733" s="1352">
        <f t="shared" si="40"/>
        <v>0</v>
      </c>
      <c r="CJ733" s="1353"/>
      <c r="CK733" s="1355">
        <f t="shared" si="18"/>
        <v>1</v>
      </c>
      <c r="CL733" s="1356"/>
      <c r="CM733" s="1352">
        <f t="shared" si="19"/>
        <v>2</v>
      </c>
      <c r="CN733" s="1353"/>
      <c r="CO733" s="3"/>
      <c r="CP733" s="1341">
        <f t="shared" si="20"/>
        <v>0</v>
      </c>
      <c r="CQ733" s="1342"/>
      <c r="CR733" s="1342"/>
      <c r="CS733" s="1342"/>
      <c r="CT733" s="1343"/>
      <c r="CU733" s="1354">
        <f t="shared" si="21"/>
        <v>0</v>
      </c>
      <c r="CV733" s="1354"/>
      <c r="CW733" s="1354"/>
      <c r="CX733" s="1354"/>
      <c r="CY733" s="1354"/>
      <c r="CZ733" s="1354">
        <f t="shared" si="22"/>
        <v>0</v>
      </c>
      <c r="DA733" s="1354"/>
      <c r="DB733" s="1354"/>
      <c r="DC733" s="1354"/>
      <c r="DD733" s="1354"/>
      <c r="DE733" s="1354">
        <f t="shared" si="23"/>
        <v>2</v>
      </c>
      <c r="DF733" s="1354"/>
      <c r="DG733" s="1354"/>
      <c r="DH733" s="1354"/>
      <c r="DI733" s="1354"/>
      <c r="DJ733" s="1354">
        <f t="shared" si="24"/>
        <v>0</v>
      </c>
      <c r="DK733" s="1354"/>
      <c r="DL733" s="1354"/>
      <c r="DM733" s="1354"/>
      <c r="DN733" s="1354"/>
      <c r="DO733" s="1354">
        <f t="shared" si="25"/>
        <v>0</v>
      </c>
      <c r="DP733" s="1354"/>
      <c r="DQ733" s="1354"/>
      <c r="DR733" s="1354"/>
      <c r="DS733" s="1354"/>
      <c r="DT733" s="6"/>
      <c r="DU733" s="1394">
        <f t="shared" si="26"/>
        <v>0</v>
      </c>
      <c r="DV733" s="1394"/>
      <c r="DW733" s="1394"/>
      <c r="DX733" s="1394"/>
      <c r="DY733" s="1394"/>
      <c r="DZ733" s="1394">
        <f t="shared" si="27"/>
        <v>0</v>
      </c>
      <c r="EA733" s="1394"/>
      <c r="EB733" s="1394"/>
      <c r="EC733" s="1394"/>
      <c r="ED733" s="1394"/>
      <c r="EE733" s="1394">
        <f t="shared" si="28"/>
        <v>0</v>
      </c>
      <c r="EF733" s="1394"/>
      <c r="EG733" s="1394"/>
      <c r="EH733" s="1394"/>
      <c r="EI733" s="1394"/>
      <c r="EJ733" s="1394">
        <f t="shared" si="29"/>
        <v>2</v>
      </c>
      <c r="EK733" s="1394"/>
      <c r="EL733" s="1394"/>
      <c r="EM733" s="1394"/>
      <c r="EN733" s="1394"/>
      <c r="EO733" s="1394">
        <f t="shared" si="30"/>
        <v>0</v>
      </c>
      <c r="EP733" s="1394"/>
      <c r="EQ733" s="1394"/>
      <c r="ER733" s="1394"/>
      <c r="ES733" s="1394"/>
      <c r="ET733" s="1394">
        <f t="shared" si="31"/>
        <v>0</v>
      </c>
      <c r="EU733" s="1394"/>
      <c r="EV733" s="1394"/>
      <c r="EW733" s="1394"/>
      <c r="EX733" s="1394"/>
      <c r="EZ733" s="1355" t="str">
        <f t="shared" si="32"/>
        <v/>
      </c>
      <c r="FA733" s="1372"/>
      <c r="FB733" s="1372"/>
      <c r="FC733" s="1372"/>
      <c r="FD733" s="1356"/>
      <c r="FE733" s="1355" t="str">
        <f t="shared" si="33"/>
        <v/>
      </c>
      <c r="FF733" s="1372"/>
      <c r="FG733" s="1372"/>
      <c r="FH733" s="1372"/>
      <c r="FI733" s="1356"/>
      <c r="FJ733" s="1355" t="str">
        <f t="shared" si="34"/>
        <v/>
      </c>
      <c r="FK733" s="1372"/>
      <c r="FL733" s="1372"/>
      <c r="FM733" s="1372"/>
      <c r="FN733" s="1356"/>
      <c r="FO733" s="1355">
        <f t="shared" si="35"/>
        <v>613</v>
      </c>
      <c r="FP733" s="1372"/>
      <c r="FQ733" s="1372"/>
      <c r="FR733" s="1372"/>
      <c r="FS733" s="1356"/>
      <c r="FT733" s="1355" t="str">
        <f t="shared" si="36"/>
        <v/>
      </c>
      <c r="FU733" s="1372"/>
      <c r="FV733" s="1372"/>
      <c r="FW733" s="1372"/>
      <c r="FX733" s="1356"/>
      <c r="FY733" s="1355" t="str">
        <f t="shared" si="37"/>
        <v/>
      </c>
      <c r="FZ733" s="1372"/>
      <c r="GA733" s="1372"/>
      <c r="GB733" s="1372"/>
      <c r="GC733" s="1356"/>
    </row>
    <row r="734" spans="1:185" ht="12.95" customHeight="1">
      <c r="B734" s="1399" t="s">
        <v>164</v>
      </c>
      <c r="C734" s="1400"/>
      <c r="D734" s="1400"/>
      <c r="E734" s="1400"/>
      <c r="F734" s="1401"/>
      <c r="G734" s="1396">
        <v>2</v>
      </c>
      <c r="H734" s="1397"/>
      <c r="I734" s="1397"/>
      <c r="J734" s="1398"/>
      <c r="K734" s="1349">
        <v>1200</v>
      </c>
      <c r="L734" s="1350"/>
      <c r="M734" s="1350"/>
      <c r="N734" s="1351"/>
      <c r="O734" s="1358">
        <v>1052</v>
      </c>
      <c r="P734" s="1359"/>
      <c r="Q734" s="1359"/>
      <c r="R734" s="1359"/>
      <c r="S734" s="1360"/>
      <c r="T734" s="1358">
        <v>211</v>
      </c>
      <c r="U734" s="1359"/>
      <c r="V734" s="1359"/>
      <c r="W734" s="1360"/>
      <c r="X734" s="1383">
        <f t="shared" si="10"/>
        <v>1263</v>
      </c>
      <c r="Y734" s="1384"/>
      <c r="Z734" s="1384"/>
      <c r="AA734" s="1384"/>
      <c r="AB734" s="1385"/>
      <c r="AC734" s="1485">
        <v>0.5</v>
      </c>
      <c r="AD734" s="1486"/>
      <c r="AE734" s="1486"/>
      <c r="AF734" s="1486"/>
      <c r="AG734" s="1487"/>
      <c r="AH734" s="1386">
        <f t="shared" si="38"/>
        <v>0.47624434389140269</v>
      </c>
      <c r="AI734" s="1387"/>
      <c r="AJ734" s="1388"/>
      <c r="AK734" s="1389" t="s">
        <v>591</v>
      </c>
      <c r="AL734" s="1390"/>
      <c r="AM734" s="1390"/>
      <c r="AN734" s="1390"/>
      <c r="AO734" s="1391"/>
      <c r="AP734" s="3"/>
      <c r="AQ734" s="3"/>
      <c r="AR734" s="3"/>
      <c r="AS734" s="3"/>
      <c r="AY734" s="1080"/>
      <c r="AZ734" s="118">
        <f t="shared" si="11"/>
        <v>2652</v>
      </c>
      <c r="BA734" s="3"/>
      <c r="BB734" s="3"/>
      <c r="BC734" s="3"/>
      <c r="BD734" s="3"/>
      <c r="BE734" s="204"/>
      <c r="BF734" s="294">
        <f t="shared" si="12"/>
        <v>2</v>
      </c>
      <c r="BG734" s="297">
        <f t="shared" si="13"/>
        <v>2.5974025974025976E-2</v>
      </c>
      <c r="BH734" s="298">
        <f t="shared" si="14"/>
        <v>1.2987012987012988E-2</v>
      </c>
      <c r="BI734" s="3"/>
      <c r="BJ734" s="3"/>
      <c r="BK734" s="3"/>
      <c r="BL734" s="3"/>
      <c r="BM734" s="3"/>
      <c r="BN734" s="3"/>
      <c r="BS734" s="294">
        <f t="shared" si="15"/>
        <v>2</v>
      </c>
      <c r="BT734" s="297">
        <f t="shared" si="16"/>
        <v>2.5974025974025976E-2</v>
      </c>
      <c r="BU734" s="298">
        <f t="shared" si="17"/>
        <v>1.2369982958218253E-2</v>
      </c>
      <c r="BV734" s="3"/>
      <c r="BW734" s="3"/>
      <c r="BX734" s="3"/>
      <c r="BY734" s="3"/>
      <c r="BZ734" s="3"/>
      <c r="CA734" s="3"/>
      <c r="CB734" s="3"/>
      <c r="CC734" s="3"/>
      <c r="CE734" s="3"/>
      <c r="CF734" s="3"/>
      <c r="CG734" s="1355">
        <f t="shared" si="39"/>
        <v>1</v>
      </c>
      <c r="CH734" s="1356"/>
      <c r="CI734" s="1352">
        <f t="shared" si="40"/>
        <v>2</v>
      </c>
      <c r="CJ734" s="1353"/>
      <c r="CK734" s="1355">
        <f t="shared" si="18"/>
        <v>0</v>
      </c>
      <c r="CL734" s="1356"/>
      <c r="CM734" s="1352">
        <f t="shared" si="19"/>
        <v>0</v>
      </c>
      <c r="CN734" s="1353"/>
      <c r="CO734" s="3"/>
      <c r="CP734" s="1341">
        <f t="shared" si="20"/>
        <v>0</v>
      </c>
      <c r="CQ734" s="1342"/>
      <c r="CR734" s="1342"/>
      <c r="CS734" s="1342"/>
      <c r="CT734" s="1343"/>
      <c r="CU734" s="1354">
        <f t="shared" si="21"/>
        <v>0</v>
      </c>
      <c r="CV734" s="1354"/>
      <c r="CW734" s="1354"/>
      <c r="CX734" s="1354"/>
      <c r="CY734" s="1354"/>
      <c r="CZ734" s="1354">
        <f t="shared" si="22"/>
        <v>0</v>
      </c>
      <c r="DA734" s="1354"/>
      <c r="DB734" s="1354"/>
      <c r="DC734" s="1354"/>
      <c r="DD734" s="1354"/>
      <c r="DE734" s="1354">
        <f t="shared" si="23"/>
        <v>2</v>
      </c>
      <c r="DF734" s="1354"/>
      <c r="DG734" s="1354"/>
      <c r="DH734" s="1354"/>
      <c r="DI734" s="1354"/>
      <c r="DJ734" s="1354">
        <f t="shared" si="24"/>
        <v>0</v>
      </c>
      <c r="DK734" s="1354"/>
      <c r="DL734" s="1354"/>
      <c r="DM734" s="1354"/>
      <c r="DN734" s="1354"/>
      <c r="DO734" s="1354">
        <f t="shared" si="25"/>
        <v>0</v>
      </c>
      <c r="DP734" s="1354"/>
      <c r="DQ734" s="1354"/>
      <c r="DR734" s="1354"/>
      <c r="DS734" s="1354"/>
      <c r="DT734" s="6"/>
      <c r="DU734" s="1394">
        <f t="shared" si="26"/>
        <v>0</v>
      </c>
      <c r="DV734" s="1394"/>
      <c r="DW734" s="1394"/>
      <c r="DX734" s="1394"/>
      <c r="DY734" s="1394"/>
      <c r="DZ734" s="1394">
        <f t="shared" si="27"/>
        <v>0</v>
      </c>
      <c r="EA734" s="1394"/>
      <c r="EB734" s="1394"/>
      <c r="EC734" s="1394"/>
      <c r="ED734" s="1394"/>
      <c r="EE734" s="1394">
        <f t="shared" si="28"/>
        <v>0</v>
      </c>
      <c r="EF734" s="1394"/>
      <c r="EG734" s="1394"/>
      <c r="EH734" s="1394"/>
      <c r="EI734" s="1394"/>
      <c r="EJ734" s="1394">
        <f t="shared" si="29"/>
        <v>0</v>
      </c>
      <c r="EK734" s="1394"/>
      <c r="EL734" s="1394"/>
      <c r="EM734" s="1394"/>
      <c r="EN734" s="1394"/>
      <c r="EO734" s="1394">
        <f t="shared" si="30"/>
        <v>0</v>
      </c>
      <c r="EP734" s="1394"/>
      <c r="EQ734" s="1394"/>
      <c r="ER734" s="1394"/>
      <c r="ES734" s="1394"/>
      <c r="ET734" s="1394">
        <f t="shared" si="31"/>
        <v>0</v>
      </c>
      <c r="EU734" s="1394"/>
      <c r="EV734" s="1394"/>
      <c r="EW734" s="1394"/>
      <c r="EX734" s="1394"/>
      <c r="EY734" s="4"/>
      <c r="EZ734" s="1355" t="str">
        <f t="shared" si="32"/>
        <v/>
      </c>
      <c r="FA734" s="1372"/>
      <c r="FB734" s="1372"/>
      <c r="FC734" s="1372"/>
      <c r="FD734" s="1356"/>
      <c r="FE734" s="1355" t="str">
        <f t="shared" si="33"/>
        <v/>
      </c>
      <c r="FF734" s="1372"/>
      <c r="FG734" s="1372"/>
      <c r="FH734" s="1372"/>
      <c r="FI734" s="1356"/>
      <c r="FJ734" s="1355" t="str">
        <f t="shared" si="34"/>
        <v/>
      </c>
      <c r="FK734" s="1372"/>
      <c r="FL734" s="1372"/>
      <c r="FM734" s="1372"/>
      <c r="FN734" s="1356"/>
      <c r="FO734" s="1355">
        <f t="shared" si="35"/>
        <v>1052</v>
      </c>
      <c r="FP734" s="1372"/>
      <c r="FQ734" s="1372"/>
      <c r="FR734" s="1372"/>
      <c r="FS734" s="1356"/>
      <c r="FT734" s="1355" t="str">
        <f t="shared" si="36"/>
        <v/>
      </c>
      <c r="FU734" s="1372"/>
      <c r="FV734" s="1372"/>
      <c r="FW734" s="1372"/>
      <c r="FX734" s="1356"/>
      <c r="FY734" s="1355" t="str">
        <f t="shared" si="37"/>
        <v/>
      </c>
      <c r="FZ734" s="1372"/>
      <c r="GA734" s="1372"/>
      <c r="GB734" s="1372"/>
      <c r="GC734" s="1356"/>
    </row>
    <row r="735" spans="1:185" ht="12.95" customHeight="1">
      <c r="A735" s="4"/>
      <c r="B735" s="1399" t="s">
        <v>164</v>
      </c>
      <c r="C735" s="1400"/>
      <c r="D735" s="1400"/>
      <c r="E735" s="1400"/>
      <c r="F735" s="1401"/>
      <c r="G735" s="1396">
        <v>2</v>
      </c>
      <c r="H735" s="1397"/>
      <c r="I735" s="1397"/>
      <c r="J735" s="1398"/>
      <c r="K735" s="1349">
        <v>1199</v>
      </c>
      <c r="L735" s="1350"/>
      <c r="M735" s="1350"/>
      <c r="N735" s="1351"/>
      <c r="O735" s="1358">
        <v>1084</v>
      </c>
      <c r="P735" s="1359"/>
      <c r="Q735" s="1359"/>
      <c r="R735" s="1359"/>
      <c r="S735" s="1360"/>
      <c r="T735" s="1358">
        <v>183</v>
      </c>
      <c r="U735" s="1359"/>
      <c r="V735" s="1359"/>
      <c r="W735" s="1360"/>
      <c r="X735" s="1383">
        <f t="shared" si="10"/>
        <v>1267</v>
      </c>
      <c r="Y735" s="1384"/>
      <c r="Z735" s="1384"/>
      <c r="AA735" s="1384"/>
      <c r="AB735" s="1385"/>
      <c r="AC735" s="1485">
        <v>0.5</v>
      </c>
      <c r="AD735" s="1486"/>
      <c r="AE735" s="1486"/>
      <c r="AF735" s="1486"/>
      <c r="AG735" s="1487"/>
      <c r="AH735" s="1386">
        <f t="shared" si="38"/>
        <v>0.47775263951734542</v>
      </c>
      <c r="AI735" s="1387"/>
      <c r="AJ735" s="1388"/>
      <c r="AK735" s="1389" t="s">
        <v>591</v>
      </c>
      <c r="AL735" s="1390"/>
      <c r="AM735" s="1390"/>
      <c r="AN735" s="1390"/>
      <c r="AO735" s="1391"/>
      <c r="AP735" s="3"/>
      <c r="AQ735" s="3"/>
      <c r="AR735" s="3"/>
      <c r="AS735" s="3"/>
      <c r="AY735" s="1080"/>
      <c r="AZ735" s="118">
        <f t="shared" si="11"/>
        <v>2652</v>
      </c>
      <c r="BA735" s="3"/>
      <c r="BB735" s="3"/>
      <c r="BC735" s="3"/>
      <c r="BD735" s="3"/>
      <c r="BE735" s="204"/>
      <c r="BF735" s="294">
        <f t="shared" si="12"/>
        <v>2</v>
      </c>
      <c r="BG735" s="297">
        <f t="shared" si="13"/>
        <v>2.5974025974025976E-2</v>
      </c>
      <c r="BH735" s="298">
        <f t="shared" si="14"/>
        <v>1.2987012987012988E-2</v>
      </c>
      <c r="BI735" s="3"/>
      <c r="BJ735" s="3"/>
      <c r="BK735" s="3"/>
      <c r="BL735" s="3"/>
      <c r="BM735" s="3"/>
      <c r="BN735" s="3"/>
      <c r="BS735" s="294">
        <f t="shared" si="15"/>
        <v>2</v>
      </c>
      <c r="BT735" s="297">
        <f t="shared" si="16"/>
        <v>2.5974025974025976E-2</v>
      </c>
      <c r="BU735" s="298">
        <f t="shared" si="17"/>
        <v>1.2409159467982999E-2</v>
      </c>
      <c r="BV735" s="3"/>
      <c r="BW735" s="3"/>
      <c r="BX735" s="3"/>
      <c r="BY735" s="3"/>
      <c r="BZ735" s="3"/>
      <c r="CA735" s="3"/>
      <c r="CB735" s="3"/>
      <c r="CC735" s="3"/>
      <c r="CE735" s="3"/>
      <c r="CF735" s="3"/>
      <c r="CG735" s="1355">
        <f t="shared" si="39"/>
        <v>1</v>
      </c>
      <c r="CH735" s="1356"/>
      <c r="CI735" s="1352">
        <f t="shared" si="40"/>
        <v>2</v>
      </c>
      <c r="CJ735" s="1353"/>
      <c r="CK735" s="1355">
        <f t="shared" si="18"/>
        <v>0</v>
      </c>
      <c r="CL735" s="1356"/>
      <c r="CM735" s="1352">
        <f t="shared" si="19"/>
        <v>0</v>
      </c>
      <c r="CN735" s="1353"/>
      <c r="CO735" s="3"/>
      <c r="CP735" s="1341">
        <f t="shared" si="20"/>
        <v>0</v>
      </c>
      <c r="CQ735" s="1342"/>
      <c r="CR735" s="1342"/>
      <c r="CS735" s="1342"/>
      <c r="CT735" s="1343"/>
      <c r="CU735" s="1354">
        <f t="shared" si="21"/>
        <v>0</v>
      </c>
      <c r="CV735" s="1354"/>
      <c r="CW735" s="1354"/>
      <c r="CX735" s="1354"/>
      <c r="CY735" s="1354"/>
      <c r="CZ735" s="1354">
        <f t="shared" si="22"/>
        <v>0</v>
      </c>
      <c r="DA735" s="1354"/>
      <c r="DB735" s="1354"/>
      <c r="DC735" s="1354"/>
      <c r="DD735" s="1354"/>
      <c r="DE735" s="1354">
        <f t="shared" si="23"/>
        <v>2</v>
      </c>
      <c r="DF735" s="1354"/>
      <c r="DG735" s="1354"/>
      <c r="DH735" s="1354"/>
      <c r="DI735" s="1354"/>
      <c r="DJ735" s="1354">
        <f t="shared" si="24"/>
        <v>0</v>
      </c>
      <c r="DK735" s="1354"/>
      <c r="DL735" s="1354"/>
      <c r="DM735" s="1354"/>
      <c r="DN735" s="1354"/>
      <c r="DO735" s="1354">
        <f t="shared" si="25"/>
        <v>0</v>
      </c>
      <c r="DP735" s="1354"/>
      <c r="DQ735" s="1354"/>
      <c r="DR735" s="1354"/>
      <c r="DS735" s="1354"/>
      <c r="DT735" s="6"/>
      <c r="DU735" s="1394">
        <f t="shared" si="26"/>
        <v>0</v>
      </c>
      <c r="DV735" s="1394"/>
      <c r="DW735" s="1394"/>
      <c r="DX735" s="1394"/>
      <c r="DY735" s="1394"/>
      <c r="DZ735" s="1394">
        <f t="shared" si="27"/>
        <v>0</v>
      </c>
      <c r="EA735" s="1394"/>
      <c r="EB735" s="1394"/>
      <c r="EC735" s="1394"/>
      <c r="ED735" s="1394"/>
      <c r="EE735" s="1394">
        <f t="shared" si="28"/>
        <v>0</v>
      </c>
      <c r="EF735" s="1394"/>
      <c r="EG735" s="1394"/>
      <c r="EH735" s="1394"/>
      <c r="EI735" s="1394"/>
      <c r="EJ735" s="1394">
        <f t="shared" si="29"/>
        <v>0</v>
      </c>
      <c r="EK735" s="1394"/>
      <c r="EL735" s="1394"/>
      <c r="EM735" s="1394"/>
      <c r="EN735" s="1394"/>
      <c r="EO735" s="1394">
        <f t="shared" si="30"/>
        <v>0</v>
      </c>
      <c r="EP735" s="1394"/>
      <c r="EQ735" s="1394"/>
      <c r="ER735" s="1394"/>
      <c r="ES735" s="1394"/>
      <c r="ET735" s="1394">
        <f t="shared" si="31"/>
        <v>0</v>
      </c>
      <c r="EU735" s="1394"/>
      <c r="EV735" s="1394"/>
      <c r="EW735" s="1394"/>
      <c r="EX735" s="1394"/>
      <c r="EY735" s="4"/>
      <c r="EZ735" s="1355" t="str">
        <f t="shared" si="32"/>
        <v/>
      </c>
      <c r="FA735" s="1372"/>
      <c r="FB735" s="1372"/>
      <c r="FC735" s="1372"/>
      <c r="FD735" s="1356"/>
      <c r="FE735" s="1355" t="str">
        <f t="shared" si="33"/>
        <v/>
      </c>
      <c r="FF735" s="1372"/>
      <c r="FG735" s="1372"/>
      <c r="FH735" s="1372"/>
      <c r="FI735" s="1356"/>
      <c r="FJ735" s="1355" t="str">
        <f t="shared" si="34"/>
        <v/>
      </c>
      <c r="FK735" s="1372"/>
      <c r="FL735" s="1372"/>
      <c r="FM735" s="1372"/>
      <c r="FN735" s="1356"/>
      <c r="FO735" s="1355">
        <f t="shared" si="35"/>
        <v>1084</v>
      </c>
      <c r="FP735" s="1372"/>
      <c r="FQ735" s="1372"/>
      <c r="FR735" s="1372"/>
      <c r="FS735" s="1356"/>
      <c r="FT735" s="1355" t="str">
        <f t="shared" si="36"/>
        <v/>
      </c>
      <c r="FU735" s="1372"/>
      <c r="FV735" s="1372"/>
      <c r="FW735" s="1372"/>
      <c r="FX735" s="1356"/>
      <c r="FY735" s="1355" t="str">
        <f t="shared" si="37"/>
        <v/>
      </c>
      <c r="FZ735" s="1372"/>
      <c r="GA735" s="1372"/>
      <c r="GB735" s="1372"/>
      <c r="GC735" s="1356"/>
    </row>
    <row r="736" spans="1:185" ht="12.95" customHeight="1">
      <c r="A736" s="4"/>
      <c r="B736" s="1399" t="s">
        <v>164</v>
      </c>
      <c r="C736" s="1400"/>
      <c r="D736" s="1400"/>
      <c r="E736" s="1400"/>
      <c r="F736" s="1401"/>
      <c r="G736" s="1396">
        <v>16</v>
      </c>
      <c r="H736" s="1397"/>
      <c r="I736" s="1397"/>
      <c r="J736" s="1398"/>
      <c r="K736" s="1349">
        <v>1200</v>
      </c>
      <c r="L736" s="1350"/>
      <c r="M736" s="1350"/>
      <c r="N736" s="1351"/>
      <c r="O736" s="1358">
        <v>1307</v>
      </c>
      <c r="P736" s="1359"/>
      <c r="Q736" s="1359"/>
      <c r="R736" s="1359"/>
      <c r="S736" s="1360"/>
      <c r="T736" s="1358">
        <v>211</v>
      </c>
      <c r="U736" s="1359"/>
      <c r="V736" s="1359"/>
      <c r="W736" s="1360"/>
      <c r="X736" s="1383">
        <f t="shared" si="10"/>
        <v>1518</v>
      </c>
      <c r="Y736" s="1384"/>
      <c r="Z736" s="1384"/>
      <c r="AA736" s="1384"/>
      <c r="AB736" s="1385"/>
      <c r="AC736" s="1485">
        <v>0.6</v>
      </c>
      <c r="AD736" s="1486"/>
      <c r="AE736" s="1486"/>
      <c r="AF736" s="1486"/>
      <c r="AG736" s="1487"/>
      <c r="AH736" s="1386">
        <f t="shared" si="38"/>
        <v>0.57239819004524883</v>
      </c>
      <c r="AI736" s="1387"/>
      <c r="AJ736" s="1388"/>
      <c r="AK736" s="1389" t="s">
        <v>591</v>
      </c>
      <c r="AL736" s="1390"/>
      <c r="AM736" s="1390"/>
      <c r="AN736" s="1390"/>
      <c r="AO736" s="1391"/>
      <c r="AP736" s="3"/>
      <c r="AQ736" s="3"/>
      <c r="AR736" s="3"/>
      <c r="AS736" s="3"/>
      <c r="AY736" s="1080"/>
      <c r="AZ736" s="118">
        <f t="shared" si="11"/>
        <v>2652</v>
      </c>
      <c r="BA736" s="3"/>
      <c r="BB736" s="3"/>
      <c r="BC736" s="3"/>
      <c r="BD736" s="3"/>
      <c r="BE736" s="204"/>
      <c r="BF736" s="294">
        <f t="shared" si="12"/>
        <v>16</v>
      </c>
      <c r="BG736" s="297">
        <f t="shared" si="13"/>
        <v>0.20779220779220781</v>
      </c>
      <c r="BH736" s="298">
        <f t="shared" si="14"/>
        <v>0.12467532467532468</v>
      </c>
      <c r="BI736" s="3"/>
      <c r="BJ736" s="3"/>
      <c r="BK736" s="3"/>
      <c r="BL736" s="3"/>
      <c r="BM736" s="3"/>
      <c r="BN736" s="3"/>
      <c r="BS736" s="294">
        <f t="shared" si="15"/>
        <v>16</v>
      </c>
      <c r="BT736" s="297">
        <f t="shared" si="16"/>
        <v>0.20779220779220781</v>
      </c>
      <c r="BU736" s="298">
        <f t="shared" si="17"/>
        <v>0.11893988364576599</v>
      </c>
      <c r="BV736" s="3"/>
      <c r="BW736" s="3"/>
      <c r="BX736" s="3"/>
      <c r="BY736" s="3"/>
      <c r="BZ736" s="3"/>
      <c r="CA736" s="3"/>
      <c r="CB736" s="3"/>
      <c r="CC736" s="3"/>
      <c r="CE736" s="3"/>
      <c r="CF736" s="3"/>
      <c r="CG736" s="1355">
        <f t="shared" si="39"/>
        <v>0</v>
      </c>
      <c r="CH736" s="1356"/>
      <c r="CI736" s="1352">
        <f t="shared" si="40"/>
        <v>0</v>
      </c>
      <c r="CJ736" s="1353"/>
      <c r="CK736" s="1355">
        <f t="shared" si="18"/>
        <v>0</v>
      </c>
      <c r="CL736" s="1356"/>
      <c r="CM736" s="1352">
        <f t="shared" si="19"/>
        <v>0</v>
      </c>
      <c r="CN736" s="1353"/>
      <c r="CO736" s="3"/>
      <c r="CP736" s="1341">
        <f t="shared" si="20"/>
        <v>0</v>
      </c>
      <c r="CQ736" s="1342"/>
      <c r="CR736" s="1342"/>
      <c r="CS736" s="1342"/>
      <c r="CT736" s="1343"/>
      <c r="CU736" s="1354">
        <f t="shared" si="21"/>
        <v>0</v>
      </c>
      <c r="CV736" s="1354"/>
      <c r="CW736" s="1354"/>
      <c r="CX736" s="1354"/>
      <c r="CY736" s="1354"/>
      <c r="CZ736" s="1354">
        <f t="shared" si="22"/>
        <v>0</v>
      </c>
      <c r="DA736" s="1354"/>
      <c r="DB736" s="1354"/>
      <c r="DC736" s="1354"/>
      <c r="DD736" s="1354"/>
      <c r="DE736" s="1354">
        <f t="shared" si="23"/>
        <v>16</v>
      </c>
      <c r="DF736" s="1354"/>
      <c r="DG736" s="1354"/>
      <c r="DH736" s="1354"/>
      <c r="DI736" s="1354"/>
      <c r="DJ736" s="1354">
        <f t="shared" si="24"/>
        <v>0</v>
      </c>
      <c r="DK736" s="1354"/>
      <c r="DL736" s="1354"/>
      <c r="DM736" s="1354"/>
      <c r="DN736" s="1354"/>
      <c r="DO736" s="1354">
        <f t="shared" si="25"/>
        <v>0</v>
      </c>
      <c r="DP736" s="1354"/>
      <c r="DQ736" s="1354"/>
      <c r="DR736" s="1354"/>
      <c r="DS736" s="1354"/>
      <c r="DT736" s="6"/>
      <c r="DU736" s="1394">
        <f t="shared" si="26"/>
        <v>0</v>
      </c>
      <c r="DV736" s="1394"/>
      <c r="DW736" s="1394"/>
      <c r="DX736" s="1394"/>
      <c r="DY736" s="1394"/>
      <c r="DZ736" s="1394">
        <f t="shared" si="27"/>
        <v>0</v>
      </c>
      <c r="EA736" s="1394"/>
      <c r="EB736" s="1394"/>
      <c r="EC736" s="1394"/>
      <c r="ED736" s="1394"/>
      <c r="EE736" s="1394">
        <f t="shared" si="28"/>
        <v>0</v>
      </c>
      <c r="EF736" s="1394"/>
      <c r="EG736" s="1394"/>
      <c r="EH736" s="1394"/>
      <c r="EI736" s="1394"/>
      <c r="EJ736" s="1394">
        <f t="shared" si="29"/>
        <v>0</v>
      </c>
      <c r="EK736" s="1394"/>
      <c r="EL736" s="1394"/>
      <c r="EM736" s="1394"/>
      <c r="EN736" s="1394"/>
      <c r="EO736" s="1394">
        <f t="shared" si="30"/>
        <v>0</v>
      </c>
      <c r="EP736" s="1394"/>
      <c r="EQ736" s="1394"/>
      <c r="ER736" s="1394"/>
      <c r="ES736" s="1394"/>
      <c r="ET736" s="1394">
        <f t="shared" si="31"/>
        <v>0</v>
      </c>
      <c r="EU736" s="1394"/>
      <c r="EV736" s="1394"/>
      <c r="EW736" s="1394"/>
      <c r="EX736" s="1394"/>
      <c r="EY736" s="4"/>
      <c r="EZ736" s="1355" t="str">
        <f t="shared" si="32"/>
        <v/>
      </c>
      <c r="FA736" s="1372"/>
      <c r="FB736" s="1372"/>
      <c r="FC736" s="1372"/>
      <c r="FD736" s="1356"/>
      <c r="FE736" s="1355" t="str">
        <f t="shared" si="33"/>
        <v/>
      </c>
      <c r="FF736" s="1372"/>
      <c r="FG736" s="1372"/>
      <c r="FH736" s="1372"/>
      <c r="FI736" s="1356"/>
      <c r="FJ736" s="1355" t="str">
        <f t="shared" si="34"/>
        <v/>
      </c>
      <c r="FK736" s="1372"/>
      <c r="FL736" s="1372"/>
      <c r="FM736" s="1372"/>
      <c r="FN736" s="1356"/>
      <c r="FO736" s="1355">
        <f t="shared" si="35"/>
        <v>1307</v>
      </c>
      <c r="FP736" s="1372"/>
      <c r="FQ736" s="1372"/>
      <c r="FR736" s="1372"/>
      <c r="FS736" s="1356"/>
      <c r="FT736" s="1355" t="str">
        <f t="shared" si="36"/>
        <v/>
      </c>
      <c r="FU736" s="1372"/>
      <c r="FV736" s="1372"/>
      <c r="FW736" s="1372"/>
      <c r="FX736" s="1356"/>
      <c r="FY736" s="1355" t="str">
        <f t="shared" si="37"/>
        <v/>
      </c>
      <c r="FZ736" s="1372"/>
      <c r="GA736" s="1372"/>
      <c r="GB736" s="1372"/>
      <c r="GC736" s="1356"/>
    </row>
    <row r="737" spans="1:185" ht="12.95" customHeight="1">
      <c r="A737" s="4"/>
      <c r="B737" s="1399" t="s">
        <v>164</v>
      </c>
      <c r="C737" s="1400"/>
      <c r="D737" s="1400"/>
      <c r="E737" s="1400"/>
      <c r="F737" s="1401"/>
      <c r="G737" s="1396">
        <v>20</v>
      </c>
      <c r="H737" s="1397"/>
      <c r="I737" s="1397"/>
      <c r="J737" s="1398"/>
      <c r="K737" s="1349">
        <v>1199</v>
      </c>
      <c r="L737" s="1350"/>
      <c r="M737" s="1350"/>
      <c r="N737" s="1351"/>
      <c r="O737" s="1358">
        <v>1339</v>
      </c>
      <c r="P737" s="1359"/>
      <c r="Q737" s="1359"/>
      <c r="R737" s="1359"/>
      <c r="S737" s="1360"/>
      <c r="T737" s="1358">
        <v>183</v>
      </c>
      <c r="U737" s="1359"/>
      <c r="V737" s="1359"/>
      <c r="W737" s="1360"/>
      <c r="X737" s="1383">
        <f t="shared" si="10"/>
        <v>1522</v>
      </c>
      <c r="Y737" s="1384"/>
      <c r="Z737" s="1384"/>
      <c r="AA737" s="1384"/>
      <c r="AB737" s="1385"/>
      <c r="AC737" s="1485">
        <v>0.6</v>
      </c>
      <c r="AD737" s="1486"/>
      <c r="AE737" s="1486"/>
      <c r="AF737" s="1486"/>
      <c r="AG737" s="1487"/>
      <c r="AH737" s="1386">
        <f t="shared" si="38"/>
        <v>0.57390648567119151</v>
      </c>
      <c r="AI737" s="1387"/>
      <c r="AJ737" s="1388"/>
      <c r="AK737" s="1389" t="s">
        <v>591</v>
      </c>
      <c r="AL737" s="1390"/>
      <c r="AM737" s="1390"/>
      <c r="AN737" s="1390"/>
      <c r="AO737" s="1391"/>
      <c r="AP737" s="3"/>
      <c r="AQ737" s="3"/>
      <c r="AR737" s="3"/>
      <c r="AS737" s="3"/>
      <c r="AY737" s="1080"/>
      <c r="AZ737" s="118">
        <f t="shared" si="11"/>
        <v>2652</v>
      </c>
      <c r="BA737" s="3"/>
      <c r="BB737" s="3"/>
      <c r="BC737" s="3"/>
      <c r="BD737" s="3"/>
      <c r="BE737" s="204"/>
      <c r="BF737" s="294">
        <f t="shared" si="12"/>
        <v>20</v>
      </c>
      <c r="BG737" s="297">
        <f t="shared" si="13"/>
        <v>0.25974025974025972</v>
      </c>
      <c r="BH737" s="298">
        <f t="shared" si="14"/>
        <v>0.15584415584415581</v>
      </c>
      <c r="BI737" s="3"/>
      <c r="BJ737" s="3"/>
      <c r="BK737" s="3"/>
      <c r="BL737" s="3"/>
      <c r="BM737" s="3"/>
      <c r="BN737" s="3"/>
      <c r="BS737" s="294">
        <f t="shared" si="15"/>
        <v>20</v>
      </c>
      <c r="BT737" s="297">
        <f t="shared" si="16"/>
        <v>0.25974025974025972</v>
      </c>
      <c r="BU737" s="298">
        <f t="shared" si="17"/>
        <v>0.14906661965485493</v>
      </c>
      <c r="BV737" s="3"/>
      <c r="BW737" s="3"/>
      <c r="BX737" s="3"/>
      <c r="BY737" s="3"/>
      <c r="BZ737" s="3"/>
      <c r="CA737" s="3"/>
      <c r="CB737" s="3"/>
      <c r="CC737" s="3"/>
      <c r="CE737" s="3"/>
      <c r="CF737" s="3"/>
      <c r="CG737" s="1355">
        <f t="shared" si="39"/>
        <v>0</v>
      </c>
      <c r="CH737" s="1356"/>
      <c r="CI737" s="1352">
        <f t="shared" si="40"/>
        <v>0</v>
      </c>
      <c r="CJ737" s="1353"/>
      <c r="CK737" s="1355">
        <f t="shared" si="18"/>
        <v>0</v>
      </c>
      <c r="CL737" s="1356"/>
      <c r="CM737" s="1352">
        <f t="shared" si="19"/>
        <v>0</v>
      </c>
      <c r="CN737" s="1353"/>
      <c r="CO737" s="3"/>
      <c r="CP737" s="1341">
        <f t="shared" si="20"/>
        <v>0</v>
      </c>
      <c r="CQ737" s="1342"/>
      <c r="CR737" s="1342"/>
      <c r="CS737" s="1342"/>
      <c r="CT737" s="1343"/>
      <c r="CU737" s="1354">
        <f t="shared" si="21"/>
        <v>0</v>
      </c>
      <c r="CV737" s="1354"/>
      <c r="CW737" s="1354"/>
      <c r="CX737" s="1354"/>
      <c r="CY737" s="1354"/>
      <c r="CZ737" s="1354">
        <f t="shared" si="22"/>
        <v>0</v>
      </c>
      <c r="DA737" s="1354"/>
      <c r="DB737" s="1354"/>
      <c r="DC737" s="1354"/>
      <c r="DD737" s="1354"/>
      <c r="DE737" s="1354">
        <f t="shared" si="23"/>
        <v>20</v>
      </c>
      <c r="DF737" s="1354"/>
      <c r="DG737" s="1354"/>
      <c r="DH737" s="1354"/>
      <c r="DI737" s="1354"/>
      <c r="DJ737" s="1354">
        <f t="shared" si="24"/>
        <v>0</v>
      </c>
      <c r="DK737" s="1354"/>
      <c r="DL737" s="1354"/>
      <c r="DM737" s="1354"/>
      <c r="DN737" s="1354"/>
      <c r="DO737" s="1354">
        <f t="shared" si="25"/>
        <v>0</v>
      </c>
      <c r="DP737" s="1354"/>
      <c r="DQ737" s="1354"/>
      <c r="DR737" s="1354"/>
      <c r="DS737" s="1354"/>
      <c r="DT737" s="6"/>
      <c r="DU737" s="1394">
        <f t="shared" si="26"/>
        <v>0</v>
      </c>
      <c r="DV737" s="1394"/>
      <c r="DW737" s="1394"/>
      <c r="DX737" s="1394"/>
      <c r="DY737" s="1394"/>
      <c r="DZ737" s="1394">
        <f t="shared" si="27"/>
        <v>0</v>
      </c>
      <c r="EA737" s="1394"/>
      <c r="EB737" s="1394"/>
      <c r="EC737" s="1394"/>
      <c r="ED737" s="1394"/>
      <c r="EE737" s="1394">
        <f t="shared" si="28"/>
        <v>0</v>
      </c>
      <c r="EF737" s="1394"/>
      <c r="EG737" s="1394"/>
      <c r="EH737" s="1394"/>
      <c r="EI737" s="1394"/>
      <c r="EJ737" s="1394">
        <f t="shared" si="29"/>
        <v>0</v>
      </c>
      <c r="EK737" s="1394"/>
      <c r="EL737" s="1394"/>
      <c r="EM737" s="1394"/>
      <c r="EN737" s="1394"/>
      <c r="EO737" s="1394">
        <f t="shared" si="30"/>
        <v>0</v>
      </c>
      <c r="EP737" s="1394"/>
      <c r="EQ737" s="1394"/>
      <c r="ER737" s="1394"/>
      <c r="ES737" s="1394"/>
      <c r="ET737" s="1394">
        <f t="shared" si="31"/>
        <v>0</v>
      </c>
      <c r="EU737" s="1394"/>
      <c r="EV737" s="1394"/>
      <c r="EW737" s="1394"/>
      <c r="EX737" s="1394"/>
      <c r="EZ737" s="1355" t="str">
        <f t="shared" si="32"/>
        <v/>
      </c>
      <c r="FA737" s="1372"/>
      <c r="FB737" s="1372"/>
      <c r="FC737" s="1372"/>
      <c r="FD737" s="1356"/>
      <c r="FE737" s="1355" t="str">
        <f t="shared" si="33"/>
        <v/>
      </c>
      <c r="FF737" s="1372"/>
      <c r="FG737" s="1372"/>
      <c r="FH737" s="1372"/>
      <c r="FI737" s="1356"/>
      <c r="FJ737" s="1355" t="str">
        <f t="shared" si="34"/>
        <v/>
      </c>
      <c r="FK737" s="1372"/>
      <c r="FL737" s="1372"/>
      <c r="FM737" s="1372"/>
      <c r="FN737" s="1356"/>
      <c r="FO737" s="1355">
        <f t="shared" si="35"/>
        <v>1339</v>
      </c>
      <c r="FP737" s="1372"/>
      <c r="FQ737" s="1372"/>
      <c r="FR737" s="1372"/>
      <c r="FS737" s="1356"/>
      <c r="FT737" s="1355" t="str">
        <f t="shared" si="36"/>
        <v/>
      </c>
      <c r="FU737" s="1372"/>
      <c r="FV737" s="1372"/>
      <c r="FW737" s="1372"/>
      <c r="FX737" s="1356"/>
      <c r="FY737" s="1355" t="str">
        <f t="shared" si="37"/>
        <v/>
      </c>
      <c r="FZ737" s="1372"/>
      <c r="GA737" s="1372"/>
      <c r="GB737" s="1372"/>
      <c r="GC737" s="1356"/>
    </row>
    <row r="738" spans="1:185" ht="12.95" customHeight="1">
      <c r="B738" s="1389"/>
      <c r="C738" s="1390"/>
      <c r="D738" s="1390"/>
      <c r="E738" s="1390"/>
      <c r="F738" s="1391"/>
      <c r="G738" s="1380"/>
      <c r="H738" s="1381"/>
      <c r="I738" s="1381"/>
      <c r="J738" s="1382"/>
      <c r="K738" s="1349"/>
      <c r="L738" s="1350"/>
      <c r="M738" s="1350"/>
      <c r="N738" s="1351"/>
      <c r="O738" s="1377"/>
      <c r="P738" s="1378"/>
      <c r="Q738" s="1378"/>
      <c r="R738" s="1378"/>
      <c r="S738" s="1379"/>
      <c r="T738" s="1377"/>
      <c r="U738" s="1378"/>
      <c r="V738" s="1378"/>
      <c r="W738" s="1379"/>
      <c r="X738" s="1383">
        <f t="shared" si="10"/>
        <v>0</v>
      </c>
      <c r="Y738" s="1384"/>
      <c r="Z738" s="1384"/>
      <c r="AA738" s="1384"/>
      <c r="AB738" s="1385"/>
      <c r="AC738" s="1374"/>
      <c r="AD738" s="1375"/>
      <c r="AE738" s="1375"/>
      <c r="AF738" s="1375"/>
      <c r="AG738" s="1376"/>
      <c r="AH738" s="1386" t="str">
        <f t="shared" si="38"/>
        <v/>
      </c>
      <c r="AI738" s="1387"/>
      <c r="AJ738" s="1388"/>
      <c r="AK738" s="1389" t="s">
        <v>591</v>
      </c>
      <c r="AL738" s="1390"/>
      <c r="AM738" s="1390"/>
      <c r="AN738" s="1390"/>
      <c r="AO738" s="1391"/>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355">
        <f t="shared" si="39"/>
        <v>0</v>
      </c>
      <c r="CH738" s="1356"/>
      <c r="CI738" s="1352">
        <f t="shared" si="40"/>
        <v>0</v>
      </c>
      <c r="CJ738" s="1353"/>
      <c r="CK738" s="1355">
        <f t="shared" si="18"/>
        <v>0</v>
      </c>
      <c r="CL738" s="1356"/>
      <c r="CM738" s="1352">
        <f t="shared" si="19"/>
        <v>0</v>
      </c>
      <c r="CN738" s="1353"/>
      <c r="CO738" s="3"/>
      <c r="CP738" s="1341">
        <f t="shared" si="20"/>
        <v>0</v>
      </c>
      <c r="CQ738" s="1342"/>
      <c r="CR738" s="1342"/>
      <c r="CS738" s="1342"/>
      <c r="CT738" s="1343"/>
      <c r="CU738" s="1354">
        <f t="shared" si="21"/>
        <v>0</v>
      </c>
      <c r="CV738" s="1354"/>
      <c r="CW738" s="1354"/>
      <c r="CX738" s="1354"/>
      <c r="CY738" s="1354"/>
      <c r="CZ738" s="1354">
        <f t="shared" si="22"/>
        <v>0</v>
      </c>
      <c r="DA738" s="1354"/>
      <c r="DB738" s="1354"/>
      <c r="DC738" s="1354"/>
      <c r="DD738" s="1354"/>
      <c r="DE738" s="1354">
        <f t="shared" si="23"/>
        <v>0</v>
      </c>
      <c r="DF738" s="1354"/>
      <c r="DG738" s="1354"/>
      <c r="DH738" s="1354"/>
      <c r="DI738" s="1354"/>
      <c r="DJ738" s="1354">
        <f t="shared" si="24"/>
        <v>0</v>
      </c>
      <c r="DK738" s="1354"/>
      <c r="DL738" s="1354"/>
      <c r="DM738" s="1354"/>
      <c r="DN738" s="1354"/>
      <c r="DO738" s="1354">
        <f t="shared" si="25"/>
        <v>0</v>
      </c>
      <c r="DP738" s="1354"/>
      <c r="DQ738" s="1354"/>
      <c r="DR738" s="1354"/>
      <c r="DS738" s="1354"/>
      <c r="DT738" s="6"/>
      <c r="DU738" s="1394">
        <f t="shared" si="26"/>
        <v>0</v>
      </c>
      <c r="DV738" s="1394"/>
      <c r="DW738" s="1394"/>
      <c r="DX738" s="1394"/>
      <c r="DY738" s="1394"/>
      <c r="DZ738" s="1394">
        <f t="shared" si="27"/>
        <v>0</v>
      </c>
      <c r="EA738" s="1394"/>
      <c r="EB738" s="1394"/>
      <c r="EC738" s="1394"/>
      <c r="ED738" s="1394"/>
      <c r="EE738" s="1394">
        <f t="shared" si="28"/>
        <v>0</v>
      </c>
      <c r="EF738" s="1394"/>
      <c r="EG738" s="1394"/>
      <c r="EH738" s="1394"/>
      <c r="EI738" s="1394"/>
      <c r="EJ738" s="1394">
        <f t="shared" si="29"/>
        <v>0</v>
      </c>
      <c r="EK738" s="1394"/>
      <c r="EL738" s="1394"/>
      <c r="EM738" s="1394"/>
      <c r="EN738" s="1394"/>
      <c r="EO738" s="1394">
        <f t="shared" si="30"/>
        <v>0</v>
      </c>
      <c r="EP738" s="1394"/>
      <c r="EQ738" s="1394"/>
      <c r="ER738" s="1394"/>
      <c r="ES738" s="1394"/>
      <c r="ET738" s="1394">
        <f t="shared" si="31"/>
        <v>0</v>
      </c>
      <c r="EU738" s="1394"/>
      <c r="EV738" s="1394"/>
      <c r="EW738" s="1394"/>
      <c r="EX738" s="1394"/>
      <c r="EZ738" s="1355" t="str">
        <f t="shared" si="32"/>
        <v/>
      </c>
      <c r="FA738" s="1372"/>
      <c r="FB738" s="1372"/>
      <c r="FC738" s="1372"/>
      <c r="FD738" s="1356"/>
      <c r="FE738" s="1355" t="str">
        <f t="shared" si="33"/>
        <v/>
      </c>
      <c r="FF738" s="1372"/>
      <c r="FG738" s="1372"/>
      <c r="FH738" s="1372"/>
      <c r="FI738" s="1356"/>
      <c r="FJ738" s="1355" t="str">
        <f t="shared" si="34"/>
        <v/>
      </c>
      <c r="FK738" s="1372"/>
      <c r="FL738" s="1372"/>
      <c r="FM738" s="1372"/>
      <c r="FN738" s="1356"/>
      <c r="FO738" s="1355" t="str">
        <f t="shared" si="35"/>
        <v/>
      </c>
      <c r="FP738" s="1372"/>
      <c r="FQ738" s="1372"/>
      <c r="FR738" s="1372"/>
      <c r="FS738" s="1356"/>
      <c r="FT738" s="1355" t="str">
        <f t="shared" si="36"/>
        <v/>
      </c>
      <c r="FU738" s="1372"/>
      <c r="FV738" s="1372"/>
      <c r="FW738" s="1372"/>
      <c r="FX738" s="1356"/>
      <c r="FY738" s="1355" t="str">
        <f t="shared" si="37"/>
        <v/>
      </c>
      <c r="FZ738" s="1372"/>
      <c r="GA738" s="1372"/>
      <c r="GB738" s="1372"/>
      <c r="GC738" s="1356"/>
    </row>
    <row r="739" spans="1:185" ht="12.95" customHeight="1">
      <c r="B739" s="1389"/>
      <c r="C739" s="1390"/>
      <c r="D739" s="1390"/>
      <c r="E739" s="1390"/>
      <c r="F739" s="1391"/>
      <c r="G739" s="1380"/>
      <c r="H739" s="1381"/>
      <c r="I739" s="1381"/>
      <c r="J739" s="1382"/>
      <c r="K739" s="1349"/>
      <c r="L739" s="1350"/>
      <c r="M739" s="1350"/>
      <c r="N739" s="1351"/>
      <c r="O739" s="1377"/>
      <c r="P739" s="1378"/>
      <c r="Q739" s="1378"/>
      <c r="R739" s="1378"/>
      <c r="S739" s="1379"/>
      <c r="T739" s="1377"/>
      <c r="U739" s="1378"/>
      <c r="V739" s="1378"/>
      <c r="W739" s="1379"/>
      <c r="X739" s="1383">
        <f t="shared" si="10"/>
        <v>0</v>
      </c>
      <c r="Y739" s="1384"/>
      <c r="Z739" s="1384"/>
      <c r="AA739" s="1384"/>
      <c r="AB739" s="1385"/>
      <c r="AC739" s="1374"/>
      <c r="AD739" s="1375"/>
      <c r="AE739" s="1375"/>
      <c r="AF739" s="1375"/>
      <c r="AG739" s="1376"/>
      <c r="AH739" s="1386" t="str">
        <f t="shared" si="38"/>
        <v/>
      </c>
      <c r="AI739" s="1387"/>
      <c r="AJ739" s="1388"/>
      <c r="AK739" s="1389" t="s">
        <v>591</v>
      </c>
      <c r="AL739" s="1390"/>
      <c r="AM739" s="1390"/>
      <c r="AN739" s="1390"/>
      <c r="AO739" s="1391"/>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355">
        <f t="shared" si="39"/>
        <v>0</v>
      </c>
      <c r="CH739" s="1356"/>
      <c r="CI739" s="1352">
        <f t="shared" si="40"/>
        <v>0</v>
      </c>
      <c r="CJ739" s="1353"/>
      <c r="CK739" s="1355">
        <f t="shared" si="18"/>
        <v>0</v>
      </c>
      <c r="CL739" s="1356"/>
      <c r="CM739" s="1352">
        <f t="shared" si="19"/>
        <v>0</v>
      </c>
      <c r="CN739" s="1353"/>
      <c r="CO739" s="3"/>
      <c r="CP739" s="1341">
        <f t="shared" si="20"/>
        <v>0</v>
      </c>
      <c r="CQ739" s="1342"/>
      <c r="CR739" s="1342"/>
      <c r="CS739" s="1342"/>
      <c r="CT739" s="1343"/>
      <c r="CU739" s="1354">
        <f t="shared" si="21"/>
        <v>0</v>
      </c>
      <c r="CV739" s="1354"/>
      <c r="CW739" s="1354"/>
      <c r="CX739" s="1354"/>
      <c r="CY739" s="1354"/>
      <c r="CZ739" s="1354">
        <f t="shared" si="22"/>
        <v>0</v>
      </c>
      <c r="DA739" s="1354"/>
      <c r="DB739" s="1354"/>
      <c r="DC739" s="1354"/>
      <c r="DD739" s="1354"/>
      <c r="DE739" s="1354">
        <f t="shared" si="23"/>
        <v>0</v>
      </c>
      <c r="DF739" s="1354"/>
      <c r="DG739" s="1354"/>
      <c r="DH739" s="1354"/>
      <c r="DI739" s="1354"/>
      <c r="DJ739" s="1354">
        <f t="shared" si="24"/>
        <v>0</v>
      </c>
      <c r="DK739" s="1354"/>
      <c r="DL739" s="1354"/>
      <c r="DM739" s="1354"/>
      <c r="DN739" s="1354"/>
      <c r="DO739" s="1354">
        <f t="shared" si="25"/>
        <v>0</v>
      </c>
      <c r="DP739" s="1354"/>
      <c r="DQ739" s="1354"/>
      <c r="DR739" s="1354"/>
      <c r="DS739" s="1354"/>
      <c r="DT739" s="6"/>
      <c r="DU739" s="1394">
        <f t="shared" si="26"/>
        <v>0</v>
      </c>
      <c r="DV739" s="1394"/>
      <c r="DW739" s="1394"/>
      <c r="DX739" s="1394"/>
      <c r="DY739" s="1394"/>
      <c r="DZ739" s="1394">
        <f t="shared" si="27"/>
        <v>0</v>
      </c>
      <c r="EA739" s="1394"/>
      <c r="EB739" s="1394"/>
      <c r="EC739" s="1394"/>
      <c r="ED739" s="1394"/>
      <c r="EE739" s="1394">
        <f t="shared" si="28"/>
        <v>0</v>
      </c>
      <c r="EF739" s="1394"/>
      <c r="EG739" s="1394"/>
      <c r="EH739" s="1394"/>
      <c r="EI739" s="1394"/>
      <c r="EJ739" s="1394">
        <f t="shared" si="29"/>
        <v>0</v>
      </c>
      <c r="EK739" s="1394"/>
      <c r="EL739" s="1394"/>
      <c r="EM739" s="1394"/>
      <c r="EN739" s="1394"/>
      <c r="EO739" s="1394">
        <f t="shared" si="30"/>
        <v>0</v>
      </c>
      <c r="EP739" s="1394"/>
      <c r="EQ739" s="1394"/>
      <c r="ER739" s="1394"/>
      <c r="ES739" s="1394"/>
      <c r="ET739" s="1394">
        <f t="shared" si="31"/>
        <v>0</v>
      </c>
      <c r="EU739" s="1394"/>
      <c r="EV739" s="1394"/>
      <c r="EW739" s="1394"/>
      <c r="EX739" s="1394"/>
      <c r="EZ739" s="1355" t="str">
        <f t="shared" si="32"/>
        <v/>
      </c>
      <c r="FA739" s="1372"/>
      <c r="FB739" s="1372"/>
      <c r="FC739" s="1372"/>
      <c r="FD739" s="1356"/>
      <c r="FE739" s="1355" t="str">
        <f t="shared" si="33"/>
        <v/>
      </c>
      <c r="FF739" s="1372"/>
      <c r="FG739" s="1372"/>
      <c r="FH739" s="1372"/>
      <c r="FI739" s="1356"/>
      <c r="FJ739" s="1355" t="str">
        <f t="shared" si="34"/>
        <v/>
      </c>
      <c r="FK739" s="1372"/>
      <c r="FL739" s="1372"/>
      <c r="FM739" s="1372"/>
      <c r="FN739" s="1356"/>
      <c r="FO739" s="1355" t="str">
        <f t="shared" si="35"/>
        <v/>
      </c>
      <c r="FP739" s="1372"/>
      <c r="FQ739" s="1372"/>
      <c r="FR739" s="1372"/>
      <c r="FS739" s="1356"/>
      <c r="FT739" s="1355" t="str">
        <f t="shared" si="36"/>
        <v/>
      </c>
      <c r="FU739" s="1372"/>
      <c r="FV739" s="1372"/>
      <c r="FW739" s="1372"/>
      <c r="FX739" s="1356"/>
      <c r="FY739" s="1355" t="str">
        <f t="shared" si="37"/>
        <v/>
      </c>
      <c r="FZ739" s="1372"/>
      <c r="GA739" s="1372"/>
      <c r="GB739" s="1372"/>
      <c r="GC739" s="1356"/>
    </row>
    <row r="740" spans="1:185" ht="12.95" customHeight="1">
      <c r="B740" s="1389"/>
      <c r="C740" s="1390"/>
      <c r="D740" s="1390"/>
      <c r="E740" s="1390"/>
      <c r="F740" s="1391"/>
      <c r="G740" s="1380"/>
      <c r="H740" s="1381"/>
      <c r="I740" s="1381"/>
      <c r="J740" s="1382"/>
      <c r="K740" s="1349"/>
      <c r="L740" s="1350"/>
      <c r="M740" s="1350"/>
      <c r="N740" s="1351"/>
      <c r="O740" s="1377"/>
      <c r="P740" s="1378"/>
      <c r="Q740" s="1378"/>
      <c r="R740" s="1378"/>
      <c r="S740" s="1379"/>
      <c r="T740" s="1377"/>
      <c r="U740" s="1378"/>
      <c r="V740" s="1378"/>
      <c r="W740" s="1379"/>
      <c r="X740" s="1383">
        <f t="shared" si="10"/>
        <v>0</v>
      </c>
      <c r="Y740" s="1384"/>
      <c r="Z740" s="1384"/>
      <c r="AA740" s="1384"/>
      <c r="AB740" s="1385"/>
      <c r="AC740" s="1374"/>
      <c r="AD740" s="1375"/>
      <c r="AE740" s="1375"/>
      <c r="AF740" s="1375"/>
      <c r="AG740" s="1376"/>
      <c r="AH740" s="1386" t="str">
        <f t="shared" si="38"/>
        <v/>
      </c>
      <c r="AI740" s="1387"/>
      <c r="AJ740" s="1388"/>
      <c r="AK740" s="1389" t="s">
        <v>591</v>
      </c>
      <c r="AL740" s="1390"/>
      <c r="AM740" s="1390"/>
      <c r="AN740" s="1390"/>
      <c r="AO740" s="1391"/>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355">
        <f t="shared" si="39"/>
        <v>0</v>
      </c>
      <c r="CH740" s="1356"/>
      <c r="CI740" s="1352">
        <f t="shared" si="40"/>
        <v>0</v>
      </c>
      <c r="CJ740" s="1353"/>
      <c r="CK740" s="1355">
        <f t="shared" si="18"/>
        <v>0</v>
      </c>
      <c r="CL740" s="1356"/>
      <c r="CM740" s="1352">
        <f t="shared" si="19"/>
        <v>0</v>
      </c>
      <c r="CN740" s="1353"/>
      <c r="CO740" s="3"/>
      <c r="CP740" s="1341">
        <f t="shared" si="20"/>
        <v>0</v>
      </c>
      <c r="CQ740" s="1342"/>
      <c r="CR740" s="1342"/>
      <c r="CS740" s="1342"/>
      <c r="CT740" s="1343"/>
      <c r="CU740" s="1354">
        <f t="shared" si="21"/>
        <v>0</v>
      </c>
      <c r="CV740" s="1354"/>
      <c r="CW740" s="1354"/>
      <c r="CX740" s="1354"/>
      <c r="CY740" s="1354"/>
      <c r="CZ740" s="1354">
        <f t="shared" si="22"/>
        <v>0</v>
      </c>
      <c r="DA740" s="1354"/>
      <c r="DB740" s="1354"/>
      <c r="DC740" s="1354"/>
      <c r="DD740" s="1354"/>
      <c r="DE740" s="1354">
        <f t="shared" si="23"/>
        <v>0</v>
      </c>
      <c r="DF740" s="1354"/>
      <c r="DG740" s="1354"/>
      <c r="DH740" s="1354"/>
      <c r="DI740" s="1354"/>
      <c r="DJ740" s="1354">
        <f t="shared" si="24"/>
        <v>0</v>
      </c>
      <c r="DK740" s="1354"/>
      <c r="DL740" s="1354"/>
      <c r="DM740" s="1354"/>
      <c r="DN740" s="1354"/>
      <c r="DO740" s="1354">
        <f t="shared" si="25"/>
        <v>0</v>
      </c>
      <c r="DP740" s="1354"/>
      <c r="DQ740" s="1354"/>
      <c r="DR740" s="1354"/>
      <c r="DS740" s="1354"/>
      <c r="DT740" s="6"/>
      <c r="DU740" s="1394">
        <f t="shared" si="26"/>
        <v>0</v>
      </c>
      <c r="DV740" s="1394"/>
      <c r="DW740" s="1394"/>
      <c r="DX740" s="1394"/>
      <c r="DY740" s="1394"/>
      <c r="DZ740" s="1394">
        <f t="shared" si="27"/>
        <v>0</v>
      </c>
      <c r="EA740" s="1394"/>
      <c r="EB740" s="1394"/>
      <c r="EC740" s="1394"/>
      <c r="ED740" s="1394"/>
      <c r="EE740" s="1394">
        <f t="shared" si="28"/>
        <v>0</v>
      </c>
      <c r="EF740" s="1394"/>
      <c r="EG740" s="1394"/>
      <c r="EH740" s="1394"/>
      <c r="EI740" s="1394"/>
      <c r="EJ740" s="1394">
        <f t="shared" si="29"/>
        <v>0</v>
      </c>
      <c r="EK740" s="1394"/>
      <c r="EL740" s="1394"/>
      <c r="EM740" s="1394"/>
      <c r="EN740" s="1394"/>
      <c r="EO740" s="1394">
        <f t="shared" si="30"/>
        <v>0</v>
      </c>
      <c r="EP740" s="1394"/>
      <c r="EQ740" s="1394"/>
      <c r="ER740" s="1394"/>
      <c r="ES740" s="1394"/>
      <c r="ET740" s="1394">
        <f t="shared" si="31"/>
        <v>0</v>
      </c>
      <c r="EU740" s="1394"/>
      <c r="EV740" s="1394"/>
      <c r="EW740" s="1394"/>
      <c r="EX740" s="1394"/>
      <c r="EZ740" s="1355" t="str">
        <f t="shared" si="32"/>
        <v/>
      </c>
      <c r="FA740" s="1372"/>
      <c r="FB740" s="1372"/>
      <c r="FC740" s="1372"/>
      <c r="FD740" s="1356"/>
      <c r="FE740" s="1355" t="str">
        <f t="shared" si="33"/>
        <v/>
      </c>
      <c r="FF740" s="1372"/>
      <c r="FG740" s="1372"/>
      <c r="FH740" s="1372"/>
      <c r="FI740" s="1356"/>
      <c r="FJ740" s="1355" t="str">
        <f t="shared" si="34"/>
        <v/>
      </c>
      <c r="FK740" s="1372"/>
      <c r="FL740" s="1372"/>
      <c r="FM740" s="1372"/>
      <c r="FN740" s="1356"/>
      <c r="FO740" s="1355" t="str">
        <f t="shared" si="35"/>
        <v/>
      </c>
      <c r="FP740" s="1372"/>
      <c r="FQ740" s="1372"/>
      <c r="FR740" s="1372"/>
      <c r="FS740" s="1356"/>
      <c r="FT740" s="1355" t="str">
        <f t="shared" si="36"/>
        <v/>
      </c>
      <c r="FU740" s="1372"/>
      <c r="FV740" s="1372"/>
      <c r="FW740" s="1372"/>
      <c r="FX740" s="1356"/>
      <c r="FY740" s="1355" t="str">
        <f t="shared" si="37"/>
        <v/>
      </c>
      <c r="FZ740" s="1372"/>
      <c r="GA740" s="1372"/>
      <c r="GB740" s="1372"/>
      <c r="GC740" s="1356"/>
    </row>
    <row r="741" spans="1:185" ht="12.95" customHeight="1">
      <c r="B741" s="1389"/>
      <c r="C741" s="1390"/>
      <c r="D741" s="1390"/>
      <c r="E741" s="1390"/>
      <c r="F741" s="1391"/>
      <c r="G741" s="1380"/>
      <c r="H741" s="1381"/>
      <c r="I741" s="1381"/>
      <c r="J741" s="1382"/>
      <c r="K741" s="1349"/>
      <c r="L741" s="1350"/>
      <c r="M741" s="1350"/>
      <c r="N741" s="1351"/>
      <c r="O741" s="1377"/>
      <c r="P741" s="1378"/>
      <c r="Q741" s="1378"/>
      <c r="R741" s="1378"/>
      <c r="S741" s="1379"/>
      <c r="T741" s="1377"/>
      <c r="U741" s="1378"/>
      <c r="V741" s="1378"/>
      <c r="W741" s="1379"/>
      <c r="X741" s="1383">
        <f t="shared" si="10"/>
        <v>0</v>
      </c>
      <c r="Y741" s="1384"/>
      <c r="Z741" s="1384"/>
      <c r="AA741" s="1384"/>
      <c r="AB741" s="1385"/>
      <c r="AC741" s="1374"/>
      <c r="AD741" s="1375"/>
      <c r="AE741" s="1375"/>
      <c r="AF741" s="1375"/>
      <c r="AG741" s="1376"/>
      <c r="AH741" s="1386" t="str">
        <f t="shared" si="38"/>
        <v/>
      </c>
      <c r="AI741" s="1387"/>
      <c r="AJ741" s="1388"/>
      <c r="AK741" s="1389" t="s">
        <v>591</v>
      </c>
      <c r="AL741" s="1390"/>
      <c r="AM741" s="1390"/>
      <c r="AN741" s="1390"/>
      <c r="AO741" s="1391"/>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355">
        <f t="shared" si="39"/>
        <v>0</v>
      </c>
      <c r="CH741" s="1356"/>
      <c r="CI741" s="1352">
        <f t="shared" si="40"/>
        <v>0</v>
      </c>
      <c r="CJ741" s="1353"/>
      <c r="CK741" s="1355">
        <f t="shared" si="18"/>
        <v>0</v>
      </c>
      <c r="CL741" s="1356"/>
      <c r="CM741" s="1352">
        <f t="shared" si="19"/>
        <v>0</v>
      </c>
      <c r="CN741" s="1353"/>
      <c r="CO741" s="3"/>
      <c r="CP741" s="1341">
        <f t="shared" si="20"/>
        <v>0</v>
      </c>
      <c r="CQ741" s="1342"/>
      <c r="CR741" s="1342"/>
      <c r="CS741" s="1342"/>
      <c r="CT741" s="1343"/>
      <c r="CU741" s="1354">
        <f t="shared" si="21"/>
        <v>0</v>
      </c>
      <c r="CV741" s="1354"/>
      <c r="CW741" s="1354"/>
      <c r="CX741" s="1354"/>
      <c r="CY741" s="1354"/>
      <c r="CZ741" s="1354">
        <f t="shared" si="22"/>
        <v>0</v>
      </c>
      <c r="DA741" s="1354"/>
      <c r="DB741" s="1354"/>
      <c r="DC741" s="1354"/>
      <c r="DD741" s="1354"/>
      <c r="DE741" s="1354">
        <f t="shared" si="23"/>
        <v>0</v>
      </c>
      <c r="DF741" s="1354"/>
      <c r="DG741" s="1354"/>
      <c r="DH741" s="1354"/>
      <c r="DI741" s="1354"/>
      <c r="DJ741" s="1354">
        <f t="shared" si="24"/>
        <v>0</v>
      </c>
      <c r="DK741" s="1354"/>
      <c r="DL741" s="1354"/>
      <c r="DM741" s="1354"/>
      <c r="DN741" s="1354"/>
      <c r="DO741" s="1354">
        <f t="shared" si="25"/>
        <v>0</v>
      </c>
      <c r="DP741" s="1354"/>
      <c r="DQ741" s="1354"/>
      <c r="DR741" s="1354"/>
      <c r="DS741" s="1354"/>
      <c r="DT741" s="6"/>
      <c r="DU741" s="1394">
        <f t="shared" si="26"/>
        <v>0</v>
      </c>
      <c r="DV741" s="1394"/>
      <c r="DW741" s="1394"/>
      <c r="DX741" s="1394"/>
      <c r="DY741" s="1394"/>
      <c r="DZ741" s="1394">
        <f t="shared" si="27"/>
        <v>0</v>
      </c>
      <c r="EA741" s="1394"/>
      <c r="EB741" s="1394"/>
      <c r="EC741" s="1394"/>
      <c r="ED741" s="1394"/>
      <c r="EE741" s="1394">
        <f t="shared" si="28"/>
        <v>0</v>
      </c>
      <c r="EF741" s="1394"/>
      <c r="EG741" s="1394"/>
      <c r="EH741" s="1394"/>
      <c r="EI741" s="1394"/>
      <c r="EJ741" s="1394">
        <f t="shared" si="29"/>
        <v>0</v>
      </c>
      <c r="EK741" s="1394"/>
      <c r="EL741" s="1394"/>
      <c r="EM741" s="1394"/>
      <c r="EN741" s="1394"/>
      <c r="EO741" s="1394">
        <f t="shared" si="30"/>
        <v>0</v>
      </c>
      <c r="EP741" s="1394"/>
      <c r="EQ741" s="1394"/>
      <c r="ER741" s="1394"/>
      <c r="ES741" s="1394"/>
      <c r="ET741" s="1394">
        <f t="shared" si="31"/>
        <v>0</v>
      </c>
      <c r="EU741" s="1394"/>
      <c r="EV741" s="1394"/>
      <c r="EW741" s="1394"/>
      <c r="EX741" s="1394"/>
      <c r="EZ741" s="1355" t="str">
        <f t="shared" si="32"/>
        <v/>
      </c>
      <c r="FA741" s="1372"/>
      <c r="FB741" s="1372"/>
      <c r="FC741" s="1372"/>
      <c r="FD741" s="1356"/>
      <c r="FE741" s="1355" t="str">
        <f t="shared" si="33"/>
        <v/>
      </c>
      <c r="FF741" s="1372"/>
      <c r="FG741" s="1372"/>
      <c r="FH741" s="1372"/>
      <c r="FI741" s="1356"/>
      <c r="FJ741" s="1355" t="str">
        <f t="shared" si="34"/>
        <v/>
      </c>
      <c r="FK741" s="1372"/>
      <c r="FL741" s="1372"/>
      <c r="FM741" s="1372"/>
      <c r="FN741" s="1356"/>
      <c r="FO741" s="1355" t="str">
        <f t="shared" si="35"/>
        <v/>
      </c>
      <c r="FP741" s="1372"/>
      <c r="FQ741" s="1372"/>
      <c r="FR741" s="1372"/>
      <c r="FS741" s="1356"/>
      <c r="FT741" s="1355" t="str">
        <f t="shared" si="36"/>
        <v/>
      </c>
      <c r="FU741" s="1372"/>
      <c r="FV741" s="1372"/>
      <c r="FW741" s="1372"/>
      <c r="FX741" s="1356"/>
      <c r="FY741" s="1355" t="str">
        <f t="shared" si="37"/>
        <v/>
      </c>
      <c r="FZ741" s="1372"/>
      <c r="GA741" s="1372"/>
      <c r="GB741" s="1372"/>
      <c r="GC741" s="1356"/>
    </row>
    <row r="742" spans="1:185" ht="12.95" customHeight="1">
      <c r="B742" s="1389"/>
      <c r="C742" s="1390"/>
      <c r="D742" s="1390"/>
      <c r="E742" s="1390"/>
      <c r="F742" s="1391"/>
      <c r="G742" s="1380"/>
      <c r="H742" s="1381"/>
      <c r="I742" s="1381"/>
      <c r="J742" s="1382"/>
      <c r="K742" s="1349"/>
      <c r="L742" s="1350"/>
      <c r="M742" s="1350"/>
      <c r="N742" s="1351"/>
      <c r="O742" s="1377"/>
      <c r="P742" s="1378"/>
      <c r="Q742" s="1378"/>
      <c r="R742" s="1378"/>
      <c r="S742" s="1379"/>
      <c r="T742" s="1377"/>
      <c r="U742" s="1378"/>
      <c r="V742" s="1378"/>
      <c r="W742" s="1379"/>
      <c r="X742" s="1383">
        <f t="shared" si="10"/>
        <v>0</v>
      </c>
      <c r="Y742" s="1384"/>
      <c r="Z742" s="1384"/>
      <c r="AA742" s="1384"/>
      <c r="AB742" s="1385"/>
      <c r="AC742" s="1374"/>
      <c r="AD742" s="1375"/>
      <c r="AE742" s="1375"/>
      <c r="AF742" s="1375"/>
      <c r="AG742" s="1376"/>
      <c r="AH742" s="1386" t="str">
        <f t="shared" si="38"/>
        <v/>
      </c>
      <c r="AI742" s="1387"/>
      <c r="AJ742" s="1388"/>
      <c r="AK742" s="1389" t="s">
        <v>591</v>
      </c>
      <c r="AL742" s="1390"/>
      <c r="AM742" s="1390"/>
      <c r="AN742" s="1390"/>
      <c r="AO742" s="1391"/>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355">
        <f t="shared" si="39"/>
        <v>0</v>
      </c>
      <c r="CH742" s="1356"/>
      <c r="CI742" s="1352">
        <f t="shared" si="40"/>
        <v>0</v>
      </c>
      <c r="CJ742" s="1353"/>
      <c r="CK742" s="1355">
        <f t="shared" si="18"/>
        <v>0</v>
      </c>
      <c r="CL742" s="1356"/>
      <c r="CM742" s="1352">
        <f t="shared" si="19"/>
        <v>0</v>
      </c>
      <c r="CN742" s="1353"/>
      <c r="CO742" s="3"/>
      <c r="CP742" s="1341">
        <f t="shared" si="20"/>
        <v>0</v>
      </c>
      <c r="CQ742" s="1342"/>
      <c r="CR742" s="1342"/>
      <c r="CS742" s="1342"/>
      <c r="CT742" s="1343"/>
      <c r="CU742" s="1354">
        <f t="shared" si="21"/>
        <v>0</v>
      </c>
      <c r="CV742" s="1354"/>
      <c r="CW742" s="1354"/>
      <c r="CX742" s="1354"/>
      <c r="CY742" s="1354"/>
      <c r="CZ742" s="1354">
        <f t="shared" si="22"/>
        <v>0</v>
      </c>
      <c r="DA742" s="1354"/>
      <c r="DB742" s="1354"/>
      <c r="DC742" s="1354"/>
      <c r="DD742" s="1354"/>
      <c r="DE742" s="1354">
        <f t="shared" si="23"/>
        <v>0</v>
      </c>
      <c r="DF742" s="1354"/>
      <c r="DG742" s="1354"/>
      <c r="DH742" s="1354"/>
      <c r="DI742" s="1354"/>
      <c r="DJ742" s="1354">
        <f t="shared" si="24"/>
        <v>0</v>
      </c>
      <c r="DK742" s="1354"/>
      <c r="DL742" s="1354"/>
      <c r="DM742" s="1354"/>
      <c r="DN742" s="1354"/>
      <c r="DO742" s="1354">
        <f t="shared" si="25"/>
        <v>0</v>
      </c>
      <c r="DP742" s="1354"/>
      <c r="DQ742" s="1354"/>
      <c r="DR742" s="1354"/>
      <c r="DS742" s="1354"/>
      <c r="DT742" s="6"/>
      <c r="DU742" s="1394">
        <f t="shared" si="26"/>
        <v>0</v>
      </c>
      <c r="DV742" s="1394"/>
      <c r="DW742" s="1394"/>
      <c r="DX742" s="1394"/>
      <c r="DY742" s="1394"/>
      <c r="DZ742" s="1394">
        <f t="shared" si="27"/>
        <v>0</v>
      </c>
      <c r="EA742" s="1394"/>
      <c r="EB742" s="1394"/>
      <c r="EC742" s="1394"/>
      <c r="ED742" s="1394"/>
      <c r="EE742" s="1394">
        <f t="shared" si="28"/>
        <v>0</v>
      </c>
      <c r="EF742" s="1394"/>
      <c r="EG742" s="1394"/>
      <c r="EH742" s="1394"/>
      <c r="EI742" s="1394"/>
      <c r="EJ742" s="1394">
        <f t="shared" si="29"/>
        <v>0</v>
      </c>
      <c r="EK742" s="1394"/>
      <c r="EL742" s="1394"/>
      <c r="EM742" s="1394"/>
      <c r="EN742" s="1394"/>
      <c r="EO742" s="1394">
        <f t="shared" si="30"/>
        <v>0</v>
      </c>
      <c r="EP742" s="1394"/>
      <c r="EQ742" s="1394"/>
      <c r="ER742" s="1394"/>
      <c r="ES742" s="1394"/>
      <c r="ET742" s="1394">
        <f t="shared" si="31"/>
        <v>0</v>
      </c>
      <c r="EU742" s="1394"/>
      <c r="EV742" s="1394"/>
      <c r="EW742" s="1394"/>
      <c r="EX742" s="1394"/>
      <c r="EZ742" s="1355" t="str">
        <f t="shared" si="32"/>
        <v/>
      </c>
      <c r="FA742" s="1372"/>
      <c r="FB742" s="1372"/>
      <c r="FC742" s="1372"/>
      <c r="FD742" s="1356"/>
      <c r="FE742" s="1355" t="str">
        <f t="shared" si="33"/>
        <v/>
      </c>
      <c r="FF742" s="1372"/>
      <c r="FG742" s="1372"/>
      <c r="FH742" s="1372"/>
      <c r="FI742" s="1356"/>
      <c r="FJ742" s="1355" t="str">
        <f t="shared" si="34"/>
        <v/>
      </c>
      <c r="FK742" s="1372"/>
      <c r="FL742" s="1372"/>
      <c r="FM742" s="1372"/>
      <c r="FN742" s="1356"/>
      <c r="FO742" s="1355" t="str">
        <f t="shared" si="35"/>
        <v/>
      </c>
      <c r="FP742" s="1372"/>
      <c r="FQ742" s="1372"/>
      <c r="FR742" s="1372"/>
      <c r="FS742" s="1356"/>
      <c r="FT742" s="1355" t="str">
        <f t="shared" si="36"/>
        <v/>
      </c>
      <c r="FU742" s="1372"/>
      <c r="FV742" s="1372"/>
      <c r="FW742" s="1372"/>
      <c r="FX742" s="1356"/>
      <c r="FY742" s="1355" t="str">
        <f t="shared" si="37"/>
        <v/>
      </c>
      <c r="FZ742" s="1372"/>
      <c r="GA742" s="1372"/>
      <c r="GB742" s="1372"/>
      <c r="GC742" s="1356"/>
    </row>
    <row r="743" spans="1:185" ht="12.95" customHeight="1">
      <c r="B743" s="1389"/>
      <c r="C743" s="1390"/>
      <c r="D743" s="1390"/>
      <c r="E743" s="1390"/>
      <c r="F743" s="1391"/>
      <c r="G743" s="1380"/>
      <c r="H743" s="1381"/>
      <c r="I743" s="1381"/>
      <c r="J743" s="1382"/>
      <c r="K743" s="1349"/>
      <c r="L743" s="1350"/>
      <c r="M743" s="1350"/>
      <c r="N743" s="1351"/>
      <c r="O743" s="1377"/>
      <c r="P743" s="1378"/>
      <c r="Q743" s="1378"/>
      <c r="R743" s="1378"/>
      <c r="S743" s="1379"/>
      <c r="T743" s="1377"/>
      <c r="U743" s="1378"/>
      <c r="V743" s="1378"/>
      <c r="W743" s="1379"/>
      <c r="X743" s="1383">
        <f t="shared" si="10"/>
        <v>0</v>
      </c>
      <c r="Y743" s="1384"/>
      <c r="Z743" s="1384"/>
      <c r="AA743" s="1384"/>
      <c r="AB743" s="1385"/>
      <c r="AC743" s="1374"/>
      <c r="AD743" s="1375"/>
      <c r="AE743" s="1375"/>
      <c r="AF743" s="1375"/>
      <c r="AG743" s="1376"/>
      <c r="AH743" s="1386" t="str">
        <f t="shared" si="38"/>
        <v/>
      </c>
      <c r="AI743" s="1387"/>
      <c r="AJ743" s="1388"/>
      <c r="AK743" s="1389" t="s">
        <v>591</v>
      </c>
      <c r="AL743" s="1390"/>
      <c r="AM743" s="1390"/>
      <c r="AN743" s="1390"/>
      <c r="AO743" s="1391"/>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355">
        <f t="shared" si="39"/>
        <v>0</v>
      </c>
      <c r="CH743" s="1356"/>
      <c r="CI743" s="1352">
        <f t="shared" si="40"/>
        <v>0</v>
      </c>
      <c r="CJ743" s="1353"/>
      <c r="CK743" s="1355">
        <f t="shared" si="18"/>
        <v>0</v>
      </c>
      <c r="CL743" s="1356"/>
      <c r="CM743" s="1352">
        <f t="shared" si="19"/>
        <v>0</v>
      </c>
      <c r="CN743" s="1353"/>
      <c r="CO743" s="3"/>
      <c r="CP743" s="1341">
        <f t="shared" si="20"/>
        <v>0</v>
      </c>
      <c r="CQ743" s="1342"/>
      <c r="CR743" s="1342"/>
      <c r="CS743" s="1342"/>
      <c r="CT743" s="1343"/>
      <c r="CU743" s="1354">
        <f t="shared" si="21"/>
        <v>0</v>
      </c>
      <c r="CV743" s="1354"/>
      <c r="CW743" s="1354"/>
      <c r="CX743" s="1354"/>
      <c r="CY743" s="1354"/>
      <c r="CZ743" s="1354">
        <f t="shared" si="22"/>
        <v>0</v>
      </c>
      <c r="DA743" s="1354"/>
      <c r="DB743" s="1354"/>
      <c r="DC743" s="1354"/>
      <c r="DD743" s="1354"/>
      <c r="DE743" s="1354">
        <f t="shared" si="23"/>
        <v>0</v>
      </c>
      <c r="DF743" s="1354"/>
      <c r="DG743" s="1354"/>
      <c r="DH743" s="1354"/>
      <c r="DI743" s="1354"/>
      <c r="DJ743" s="1354">
        <f t="shared" si="24"/>
        <v>0</v>
      </c>
      <c r="DK743" s="1354"/>
      <c r="DL743" s="1354"/>
      <c r="DM743" s="1354"/>
      <c r="DN743" s="1354"/>
      <c r="DO743" s="1354">
        <f t="shared" si="25"/>
        <v>0</v>
      </c>
      <c r="DP743" s="1354"/>
      <c r="DQ743" s="1354"/>
      <c r="DR743" s="1354"/>
      <c r="DS743" s="1354"/>
      <c r="DT743" s="6"/>
      <c r="DU743" s="1394">
        <f t="shared" si="26"/>
        <v>0</v>
      </c>
      <c r="DV743" s="1394"/>
      <c r="DW743" s="1394"/>
      <c r="DX743" s="1394"/>
      <c r="DY743" s="1394"/>
      <c r="DZ743" s="1394">
        <f t="shared" si="27"/>
        <v>0</v>
      </c>
      <c r="EA743" s="1394"/>
      <c r="EB743" s="1394"/>
      <c r="EC743" s="1394"/>
      <c r="ED743" s="1394"/>
      <c r="EE743" s="1394">
        <f t="shared" si="28"/>
        <v>0</v>
      </c>
      <c r="EF743" s="1394"/>
      <c r="EG743" s="1394"/>
      <c r="EH743" s="1394"/>
      <c r="EI743" s="1394"/>
      <c r="EJ743" s="1394">
        <f t="shared" si="29"/>
        <v>0</v>
      </c>
      <c r="EK743" s="1394"/>
      <c r="EL743" s="1394"/>
      <c r="EM743" s="1394"/>
      <c r="EN743" s="1394"/>
      <c r="EO743" s="1394">
        <f t="shared" si="30"/>
        <v>0</v>
      </c>
      <c r="EP743" s="1394"/>
      <c r="EQ743" s="1394"/>
      <c r="ER743" s="1394"/>
      <c r="ES743" s="1394"/>
      <c r="ET743" s="1394">
        <f t="shared" si="31"/>
        <v>0</v>
      </c>
      <c r="EU743" s="1394"/>
      <c r="EV743" s="1394"/>
      <c r="EW743" s="1394"/>
      <c r="EX743" s="1394"/>
      <c r="EZ743" s="1355" t="str">
        <f t="shared" si="32"/>
        <v/>
      </c>
      <c r="FA743" s="1372"/>
      <c r="FB743" s="1372"/>
      <c r="FC743" s="1372"/>
      <c r="FD743" s="1356"/>
      <c r="FE743" s="1355" t="str">
        <f t="shared" si="33"/>
        <v/>
      </c>
      <c r="FF743" s="1372"/>
      <c r="FG743" s="1372"/>
      <c r="FH743" s="1372"/>
      <c r="FI743" s="1356"/>
      <c r="FJ743" s="1355" t="str">
        <f t="shared" si="34"/>
        <v/>
      </c>
      <c r="FK743" s="1372"/>
      <c r="FL743" s="1372"/>
      <c r="FM743" s="1372"/>
      <c r="FN743" s="1356"/>
      <c r="FO743" s="1355" t="str">
        <f t="shared" si="35"/>
        <v/>
      </c>
      <c r="FP743" s="1372"/>
      <c r="FQ743" s="1372"/>
      <c r="FR743" s="1372"/>
      <c r="FS743" s="1356"/>
      <c r="FT743" s="1355" t="str">
        <f t="shared" si="36"/>
        <v/>
      </c>
      <c r="FU743" s="1372"/>
      <c r="FV743" s="1372"/>
      <c r="FW743" s="1372"/>
      <c r="FX743" s="1356"/>
      <c r="FY743" s="1355" t="str">
        <f t="shared" si="37"/>
        <v/>
      </c>
      <c r="FZ743" s="1372"/>
      <c r="GA743" s="1372"/>
      <c r="GB743" s="1372"/>
      <c r="GC743" s="1356"/>
    </row>
    <row r="744" spans="1:185" ht="12.95" customHeight="1">
      <c r="B744" s="1389"/>
      <c r="C744" s="1390"/>
      <c r="D744" s="1390"/>
      <c r="E744" s="1390"/>
      <c r="F744" s="1391"/>
      <c r="G744" s="1380"/>
      <c r="H744" s="1381"/>
      <c r="I744" s="1381"/>
      <c r="J744" s="1382"/>
      <c r="K744" s="1349"/>
      <c r="L744" s="1350"/>
      <c r="M744" s="1350"/>
      <c r="N744" s="1351"/>
      <c r="O744" s="1377"/>
      <c r="P744" s="1378"/>
      <c r="Q744" s="1378"/>
      <c r="R744" s="1378"/>
      <c r="S744" s="1379"/>
      <c r="T744" s="1377"/>
      <c r="U744" s="1378"/>
      <c r="V744" s="1378"/>
      <c r="W744" s="1379"/>
      <c r="X744" s="1383">
        <f t="shared" si="10"/>
        <v>0</v>
      </c>
      <c r="Y744" s="1384"/>
      <c r="Z744" s="1384"/>
      <c r="AA744" s="1384"/>
      <c r="AB744" s="1385"/>
      <c r="AC744" s="1374"/>
      <c r="AD744" s="1375"/>
      <c r="AE744" s="1375"/>
      <c r="AF744" s="1375"/>
      <c r="AG744" s="1376"/>
      <c r="AH744" s="1386" t="str">
        <f t="shared" si="38"/>
        <v/>
      </c>
      <c r="AI744" s="1387"/>
      <c r="AJ744" s="1388"/>
      <c r="AK744" s="1389" t="s">
        <v>591</v>
      </c>
      <c r="AL744" s="1390"/>
      <c r="AM744" s="1390"/>
      <c r="AN744" s="1390"/>
      <c r="AO744" s="1391"/>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355">
        <f t="shared" si="39"/>
        <v>0</v>
      </c>
      <c r="CH744" s="1356"/>
      <c r="CI744" s="1352">
        <f t="shared" si="40"/>
        <v>0</v>
      </c>
      <c r="CJ744" s="1353"/>
      <c r="CK744" s="1355">
        <f t="shared" si="18"/>
        <v>0</v>
      </c>
      <c r="CL744" s="1356"/>
      <c r="CM744" s="1352">
        <f t="shared" si="19"/>
        <v>0</v>
      </c>
      <c r="CN744" s="1353"/>
      <c r="CO744" s="3"/>
      <c r="CP744" s="1341">
        <f t="shared" si="20"/>
        <v>0</v>
      </c>
      <c r="CQ744" s="1342"/>
      <c r="CR744" s="1342"/>
      <c r="CS744" s="1342"/>
      <c r="CT744" s="1343"/>
      <c r="CU744" s="1354">
        <f t="shared" si="21"/>
        <v>0</v>
      </c>
      <c r="CV744" s="1354"/>
      <c r="CW744" s="1354"/>
      <c r="CX744" s="1354"/>
      <c r="CY744" s="1354"/>
      <c r="CZ744" s="1354">
        <f t="shared" si="22"/>
        <v>0</v>
      </c>
      <c r="DA744" s="1354"/>
      <c r="DB744" s="1354"/>
      <c r="DC744" s="1354"/>
      <c r="DD744" s="1354"/>
      <c r="DE744" s="1354">
        <f t="shared" si="23"/>
        <v>0</v>
      </c>
      <c r="DF744" s="1354"/>
      <c r="DG744" s="1354"/>
      <c r="DH744" s="1354"/>
      <c r="DI744" s="1354"/>
      <c r="DJ744" s="1354">
        <f t="shared" si="24"/>
        <v>0</v>
      </c>
      <c r="DK744" s="1354"/>
      <c r="DL744" s="1354"/>
      <c r="DM744" s="1354"/>
      <c r="DN744" s="1354"/>
      <c r="DO744" s="1354">
        <f t="shared" si="25"/>
        <v>0</v>
      </c>
      <c r="DP744" s="1354"/>
      <c r="DQ744" s="1354"/>
      <c r="DR744" s="1354"/>
      <c r="DS744" s="1354"/>
      <c r="DT744" s="6"/>
      <c r="DU744" s="1394">
        <f t="shared" si="26"/>
        <v>0</v>
      </c>
      <c r="DV744" s="1394"/>
      <c r="DW744" s="1394"/>
      <c r="DX744" s="1394"/>
      <c r="DY744" s="1394"/>
      <c r="DZ744" s="1394">
        <f t="shared" si="27"/>
        <v>0</v>
      </c>
      <c r="EA744" s="1394"/>
      <c r="EB744" s="1394"/>
      <c r="EC744" s="1394"/>
      <c r="ED744" s="1394"/>
      <c r="EE744" s="1394">
        <f t="shared" si="28"/>
        <v>0</v>
      </c>
      <c r="EF744" s="1394"/>
      <c r="EG744" s="1394"/>
      <c r="EH744" s="1394"/>
      <c r="EI744" s="1394"/>
      <c r="EJ744" s="1394">
        <f t="shared" si="29"/>
        <v>0</v>
      </c>
      <c r="EK744" s="1394"/>
      <c r="EL744" s="1394"/>
      <c r="EM744" s="1394"/>
      <c r="EN744" s="1394"/>
      <c r="EO744" s="1394">
        <f t="shared" si="30"/>
        <v>0</v>
      </c>
      <c r="EP744" s="1394"/>
      <c r="EQ744" s="1394"/>
      <c r="ER744" s="1394"/>
      <c r="ES744" s="1394"/>
      <c r="ET744" s="1394">
        <f t="shared" si="31"/>
        <v>0</v>
      </c>
      <c r="EU744" s="1394"/>
      <c r="EV744" s="1394"/>
      <c r="EW744" s="1394"/>
      <c r="EX744" s="1394"/>
      <c r="EZ744" s="1355" t="str">
        <f t="shared" si="32"/>
        <v/>
      </c>
      <c r="FA744" s="1372"/>
      <c r="FB744" s="1372"/>
      <c r="FC744" s="1372"/>
      <c r="FD744" s="1356"/>
      <c r="FE744" s="1355" t="str">
        <f t="shared" si="33"/>
        <v/>
      </c>
      <c r="FF744" s="1372"/>
      <c r="FG744" s="1372"/>
      <c r="FH744" s="1372"/>
      <c r="FI744" s="1356"/>
      <c r="FJ744" s="1355" t="str">
        <f t="shared" si="34"/>
        <v/>
      </c>
      <c r="FK744" s="1372"/>
      <c r="FL744" s="1372"/>
      <c r="FM744" s="1372"/>
      <c r="FN744" s="1356"/>
      <c r="FO744" s="1355" t="str">
        <f t="shared" si="35"/>
        <v/>
      </c>
      <c r="FP744" s="1372"/>
      <c r="FQ744" s="1372"/>
      <c r="FR744" s="1372"/>
      <c r="FS744" s="1356"/>
      <c r="FT744" s="1355" t="str">
        <f t="shared" si="36"/>
        <v/>
      </c>
      <c r="FU744" s="1372"/>
      <c r="FV744" s="1372"/>
      <c r="FW744" s="1372"/>
      <c r="FX744" s="1356"/>
      <c r="FY744" s="1355" t="str">
        <f t="shared" si="37"/>
        <v/>
      </c>
      <c r="FZ744" s="1372"/>
      <c r="GA744" s="1372"/>
      <c r="GB744" s="1372"/>
      <c r="GC744" s="1356"/>
    </row>
    <row r="745" spans="1:185" ht="12.95" customHeight="1">
      <c r="B745" s="1389"/>
      <c r="C745" s="1390"/>
      <c r="D745" s="1390"/>
      <c r="E745" s="1390"/>
      <c r="F745" s="1391"/>
      <c r="G745" s="1380"/>
      <c r="H745" s="1381"/>
      <c r="I745" s="1381"/>
      <c r="J745" s="1382"/>
      <c r="K745" s="1349"/>
      <c r="L745" s="1350"/>
      <c r="M745" s="1350"/>
      <c r="N745" s="1351"/>
      <c r="O745" s="1377"/>
      <c r="P745" s="1378"/>
      <c r="Q745" s="1378"/>
      <c r="R745" s="1378"/>
      <c r="S745" s="1379"/>
      <c r="T745" s="1377"/>
      <c r="U745" s="1378"/>
      <c r="V745" s="1378"/>
      <c r="W745" s="1379"/>
      <c r="X745" s="1383">
        <f t="shared" si="10"/>
        <v>0</v>
      </c>
      <c r="Y745" s="1384"/>
      <c r="Z745" s="1384"/>
      <c r="AA745" s="1384"/>
      <c r="AB745" s="1385"/>
      <c r="AC745" s="1374"/>
      <c r="AD745" s="1375"/>
      <c r="AE745" s="1375"/>
      <c r="AF745" s="1375"/>
      <c r="AG745" s="1376"/>
      <c r="AH745" s="1386" t="str">
        <f t="shared" si="38"/>
        <v/>
      </c>
      <c r="AI745" s="1387"/>
      <c r="AJ745" s="1388"/>
      <c r="AK745" s="1389" t="s">
        <v>591</v>
      </c>
      <c r="AL745" s="1390"/>
      <c r="AM745" s="1390"/>
      <c r="AN745" s="1390"/>
      <c r="AO745" s="1391"/>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355">
        <f t="shared" si="39"/>
        <v>0</v>
      </c>
      <c r="CH745" s="1356"/>
      <c r="CI745" s="1352">
        <f t="shared" si="40"/>
        <v>0</v>
      </c>
      <c r="CJ745" s="1353"/>
      <c r="CK745" s="1355">
        <f t="shared" si="18"/>
        <v>0</v>
      </c>
      <c r="CL745" s="1356"/>
      <c r="CM745" s="1352">
        <f t="shared" si="19"/>
        <v>0</v>
      </c>
      <c r="CN745" s="1353"/>
      <c r="CO745" s="3"/>
      <c r="CP745" s="1341">
        <f t="shared" si="20"/>
        <v>0</v>
      </c>
      <c r="CQ745" s="1342"/>
      <c r="CR745" s="1342"/>
      <c r="CS745" s="1342"/>
      <c r="CT745" s="1343"/>
      <c r="CU745" s="1354">
        <f t="shared" si="21"/>
        <v>0</v>
      </c>
      <c r="CV745" s="1354"/>
      <c r="CW745" s="1354"/>
      <c r="CX745" s="1354"/>
      <c r="CY745" s="1354"/>
      <c r="CZ745" s="1354">
        <f t="shared" si="22"/>
        <v>0</v>
      </c>
      <c r="DA745" s="1354"/>
      <c r="DB745" s="1354"/>
      <c r="DC745" s="1354"/>
      <c r="DD745" s="1354"/>
      <c r="DE745" s="1354">
        <f t="shared" si="23"/>
        <v>0</v>
      </c>
      <c r="DF745" s="1354"/>
      <c r="DG745" s="1354"/>
      <c r="DH745" s="1354"/>
      <c r="DI745" s="1354"/>
      <c r="DJ745" s="1354">
        <f t="shared" si="24"/>
        <v>0</v>
      </c>
      <c r="DK745" s="1354"/>
      <c r="DL745" s="1354"/>
      <c r="DM745" s="1354"/>
      <c r="DN745" s="1354"/>
      <c r="DO745" s="1354">
        <f t="shared" si="25"/>
        <v>0</v>
      </c>
      <c r="DP745" s="1354"/>
      <c r="DQ745" s="1354"/>
      <c r="DR745" s="1354"/>
      <c r="DS745" s="1354"/>
      <c r="DT745" s="6"/>
      <c r="DU745" s="1394">
        <f t="shared" si="26"/>
        <v>0</v>
      </c>
      <c r="DV745" s="1394"/>
      <c r="DW745" s="1394"/>
      <c r="DX745" s="1394"/>
      <c r="DY745" s="1394"/>
      <c r="DZ745" s="1394">
        <f t="shared" si="27"/>
        <v>0</v>
      </c>
      <c r="EA745" s="1394"/>
      <c r="EB745" s="1394"/>
      <c r="EC745" s="1394"/>
      <c r="ED745" s="1394"/>
      <c r="EE745" s="1394">
        <f t="shared" si="28"/>
        <v>0</v>
      </c>
      <c r="EF745" s="1394"/>
      <c r="EG745" s="1394"/>
      <c r="EH745" s="1394"/>
      <c r="EI745" s="1394"/>
      <c r="EJ745" s="1394">
        <f t="shared" si="29"/>
        <v>0</v>
      </c>
      <c r="EK745" s="1394"/>
      <c r="EL745" s="1394"/>
      <c r="EM745" s="1394"/>
      <c r="EN745" s="1394"/>
      <c r="EO745" s="1394">
        <f t="shared" si="30"/>
        <v>0</v>
      </c>
      <c r="EP745" s="1394"/>
      <c r="EQ745" s="1394"/>
      <c r="ER745" s="1394"/>
      <c r="ES745" s="1394"/>
      <c r="ET745" s="1394">
        <f t="shared" si="31"/>
        <v>0</v>
      </c>
      <c r="EU745" s="1394"/>
      <c r="EV745" s="1394"/>
      <c r="EW745" s="1394"/>
      <c r="EX745" s="1394"/>
      <c r="EZ745" s="1355" t="str">
        <f t="shared" si="32"/>
        <v/>
      </c>
      <c r="FA745" s="1372"/>
      <c r="FB745" s="1372"/>
      <c r="FC745" s="1372"/>
      <c r="FD745" s="1356"/>
      <c r="FE745" s="1355" t="str">
        <f t="shared" si="33"/>
        <v/>
      </c>
      <c r="FF745" s="1372"/>
      <c r="FG745" s="1372"/>
      <c r="FH745" s="1372"/>
      <c r="FI745" s="1356"/>
      <c r="FJ745" s="1355" t="str">
        <f t="shared" si="34"/>
        <v/>
      </c>
      <c r="FK745" s="1372"/>
      <c r="FL745" s="1372"/>
      <c r="FM745" s="1372"/>
      <c r="FN745" s="1356"/>
      <c r="FO745" s="1355" t="str">
        <f t="shared" si="35"/>
        <v/>
      </c>
      <c r="FP745" s="1372"/>
      <c r="FQ745" s="1372"/>
      <c r="FR745" s="1372"/>
      <c r="FS745" s="1356"/>
      <c r="FT745" s="1355" t="str">
        <f t="shared" si="36"/>
        <v/>
      </c>
      <c r="FU745" s="1372"/>
      <c r="FV745" s="1372"/>
      <c r="FW745" s="1372"/>
      <c r="FX745" s="1356"/>
      <c r="FY745" s="1355" t="str">
        <f t="shared" si="37"/>
        <v/>
      </c>
      <c r="FZ745" s="1372"/>
      <c r="GA745" s="1372"/>
      <c r="GB745" s="1372"/>
      <c r="GC745" s="1356"/>
    </row>
    <row r="746" spans="1:185" ht="12.95" customHeight="1">
      <c r="B746" s="1389"/>
      <c r="C746" s="1390"/>
      <c r="D746" s="1390"/>
      <c r="E746" s="1390"/>
      <c r="F746" s="1391"/>
      <c r="G746" s="1380"/>
      <c r="H746" s="1381"/>
      <c r="I746" s="1381"/>
      <c r="J746" s="1382"/>
      <c r="K746" s="1349"/>
      <c r="L746" s="1350"/>
      <c r="M746" s="1350"/>
      <c r="N746" s="1351"/>
      <c r="O746" s="1377"/>
      <c r="P746" s="1378"/>
      <c r="Q746" s="1378"/>
      <c r="R746" s="1378"/>
      <c r="S746" s="1379"/>
      <c r="T746" s="1377"/>
      <c r="U746" s="1378"/>
      <c r="V746" s="1378"/>
      <c r="W746" s="1379"/>
      <c r="X746" s="1383">
        <f t="shared" si="10"/>
        <v>0</v>
      </c>
      <c r="Y746" s="1384"/>
      <c r="Z746" s="1384"/>
      <c r="AA746" s="1384"/>
      <c r="AB746" s="1385"/>
      <c r="AC746" s="1374"/>
      <c r="AD746" s="1375"/>
      <c r="AE746" s="1375"/>
      <c r="AF746" s="1375"/>
      <c r="AG746" s="1376"/>
      <c r="AH746" s="1386" t="str">
        <f t="shared" si="38"/>
        <v/>
      </c>
      <c r="AI746" s="1387"/>
      <c r="AJ746" s="1388"/>
      <c r="AK746" s="1389" t="s">
        <v>591</v>
      </c>
      <c r="AL746" s="1390"/>
      <c r="AM746" s="1390"/>
      <c r="AN746" s="1390"/>
      <c r="AO746" s="1391"/>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355">
        <f t="shared" si="39"/>
        <v>0</v>
      </c>
      <c r="CH746" s="1356"/>
      <c r="CI746" s="1352">
        <f t="shared" si="40"/>
        <v>0</v>
      </c>
      <c r="CJ746" s="1353"/>
      <c r="CK746" s="1355">
        <f t="shared" si="18"/>
        <v>0</v>
      </c>
      <c r="CL746" s="1356"/>
      <c r="CM746" s="1352">
        <f t="shared" si="19"/>
        <v>0</v>
      </c>
      <c r="CN746" s="1353"/>
      <c r="CO746" s="3"/>
      <c r="CP746" s="1341">
        <f t="shared" si="20"/>
        <v>0</v>
      </c>
      <c r="CQ746" s="1342"/>
      <c r="CR746" s="1342"/>
      <c r="CS746" s="1342"/>
      <c r="CT746" s="1343"/>
      <c r="CU746" s="1354">
        <f t="shared" si="21"/>
        <v>0</v>
      </c>
      <c r="CV746" s="1354"/>
      <c r="CW746" s="1354"/>
      <c r="CX746" s="1354"/>
      <c r="CY746" s="1354"/>
      <c r="CZ746" s="1354">
        <f t="shared" si="22"/>
        <v>0</v>
      </c>
      <c r="DA746" s="1354"/>
      <c r="DB746" s="1354"/>
      <c r="DC746" s="1354"/>
      <c r="DD746" s="1354"/>
      <c r="DE746" s="1354">
        <f t="shared" si="23"/>
        <v>0</v>
      </c>
      <c r="DF746" s="1354"/>
      <c r="DG746" s="1354"/>
      <c r="DH746" s="1354"/>
      <c r="DI746" s="1354"/>
      <c r="DJ746" s="1354">
        <f t="shared" si="24"/>
        <v>0</v>
      </c>
      <c r="DK746" s="1354"/>
      <c r="DL746" s="1354"/>
      <c r="DM746" s="1354"/>
      <c r="DN746" s="1354"/>
      <c r="DO746" s="1354">
        <f t="shared" si="25"/>
        <v>0</v>
      </c>
      <c r="DP746" s="1354"/>
      <c r="DQ746" s="1354"/>
      <c r="DR746" s="1354"/>
      <c r="DS746" s="1354"/>
      <c r="DT746" s="6"/>
      <c r="DU746" s="1394">
        <f t="shared" si="26"/>
        <v>0</v>
      </c>
      <c r="DV746" s="1394"/>
      <c r="DW746" s="1394"/>
      <c r="DX746" s="1394"/>
      <c r="DY746" s="1394"/>
      <c r="DZ746" s="1394">
        <f t="shared" si="27"/>
        <v>0</v>
      </c>
      <c r="EA746" s="1394"/>
      <c r="EB746" s="1394"/>
      <c r="EC746" s="1394"/>
      <c r="ED746" s="1394"/>
      <c r="EE746" s="1394">
        <f t="shared" si="28"/>
        <v>0</v>
      </c>
      <c r="EF746" s="1394"/>
      <c r="EG746" s="1394"/>
      <c r="EH746" s="1394"/>
      <c r="EI746" s="1394"/>
      <c r="EJ746" s="1394">
        <f t="shared" si="29"/>
        <v>0</v>
      </c>
      <c r="EK746" s="1394"/>
      <c r="EL746" s="1394"/>
      <c r="EM746" s="1394"/>
      <c r="EN746" s="1394"/>
      <c r="EO746" s="1394">
        <f t="shared" si="30"/>
        <v>0</v>
      </c>
      <c r="EP746" s="1394"/>
      <c r="EQ746" s="1394"/>
      <c r="ER746" s="1394"/>
      <c r="ES746" s="1394"/>
      <c r="ET746" s="1394">
        <f t="shared" si="31"/>
        <v>0</v>
      </c>
      <c r="EU746" s="1394"/>
      <c r="EV746" s="1394"/>
      <c r="EW746" s="1394"/>
      <c r="EX746" s="1394"/>
      <c r="EZ746" s="1355" t="str">
        <f t="shared" si="32"/>
        <v/>
      </c>
      <c r="FA746" s="1372"/>
      <c r="FB746" s="1372"/>
      <c r="FC746" s="1372"/>
      <c r="FD746" s="1356"/>
      <c r="FE746" s="1355" t="str">
        <f t="shared" si="33"/>
        <v/>
      </c>
      <c r="FF746" s="1372"/>
      <c r="FG746" s="1372"/>
      <c r="FH746" s="1372"/>
      <c r="FI746" s="1356"/>
      <c r="FJ746" s="1355" t="str">
        <f t="shared" si="34"/>
        <v/>
      </c>
      <c r="FK746" s="1372"/>
      <c r="FL746" s="1372"/>
      <c r="FM746" s="1372"/>
      <c r="FN746" s="1356"/>
      <c r="FO746" s="1355" t="str">
        <f t="shared" si="35"/>
        <v/>
      </c>
      <c r="FP746" s="1372"/>
      <c r="FQ746" s="1372"/>
      <c r="FR746" s="1372"/>
      <c r="FS746" s="1356"/>
      <c r="FT746" s="1355" t="str">
        <f t="shared" si="36"/>
        <v/>
      </c>
      <c r="FU746" s="1372"/>
      <c r="FV746" s="1372"/>
      <c r="FW746" s="1372"/>
      <c r="FX746" s="1356"/>
      <c r="FY746" s="1355" t="str">
        <f t="shared" si="37"/>
        <v/>
      </c>
      <c r="FZ746" s="1372"/>
      <c r="GA746" s="1372"/>
      <c r="GB746" s="1372"/>
      <c r="GC746" s="1356"/>
    </row>
    <row r="747" spans="1:185" ht="12.95" customHeight="1">
      <c r="B747" s="1389"/>
      <c r="C747" s="1390"/>
      <c r="D747" s="1390"/>
      <c r="E747" s="1390"/>
      <c r="F747" s="1391"/>
      <c r="G747" s="1380"/>
      <c r="H747" s="1381"/>
      <c r="I747" s="1381"/>
      <c r="J747" s="1382"/>
      <c r="K747" s="1349"/>
      <c r="L747" s="1350"/>
      <c r="M747" s="1350"/>
      <c r="N747" s="1351"/>
      <c r="O747" s="1377"/>
      <c r="P747" s="1378"/>
      <c r="Q747" s="1378"/>
      <c r="R747" s="1378"/>
      <c r="S747" s="1379"/>
      <c r="T747" s="1377"/>
      <c r="U747" s="1378"/>
      <c r="V747" s="1378"/>
      <c r="W747" s="1379"/>
      <c r="X747" s="1383">
        <f t="shared" si="10"/>
        <v>0</v>
      </c>
      <c r="Y747" s="1384"/>
      <c r="Z747" s="1384"/>
      <c r="AA747" s="1384"/>
      <c r="AB747" s="1385"/>
      <c r="AC747" s="1374"/>
      <c r="AD747" s="1375"/>
      <c r="AE747" s="1375"/>
      <c r="AF747" s="1375"/>
      <c r="AG747" s="1376"/>
      <c r="AH747" s="1386" t="str">
        <f t="shared" si="38"/>
        <v/>
      </c>
      <c r="AI747" s="1387"/>
      <c r="AJ747" s="1388"/>
      <c r="AK747" s="1389" t="s">
        <v>591</v>
      </c>
      <c r="AL747" s="1390"/>
      <c r="AM747" s="1390"/>
      <c r="AN747" s="1390"/>
      <c r="AO747" s="1391"/>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355">
        <f t="shared" si="39"/>
        <v>0</v>
      </c>
      <c r="CH747" s="1356"/>
      <c r="CI747" s="1352">
        <f t="shared" si="40"/>
        <v>0</v>
      </c>
      <c r="CJ747" s="1353"/>
      <c r="CK747" s="1355">
        <f t="shared" si="18"/>
        <v>0</v>
      </c>
      <c r="CL747" s="1356"/>
      <c r="CM747" s="1352">
        <f t="shared" si="19"/>
        <v>0</v>
      </c>
      <c r="CN747" s="1353"/>
      <c r="CO747" s="3"/>
      <c r="CP747" s="1341">
        <f t="shared" si="20"/>
        <v>0</v>
      </c>
      <c r="CQ747" s="1342"/>
      <c r="CR747" s="1342"/>
      <c r="CS747" s="1342"/>
      <c r="CT747" s="1343"/>
      <c r="CU747" s="1354">
        <f t="shared" si="21"/>
        <v>0</v>
      </c>
      <c r="CV747" s="1354"/>
      <c r="CW747" s="1354"/>
      <c r="CX747" s="1354"/>
      <c r="CY747" s="1354"/>
      <c r="CZ747" s="1354">
        <f t="shared" si="22"/>
        <v>0</v>
      </c>
      <c r="DA747" s="1354"/>
      <c r="DB747" s="1354"/>
      <c r="DC747" s="1354"/>
      <c r="DD747" s="1354"/>
      <c r="DE747" s="1354">
        <f t="shared" si="23"/>
        <v>0</v>
      </c>
      <c r="DF747" s="1354"/>
      <c r="DG747" s="1354"/>
      <c r="DH747" s="1354"/>
      <c r="DI747" s="1354"/>
      <c r="DJ747" s="1354">
        <f t="shared" si="24"/>
        <v>0</v>
      </c>
      <c r="DK747" s="1354"/>
      <c r="DL747" s="1354"/>
      <c r="DM747" s="1354"/>
      <c r="DN747" s="1354"/>
      <c r="DO747" s="1354">
        <f t="shared" si="25"/>
        <v>0</v>
      </c>
      <c r="DP747" s="1354"/>
      <c r="DQ747" s="1354"/>
      <c r="DR747" s="1354"/>
      <c r="DS747" s="1354"/>
      <c r="DT747" s="6"/>
      <c r="DU747" s="1394">
        <f t="shared" si="26"/>
        <v>0</v>
      </c>
      <c r="DV747" s="1394"/>
      <c r="DW747" s="1394"/>
      <c r="DX747" s="1394"/>
      <c r="DY747" s="1394"/>
      <c r="DZ747" s="1394">
        <f t="shared" si="27"/>
        <v>0</v>
      </c>
      <c r="EA747" s="1394"/>
      <c r="EB747" s="1394"/>
      <c r="EC747" s="1394"/>
      <c r="ED747" s="1394"/>
      <c r="EE747" s="1394">
        <f t="shared" si="28"/>
        <v>0</v>
      </c>
      <c r="EF747" s="1394"/>
      <c r="EG747" s="1394"/>
      <c r="EH747" s="1394"/>
      <c r="EI747" s="1394"/>
      <c r="EJ747" s="1394">
        <f t="shared" si="29"/>
        <v>0</v>
      </c>
      <c r="EK747" s="1394"/>
      <c r="EL747" s="1394"/>
      <c r="EM747" s="1394"/>
      <c r="EN747" s="1394"/>
      <c r="EO747" s="1394">
        <f t="shared" si="30"/>
        <v>0</v>
      </c>
      <c r="EP747" s="1394"/>
      <c r="EQ747" s="1394"/>
      <c r="ER747" s="1394"/>
      <c r="ES747" s="1394"/>
      <c r="ET747" s="1394">
        <f t="shared" si="31"/>
        <v>0</v>
      </c>
      <c r="EU747" s="1394"/>
      <c r="EV747" s="1394"/>
      <c r="EW747" s="1394"/>
      <c r="EX747" s="1394"/>
      <c r="EZ747" s="1355" t="str">
        <f t="shared" si="32"/>
        <v/>
      </c>
      <c r="FA747" s="1372"/>
      <c r="FB747" s="1372"/>
      <c r="FC747" s="1372"/>
      <c r="FD747" s="1356"/>
      <c r="FE747" s="1355" t="str">
        <f t="shared" si="33"/>
        <v/>
      </c>
      <c r="FF747" s="1372"/>
      <c r="FG747" s="1372"/>
      <c r="FH747" s="1372"/>
      <c r="FI747" s="1356"/>
      <c r="FJ747" s="1355" t="str">
        <f t="shared" si="34"/>
        <v/>
      </c>
      <c r="FK747" s="1372"/>
      <c r="FL747" s="1372"/>
      <c r="FM747" s="1372"/>
      <c r="FN747" s="1356"/>
      <c r="FO747" s="1355" t="str">
        <f t="shared" si="35"/>
        <v/>
      </c>
      <c r="FP747" s="1372"/>
      <c r="FQ747" s="1372"/>
      <c r="FR747" s="1372"/>
      <c r="FS747" s="1356"/>
      <c r="FT747" s="1355" t="str">
        <f t="shared" si="36"/>
        <v/>
      </c>
      <c r="FU747" s="1372"/>
      <c r="FV747" s="1372"/>
      <c r="FW747" s="1372"/>
      <c r="FX747" s="1356"/>
      <c r="FY747" s="1355" t="str">
        <f t="shared" si="37"/>
        <v/>
      </c>
      <c r="FZ747" s="1372"/>
      <c r="GA747" s="1372"/>
      <c r="GB747" s="1372"/>
      <c r="GC747" s="1356"/>
    </row>
    <row r="748" spans="1:185" ht="12.95" customHeight="1">
      <c r="B748" s="1389"/>
      <c r="C748" s="1390"/>
      <c r="D748" s="1390"/>
      <c r="E748" s="1390"/>
      <c r="F748" s="1391"/>
      <c r="G748" s="1380"/>
      <c r="H748" s="1381"/>
      <c r="I748" s="1381"/>
      <c r="J748" s="1382"/>
      <c r="K748" s="1349"/>
      <c r="L748" s="1350"/>
      <c r="M748" s="1350"/>
      <c r="N748" s="1351"/>
      <c r="O748" s="1377"/>
      <c r="P748" s="1378"/>
      <c r="Q748" s="1378"/>
      <c r="R748" s="1378"/>
      <c r="S748" s="1379"/>
      <c r="T748" s="1377"/>
      <c r="U748" s="1378"/>
      <c r="V748" s="1378"/>
      <c r="W748" s="1379"/>
      <c r="X748" s="1383">
        <f t="shared" si="10"/>
        <v>0</v>
      </c>
      <c r="Y748" s="1384"/>
      <c r="Z748" s="1384"/>
      <c r="AA748" s="1384"/>
      <c r="AB748" s="1385"/>
      <c r="AC748" s="1374"/>
      <c r="AD748" s="1375"/>
      <c r="AE748" s="1375"/>
      <c r="AF748" s="1375"/>
      <c r="AG748" s="1376"/>
      <c r="AH748" s="1386" t="str">
        <f t="shared" si="38"/>
        <v/>
      </c>
      <c r="AI748" s="1387"/>
      <c r="AJ748" s="1388"/>
      <c r="AK748" s="1389" t="s">
        <v>591</v>
      </c>
      <c r="AL748" s="1390"/>
      <c r="AM748" s="1390"/>
      <c r="AN748" s="1390"/>
      <c r="AO748" s="1391"/>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355">
        <f t="shared" si="39"/>
        <v>0</v>
      </c>
      <c r="CH748" s="1356"/>
      <c r="CI748" s="1352">
        <f t="shared" si="40"/>
        <v>0</v>
      </c>
      <c r="CJ748" s="1353"/>
      <c r="CK748" s="1355">
        <f t="shared" si="18"/>
        <v>0</v>
      </c>
      <c r="CL748" s="1356"/>
      <c r="CM748" s="1352">
        <f t="shared" si="19"/>
        <v>0</v>
      </c>
      <c r="CN748" s="1353"/>
      <c r="CO748" s="3"/>
      <c r="CP748" s="1341">
        <f t="shared" si="20"/>
        <v>0</v>
      </c>
      <c r="CQ748" s="1342"/>
      <c r="CR748" s="1342"/>
      <c r="CS748" s="1342"/>
      <c r="CT748" s="1343"/>
      <c r="CU748" s="1354">
        <f t="shared" si="21"/>
        <v>0</v>
      </c>
      <c r="CV748" s="1354"/>
      <c r="CW748" s="1354"/>
      <c r="CX748" s="1354"/>
      <c r="CY748" s="1354"/>
      <c r="CZ748" s="1354">
        <f t="shared" si="22"/>
        <v>0</v>
      </c>
      <c r="DA748" s="1354"/>
      <c r="DB748" s="1354"/>
      <c r="DC748" s="1354"/>
      <c r="DD748" s="1354"/>
      <c r="DE748" s="1354">
        <f t="shared" si="23"/>
        <v>0</v>
      </c>
      <c r="DF748" s="1354"/>
      <c r="DG748" s="1354"/>
      <c r="DH748" s="1354"/>
      <c r="DI748" s="1354"/>
      <c r="DJ748" s="1354">
        <f t="shared" si="24"/>
        <v>0</v>
      </c>
      <c r="DK748" s="1354"/>
      <c r="DL748" s="1354"/>
      <c r="DM748" s="1354"/>
      <c r="DN748" s="1354"/>
      <c r="DO748" s="1354">
        <f t="shared" si="25"/>
        <v>0</v>
      </c>
      <c r="DP748" s="1354"/>
      <c r="DQ748" s="1354"/>
      <c r="DR748" s="1354"/>
      <c r="DS748" s="1354"/>
      <c r="DT748" s="6"/>
      <c r="DU748" s="1394">
        <f t="shared" si="26"/>
        <v>0</v>
      </c>
      <c r="DV748" s="1394"/>
      <c r="DW748" s="1394"/>
      <c r="DX748" s="1394"/>
      <c r="DY748" s="1394"/>
      <c r="DZ748" s="1394">
        <f t="shared" si="27"/>
        <v>0</v>
      </c>
      <c r="EA748" s="1394"/>
      <c r="EB748" s="1394"/>
      <c r="EC748" s="1394"/>
      <c r="ED748" s="1394"/>
      <c r="EE748" s="1394">
        <f t="shared" si="28"/>
        <v>0</v>
      </c>
      <c r="EF748" s="1394"/>
      <c r="EG748" s="1394"/>
      <c r="EH748" s="1394"/>
      <c r="EI748" s="1394"/>
      <c r="EJ748" s="1394">
        <f t="shared" si="29"/>
        <v>0</v>
      </c>
      <c r="EK748" s="1394"/>
      <c r="EL748" s="1394"/>
      <c r="EM748" s="1394"/>
      <c r="EN748" s="1394"/>
      <c r="EO748" s="1394">
        <f t="shared" si="30"/>
        <v>0</v>
      </c>
      <c r="EP748" s="1394"/>
      <c r="EQ748" s="1394"/>
      <c r="ER748" s="1394"/>
      <c r="ES748" s="1394"/>
      <c r="ET748" s="1394">
        <f t="shared" si="31"/>
        <v>0</v>
      </c>
      <c r="EU748" s="1394"/>
      <c r="EV748" s="1394"/>
      <c r="EW748" s="1394"/>
      <c r="EX748" s="1394"/>
      <c r="EZ748" s="1355" t="str">
        <f t="shared" si="32"/>
        <v/>
      </c>
      <c r="FA748" s="1372"/>
      <c r="FB748" s="1372"/>
      <c r="FC748" s="1372"/>
      <c r="FD748" s="1356"/>
      <c r="FE748" s="1355" t="str">
        <f t="shared" si="33"/>
        <v/>
      </c>
      <c r="FF748" s="1372"/>
      <c r="FG748" s="1372"/>
      <c r="FH748" s="1372"/>
      <c r="FI748" s="1356"/>
      <c r="FJ748" s="1355" t="str">
        <f t="shared" si="34"/>
        <v/>
      </c>
      <c r="FK748" s="1372"/>
      <c r="FL748" s="1372"/>
      <c r="FM748" s="1372"/>
      <c r="FN748" s="1356"/>
      <c r="FO748" s="1355" t="str">
        <f t="shared" si="35"/>
        <v/>
      </c>
      <c r="FP748" s="1372"/>
      <c r="FQ748" s="1372"/>
      <c r="FR748" s="1372"/>
      <c r="FS748" s="1356"/>
      <c r="FT748" s="1355" t="str">
        <f t="shared" si="36"/>
        <v/>
      </c>
      <c r="FU748" s="1372"/>
      <c r="FV748" s="1372"/>
      <c r="FW748" s="1372"/>
      <c r="FX748" s="1356"/>
      <c r="FY748" s="1355" t="str">
        <f t="shared" si="37"/>
        <v/>
      </c>
      <c r="FZ748" s="1372"/>
      <c r="GA748" s="1372"/>
      <c r="GB748" s="1372"/>
      <c r="GC748" s="1356"/>
    </row>
    <row r="749" spans="1:185" ht="12.95" customHeight="1">
      <c r="B749" s="1389"/>
      <c r="C749" s="1390"/>
      <c r="D749" s="1390"/>
      <c r="E749" s="1390"/>
      <c r="F749" s="1391"/>
      <c r="G749" s="1380"/>
      <c r="H749" s="1381"/>
      <c r="I749" s="1381"/>
      <c r="J749" s="1382"/>
      <c r="K749" s="1349"/>
      <c r="L749" s="1350"/>
      <c r="M749" s="1350"/>
      <c r="N749" s="1351"/>
      <c r="O749" s="1377"/>
      <c r="P749" s="1378"/>
      <c r="Q749" s="1378"/>
      <c r="R749" s="1378"/>
      <c r="S749" s="1379"/>
      <c r="T749" s="1377"/>
      <c r="U749" s="1378"/>
      <c r="V749" s="1378"/>
      <c r="W749" s="1379"/>
      <c r="X749" s="1383">
        <f t="shared" si="10"/>
        <v>0</v>
      </c>
      <c r="Y749" s="1384"/>
      <c r="Z749" s="1384"/>
      <c r="AA749" s="1384"/>
      <c r="AB749" s="1385"/>
      <c r="AC749" s="1374"/>
      <c r="AD749" s="1375"/>
      <c r="AE749" s="1375"/>
      <c r="AF749" s="1375"/>
      <c r="AG749" s="1376"/>
      <c r="AH749" s="1386" t="str">
        <f t="shared" si="38"/>
        <v/>
      </c>
      <c r="AI749" s="1387"/>
      <c r="AJ749" s="1388"/>
      <c r="AK749" s="1389" t="s">
        <v>591</v>
      </c>
      <c r="AL749" s="1390"/>
      <c r="AM749" s="1390"/>
      <c r="AN749" s="1390"/>
      <c r="AO749" s="1391"/>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355">
        <f t="shared" si="39"/>
        <v>0</v>
      </c>
      <c r="CH749" s="1356"/>
      <c r="CI749" s="1352">
        <f t="shared" si="40"/>
        <v>0</v>
      </c>
      <c r="CJ749" s="1353"/>
      <c r="CK749" s="1355">
        <f t="shared" si="18"/>
        <v>0</v>
      </c>
      <c r="CL749" s="1356"/>
      <c r="CM749" s="1352">
        <f t="shared" si="19"/>
        <v>0</v>
      </c>
      <c r="CN749" s="1353"/>
      <c r="CO749" s="3"/>
      <c r="CP749" s="1341">
        <f t="shared" si="20"/>
        <v>0</v>
      </c>
      <c r="CQ749" s="1342"/>
      <c r="CR749" s="1342"/>
      <c r="CS749" s="1342"/>
      <c r="CT749" s="1343"/>
      <c r="CU749" s="1354">
        <f t="shared" si="21"/>
        <v>0</v>
      </c>
      <c r="CV749" s="1354"/>
      <c r="CW749" s="1354"/>
      <c r="CX749" s="1354"/>
      <c r="CY749" s="1354"/>
      <c r="CZ749" s="1354">
        <f t="shared" si="22"/>
        <v>0</v>
      </c>
      <c r="DA749" s="1354"/>
      <c r="DB749" s="1354"/>
      <c r="DC749" s="1354"/>
      <c r="DD749" s="1354"/>
      <c r="DE749" s="1354">
        <f t="shared" si="23"/>
        <v>0</v>
      </c>
      <c r="DF749" s="1354"/>
      <c r="DG749" s="1354"/>
      <c r="DH749" s="1354"/>
      <c r="DI749" s="1354"/>
      <c r="DJ749" s="1354">
        <f t="shared" si="24"/>
        <v>0</v>
      </c>
      <c r="DK749" s="1354"/>
      <c r="DL749" s="1354"/>
      <c r="DM749" s="1354"/>
      <c r="DN749" s="1354"/>
      <c r="DO749" s="1354">
        <f t="shared" si="25"/>
        <v>0</v>
      </c>
      <c r="DP749" s="1354"/>
      <c r="DQ749" s="1354"/>
      <c r="DR749" s="1354"/>
      <c r="DS749" s="1354"/>
      <c r="DT749" s="6"/>
      <c r="DU749" s="1394">
        <f t="shared" si="26"/>
        <v>0</v>
      </c>
      <c r="DV749" s="1394"/>
      <c r="DW749" s="1394"/>
      <c r="DX749" s="1394"/>
      <c r="DY749" s="1394"/>
      <c r="DZ749" s="1394">
        <f t="shared" si="27"/>
        <v>0</v>
      </c>
      <c r="EA749" s="1394"/>
      <c r="EB749" s="1394"/>
      <c r="EC749" s="1394"/>
      <c r="ED749" s="1394"/>
      <c r="EE749" s="1394">
        <f t="shared" si="28"/>
        <v>0</v>
      </c>
      <c r="EF749" s="1394"/>
      <c r="EG749" s="1394"/>
      <c r="EH749" s="1394"/>
      <c r="EI749" s="1394"/>
      <c r="EJ749" s="1394">
        <f t="shared" si="29"/>
        <v>0</v>
      </c>
      <c r="EK749" s="1394"/>
      <c r="EL749" s="1394"/>
      <c r="EM749" s="1394"/>
      <c r="EN749" s="1394"/>
      <c r="EO749" s="1394">
        <f t="shared" si="30"/>
        <v>0</v>
      </c>
      <c r="EP749" s="1394"/>
      <c r="EQ749" s="1394"/>
      <c r="ER749" s="1394"/>
      <c r="ES749" s="1394"/>
      <c r="ET749" s="1394">
        <f t="shared" si="31"/>
        <v>0</v>
      </c>
      <c r="EU749" s="1394"/>
      <c r="EV749" s="1394"/>
      <c r="EW749" s="1394"/>
      <c r="EX749" s="1394"/>
      <c r="EZ749" s="1355" t="str">
        <f t="shared" si="32"/>
        <v/>
      </c>
      <c r="FA749" s="1372"/>
      <c r="FB749" s="1372"/>
      <c r="FC749" s="1372"/>
      <c r="FD749" s="1356"/>
      <c r="FE749" s="1355" t="str">
        <f t="shared" si="33"/>
        <v/>
      </c>
      <c r="FF749" s="1372"/>
      <c r="FG749" s="1372"/>
      <c r="FH749" s="1372"/>
      <c r="FI749" s="1356"/>
      <c r="FJ749" s="1355" t="str">
        <f t="shared" si="34"/>
        <v/>
      </c>
      <c r="FK749" s="1372"/>
      <c r="FL749" s="1372"/>
      <c r="FM749" s="1372"/>
      <c r="FN749" s="1356"/>
      <c r="FO749" s="1355" t="str">
        <f t="shared" si="35"/>
        <v/>
      </c>
      <c r="FP749" s="1372"/>
      <c r="FQ749" s="1372"/>
      <c r="FR749" s="1372"/>
      <c r="FS749" s="1356"/>
      <c r="FT749" s="1355" t="str">
        <f t="shared" si="36"/>
        <v/>
      </c>
      <c r="FU749" s="1372"/>
      <c r="FV749" s="1372"/>
      <c r="FW749" s="1372"/>
      <c r="FX749" s="1356"/>
      <c r="FY749" s="1355" t="str">
        <f t="shared" si="37"/>
        <v/>
      </c>
      <c r="FZ749" s="1372"/>
      <c r="GA749" s="1372"/>
      <c r="GB749" s="1372"/>
      <c r="GC749" s="1356"/>
    </row>
    <row r="750" spans="1:185" ht="12.95" customHeight="1">
      <c r="B750" s="1389"/>
      <c r="C750" s="1390"/>
      <c r="D750" s="1390"/>
      <c r="E750" s="1390"/>
      <c r="F750" s="1391"/>
      <c r="G750" s="1380"/>
      <c r="H750" s="1381"/>
      <c r="I750" s="1381"/>
      <c r="J750" s="1382"/>
      <c r="K750" s="1349"/>
      <c r="L750" s="1350"/>
      <c r="M750" s="1350"/>
      <c r="N750" s="1351"/>
      <c r="O750" s="1377"/>
      <c r="P750" s="1378"/>
      <c r="Q750" s="1378"/>
      <c r="R750" s="1378"/>
      <c r="S750" s="1379"/>
      <c r="T750" s="1377"/>
      <c r="U750" s="1378"/>
      <c r="V750" s="1378"/>
      <c r="W750" s="1379"/>
      <c r="X750" s="1383">
        <f t="shared" ref="X750:X759" si="41">O750+T750</f>
        <v>0</v>
      </c>
      <c r="Y750" s="1384"/>
      <c r="Z750" s="1384"/>
      <c r="AA750" s="1384"/>
      <c r="AB750" s="1385"/>
      <c r="AC750" s="1374"/>
      <c r="AD750" s="1375"/>
      <c r="AE750" s="1375"/>
      <c r="AF750" s="1375"/>
      <c r="AG750" s="1376"/>
      <c r="AH750" s="1386" t="str">
        <f t="shared" si="38"/>
        <v/>
      </c>
      <c r="AI750" s="1387"/>
      <c r="AJ750" s="1388"/>
      <c r="AK750" s="1389" t="s">
        <v>591</v>
      </c>
      <c r="AL750" s="1390"/>
      <c r="AM750" s="1390"/>
      <c r="AN750" s="1390"/>
      <c r="AO750" s="1391"/>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355">
        <f t="shared" si="39"/>
        <v>0</v>
      </c>
      <c r="CH750" s="1356"/>
      <c r="CI750" s="1352">
        <f t="shared" si="40"/>
        <v>0</v>
      </c>
      <c r="CJ750" s="1353"/>
      <c r="CK750" s="1355">
        <f t="shared" si="18"/>
        <v>0</v>
      </c>
      <c r="CL750" s="1356"/>
      <c r="CM750" s="1352">
        <f t="shared" si="19"/>
        <v>0</v>
      </c>
      <c r="CN750" s="1353"/>
      <c r="CO750" s="3"/>
      <c r="CP750" s="1341">
        <f t="shared" si="20"/>
        <v>0</v>
      </c>
      <c r="CQ750" s="1342"/>
      <c r="CR750" s="1342"/>
      <c r="CS750" s="1342"/>
      <c r="CT750" s="1343"/>
      <c r="CU750" s="1354">
        <f t="shared" si="21"/>
        <v>0</v>
      </c>
      <c r="CV750" s="1354"/>
      <c r="CW750" s="1354"/>
      <c r="CX750" s="1354"/>
      <c r="CY750" s="1354"/>
      <c r="CZ750" s="1354">
        <f t="shared" si="22"/>
        <v>0</v>
      </c>
      <c r="DA750" s="1354"/>
      <c r="DB750" s="1354"/>
      <c r="DC750" s="1354"/>
      <c r="DD750" s="1354"/>
      <c r="DE750" s="1354">
        <f t="shared" si="23"/>
        <v>0</v>
      </c>
      <c r="DF750" s="1354"/>
      <c r="DG750" s="1354"/>
      <c r="DH750" s="1354"/>
      <c r="DI750" s="1354"/>
      <c r="DJ750" s="1354">
        <f t="shared" si="24"/>
        <v>0</v>
      </c>
      <c r="DK750" s="1354"/>
      <c r="DL750" s="1354"/>
      <c r="DM750" s="1354"/>
      <c r="DN750" s="1354"/>
      <c r="DO750" s="1354">
        <f t="shared" si="25"/>
        <v>0</v>
      </c>
      <c r="DP750" s="1354"/>
      <c r="DQ750" s="1354"/>
      <c r="DR750" s="1354"/>
      <c r="DS750" s="1354"/>
      <c r="DT750" s="6"/>
      <c r="DU750" s="1394">
        <f t="shared" si="26"/>
        <v>0</v>
      </c>
      <c r="DV750" s="1394"/>
      <c r="DW750" s="1394"/>
      <c r="DX750" s="1394"/>
      <c r="DY750" s="1394"/>
      <c r="DZ750" s="1394">
        <f t="shared" si="27"/>
        <v>0</v>
      </c>
      <c r="EA750" s="1394"/>
      <c r="EB750" s="1394"/>
      <c r="EC750" s="1394"/>
      <c r="ED750" s="1394"/>
      <c r="EE750" s="1394">
        <f t="shared" si="28"/>
        <v>0</v>
      </c>
      <c r="EF750" s="1394"/>
      <c r="EG750" s="1394"/>
      <c r="EH750" s="1394"/>
      <c r="EI750" s="1394"/>
      <c r="EJ750" s="1394">
        <f t="shared" si="29"/>
        <v>0</v>
      </c>
      <c r="EK750" s="1394"/>
      <c r="EL750" s="1394"/>
      <c r="EM750" s="1394"/>
      <c r="EN750" s="1394"/>
      <c r="EO750" s="1394">
        <f t="shared" si="30"/>
        <v>0</v>
      </c>
      <c r="EP750" s="1394"/>
      <c r="EQ750" s="1394"/>
      <c r="ER750" s="1394"/>
      <c r="ES750" s="1394"/>
      <c r="ET750" s="1394">
        <f t="shared" si="31"/>
        <v>0</v>
      </c>
      <c r="EU750" s="1394"/>
      <c r="EV750" s="1394"/>
      <c r="EW750" s="1394"/>
      <c r="EX750" s="1394"/>
      <c r="EZ750" s="1355" t="str">
        <f t="shared" si="32"/>
        <v/>
      </c>
      <c r="FA750" s="1372"/>
      <c r="FB750" s="1372"/>
      <c r="FC750" s="1372"/>
      <c r="FD750" s="1356"/>
      <c r="FE750" s="1355" t="str">
        <f t="shared" si="33"/>
        <v/>
      </c>
      <c r="FF750" s="1372"/>
      <c r="FG750" s="1372"/>
      <c r="FH750" s="1372"/>
      <c r="FI750" s="1356"/>
      <c r="FJ750" s="1355" t="str">
        <f t="shared" si="34"/>
        <v/>
      </c>
      <c r="FK750" s="1372"/>
      <c r="FL750" s="1372"/>
      <c r="FM750" s="1372"/>
      <c r="FN750" s="1356"/>
      <c r="FO750" s="1355" t="str">
        <f t="shared" si="35"/>
        <v/>
      </c>
      <c r="FP750" s="1372"/>
      <c r="FQ750" s="1372"/>
      <c r="FR750" s="1372"/>
      <c r="FS750" s="1356"/>
      <c r="FT750" s="1355" t="str">
        <f t="shared" si="36"/>
        <v/>
      </c>
      <c r="FU750" s="1372"/>
      <c r="FV750" s="1372"/>
      <c r="FW750" s="1372"/>
      <c r="FX750" s="1356"/>
      <c r="FY750" s="1355" t="str">
        <f t="shared" si="37"/>
        <v/>
      </c>
      <c r="FZ750" s="1372"/>
      <c r="GA750" s="1372"/>
      <c r="GB750" s="1372"/>
      <c r="GC750" s="1356"/>
    </row>
    <row r="751" spans="1:185" s="3" customFormat="1" ht="12.95" customHeight="1">
      <c r="A751"/>
      <c r="B751" s="1389"/>
      <c r="C751" s="1390"/>
      <c r="D751" s="1390"/>
      <c r="E751" s="1390"/>
      <c r="F751" s="1391"/>
      <c r="G751" s="1380"/>
      <c r="H751" s="1381"/>
      <c r="I751" s="1381"/>
      <c r="J751" s="1382"/>
      <c r="K751" s="1349"/>
      <c r="L751" s="1350"/>
      <c r="M751" s="1350"/>
      <c r="N751" s="1351"/>
      <c r="O751" s="1377"/>
      <c r="P751" s="1378"/>
      <c r="Q751" s="1378"/>
      <c r="R751" s="1378"/>
      <c r="S751" s="1379"/>
      <c r="T751" s="1377"/>
      <c r="U751" s="1378"/>
      <c r="V751" s="1378"/>
      <c r="W751" s="1379"/>
      <c r="X751" s="1383">
        <f t="shared" si="41"/>
        <v>0</v>
      </c>
      <c r="Y751" s="1384"/>
      <c r="Z751" s="1384"/>
      <c r="AA751" s="1384"/>
      <c r="AB751" s="1385"/>
      <c r="AC751" s="1374"/>
      <c r="AD751" s="1375"/>
      <c r="AE751" s="1375"/>
      <c r="AF751" s="1375"/>
      <c r="AG751" s="1376"/>
      <c r="AH751" s="1386" t="str">
        <f t="shared" si="38"/>
        <v/>
      </c>
      <c r="AI751" s="1387"/>
      <c r="AJ751" s="1388"/>
      <c r="AK751" s="1389" t="s">
        <v>591</v>
      </c>
      <c r="AL751" s="1390"/>
      <c r="AM751" s="1390"/>
      <c r="AN751" s="1390"/>
      <c r="AO751" s="1391"/>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355">
        <f t="shared" si="39"/>
        <v>0</v>
      </c>
      <c r="CH751" s="1356"/>
      <c r="CI751" s="1352">
        <f t="shared" si="40"/>
        <v>0</v>
      </c>
      <c r="CJ751" s="1353"/>
      <c r="CK751" s="1355">
        <f t="shared" si="18"/>
        <v>0</v>
      </c>
      <c r="CL751" s="1356"/>
      <c r="CM751" s="1352">
        <f t="shared" si="19"/>
        <v>0</v>
      </c>
      <c r="CN751" s="1353"/>
      <c r="CP751" s="1341">
        <f t="shared" si="20"/>
        <v>0</v>
      </c>
      <c r="CQ751" s="1342"/>
      <c r="CR751" s="1342"/>
      <c r="CS751" s="1342"/>
      <c r="CT751" s="1343"/>
      <c r="CU751" s="1354">
        <f t="shared" si="21"/>
        <v>0</v>
      </c>
      <c r="CV751" s="1354"/>
      <c r="CW751" s="1354"/>
      <c r="CX751" s="1354"/>
      <c r="CY751" s="1354"/>
      <c r="CZ751" s="1354">
        <f t="shared" si="22"/>
        <v>0</v>
      </c>
      <c r="DA751" s="1354"/>
      <c r="DB751" s="1354"/>
      <c r="DC751" s="1354"/>
      <c r="DD751" s="1354"/>
      <c r="DE751" s="1354">
        <f t="shared" si="23"/>
        <v>0</v>
      </c>
      <c r="DF751" s="1354"/>
      <c r="DG751" s="1354"/>
      <c r="DH751" s="1354"/>
      <c r="DI751" s="1354"/>
      <c r="DJ751" s="1354">
        <f t="shared" si="24"/>
        <v>0</v>
      </c>
      <c r="DK751" s="1354"/>
      <c r="DL751" s="1354"/>
      <c r="DM751" s="1354"/>
      <c r="DN751" s="1354"/>
      <c r="DO751" s="1354">
        <f t="shared" si="25"/>
        <v>0</v>
      </c>
      <c r="DP751" s="1354"/>
      <c r="DQ751" s="1354"/>
      <c r="DR751" s="1354"/>
      <c r="DS751" s="1354"/>
      <c r="DT751" s="6"/>
      <c r="DU751" s="1394">
        <f t="shared" si="26"/>
        <v>0</v>
      </c>
      <c r="DV751" s="1394"/>
      <c r="DW751" s="1394"/>
      <c r="DX751" s="1394"/>
      <c r="DY751" s="1394"/>
      <c r="DZ751" s="1394">
        <f t="shared" si="27"/>
        <v>0</v>
      </c>
      <c r="EA751" s="1394"/>
      <c r="EB751" s="1394"/>
      <c r="EC751" s="1394"/>
      <c r="ED751" s="1394"/>
      <c r="EE751" s="1394">
        <f t="shared" si="28"/>
        <v>0</v>
      </c>
      <c r="EF751" s="1394"/>
      <c r="EG751" s="1394"/>
      <c r="EH751" s="1394"/>
      <c r="EI751" s="1394"/>
      <c r="EJ751" s="1394">
        <f t="shared" si="29"/>
        <v>0</v>
      </c>
      <c r="EK751" s="1394"/>
      <c r="EL751" s="1394"/>
      <c r="EM751" s="1394"/>
      <c r="EN751" s="1394"/>
      <c r="EO751" s="1394">
        <f t="shared" si="30"/>
        <v>0</v>
      </c>
      <c r="EP751" s="1394"/>
      <c r="EQ751" s="1394"/>
      <c r="ER751" s="1394"/>
      <c r="ES751" s="1394"/>
      <c r="ET751" s="1394">
        <f t="shared" si="31"/>
        <v>0</v>
      </c>
      <c r="EU751" s="1394"/>
      <c r="EV751" s="1394"/>
      <c r="EW751" s="1394"/>
      <c r="EX751" s="1394"/>
      <c r="EY751"/>
      <c r="EZ751" s="1355" t="str">
        <f t="shared" si="32"/>
        <v/>
      </c>
      <c r="FA751" s="1372"/>
      <c r="FB751" s="1372"/>
      <c r="FC751" s="1372"/>
      <c r="FD751" s="1356"/>
      <c r="FE751" s="1355" t="str">
        <f t="shared" si="33"/>
        <v/>
      </c>
      <c r="FF751" s="1372"/>
      <c r="FG751" s="1372"/>
      <c r="FH751" s="1372"/>
      <c r="FI751" s="1356"/>
      <c r="FJ751" s="1355" t="str">
        <f t="shared" si="34"/>
        <v/>
      </c>
      <c r="FK751" s="1372"/>
      <c r="FL751" s="1372"/>
      <c r="FM751" s="1372"/>
      <c r="FN751" s="1356"/>
      <c r="FO751" s="1355" t="str">
        <f t="shared" si="35"/>
        <v/>
      </c>
      <c r="FP751" s="1372"/>
      <c r="FQ751" s="1372"/>
      <c r="FR751" s="1372"/>
      <c r="FS751" s="1356"/>
      <c r="FT751" s="1355" t="str">
        <f t="shared" si="36"/>
        <v/>
      </c>
      <c r="FU751" s="1372"/>
      <c r="FV751" s="1372"/>
      <c r="FW751" s="1372"/>
      <c r="FX751" s="1356"/>
      <c r="FY751" s="1355" t="str">
        <f t="shared" si="37"/>
        <v/>
      </c>
      <c r="FZ751" s="1372"/>
      <c r="GA751" s="1372"/>
      <c r="GB751" s="1372"/>
      <c r="GC751" s="1356"/>
    </row>
    <row r="752" spans="1:185" ht="12.95" customHeight="1">
      <c r="B752" s="1389"/>
      <c r="C752" s="1390"/>
      <c r="D752" s="1390"/>
      <c r="E752" s="1390"/>
      <c r="F752" s="1391"/>
      <c r="G752" s="1380"/>
      <c r="H752" s="1381"/>
      <c r="I752" s="1381"/>
      <c r="J752" s="1382"/>
      <c r="K752" s="1349"/>
      <c r="L752" s="1350"/>
      <c r="M752" s="1350"/>
      <c r="N752" s="1351"/>
      <c r="O752" s="1377"/>
      <c r="P752" s="1378"/>
      <c r="Q752" s="1378"/>
      <c r="R752" s="1378"/>
      <c r="S752" s="1379"/>
      <c r="T752" s="1377"/>
      <c r="U752" s="1378"/>
      <c r="V752" s="1378"/>
      <c r="W752" s="1379"/>
      <c r="X752" s="1383">
        <f t="shared" si="41"/>
        <v>0</v>
      </c>
      <c r="Y752" s="1384"/>
      <c r="Z752" s="1384"/>
      <c r="AA752" s="1384"/>
      <c r="AB752" s="1385"/>
      <c r="AC752" s="1374"/>
      <c r="AD752" s="1375"/>
      <c r="AE752" s="1375"/>
      <c r="AF752" s="1375"/>
      <c r="AG752" s="1376"/>
      <c r="AH752" s="1386" t="str">
        <f t="shared" si="38"/>
        <v/>
      </c>
      <c r="AI752" s="1387"/>
      <c r="AJ752" s="1388"/>
      <c r="AK752" s="1389" t="s">
        <v>591</v>
      </c>
      <c r="AL752" s="1390"/>
      <c r="AM752" s="1390"/>
      <c r="AN752" s="1390"/>
      <c r="AO752" s="1391"/>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355">
        <f t="shared" si="39"/>
        <v>0</v>
      </c>
      <c r="CH752" s="1356"/>
      <c r="CI752" s="1352">
        <f t="shared" si="40"/>
        <v>0</v>
      </c>
      <c r="CJ752" s="1353"/>
      <c r="CK752" s="1355">
        <f t="shared" si="18"/>
        <v>0</v>
      </c>
      <c r="CL752" s="1356"/>
      <c r="CM752" s="1352">
        <f t="shared" si="19"/>
        <v>0</v>
      </c>
      <c r="CN752" s="1353"/>
      <c r="CO752" s="3"/>
      <c r="CP752" s="1341">
        <f t="shared" si="20"/>
        <v>0</v>
      </c>
      <c r="CQ752" s="1342"/>
      <c r="CR752" s="1342"/>
      <c r="CS752" s="1342"/>
      <c r="CT752" s="1343"/>
      <c r="CU752" s="1354">
        <f t="shared" si="21"/>
        <v>0</v>
      </c>
      <c r="CV752" s="1354"/>
      <c r="CW752" s="1354"/>
      <c r="CX752" s="1354"/>
      <c r="CY752" s="1354"/>
      <c r="CZ752" s="1354">
        <f t="shared" si="22"/>
        <v>0</v>
      </c>
      <c r="DA752" s="1354"/>
      <c r="DB752" s="1354"/>
      <c r="DC752" s="1354"/>
      <c r="DD752" s="1354"/>
      <c r="DE752" s="1354">
        <f t="shared" si="23"/>
        <v>0</v>
      </c>
      <c r="DF752" s="1354"/>
      <c r="DG752" s="1354"/>
      <c r="DH752" s="1354"/>
      <c r="DI752" s="1354"/>
      <c r="DJ752" s="1354">
        <f t="shared" si="24"/>
        <v>0</v>
      </c>
      <c r="DK752" s="1354"/>
      <c r="DL752" s="1354"/>
      <c r="DM752" s="1354"/>
      <c r="DN752" s="1354"/>
      <c r="DO752" s="1354">
        <f t="shared" si="25"/>
        <v>0</v>
      </c>
      <c r="DP752" s="1354"/>
      <c r="DQ752" s="1354"/>
      <c r="DR752" s="1354"/>
      <c r="DS752" s="1354"/>
      <c r="DT752" s="6"/>
      <c r="DU752" s="1394">
        <f t="shared" si="26"/>
        <v>0</v>
      </c>
      <c r="DV752" s="1394"/>
      <c r="DW752" s="1394"/>
      <c r="DX752" s="1394"/>
      <c r="DY752" s="1394"/>
      <c r="DZ752" s="1394">
        <f t="shared" si="27"/>
        <v>0</v>
      </c>
      <c r="EA752" s="1394"/>
      <c r="EB752" s="1394"/>
      <c r="EC752" s="1394"/>
      <c r="ED752" s="1394"/>
      <c r="EE752" s="1394">
        <f t="shared" si="28"/>
        <v>0</v>
      </c>
      <c r="EF752" s="1394"/>
      <c r="EG752" s="1394"/>
      <c r="EH752" s="1394"/>
      <c r="EI752" s="1394"/>
      <c r="EJ752" s="1394">
        <f t="shared" si="29"/>
        <v>0</v>
      </c>
      <c r="EK752" s="1394"/>
      <c r="EL752" s="1394"/>
      <c r="EM752" s="1394"/>
      <c r="EN752" s="1394"/>
      <c r="EO752" s="1394">
        <f t="shared" si="30"/>
        <v>0</v>
      </c>
      <c r="EP752" s="1394"/>
      <c r="EQ752" s="1394"/>
      <c r="ER752" s="1394"/>
      <c r="ES752" s="1394"/>
      <c r="ET752" s="1394">
        <f t="shared" si="31"/>
        <v>0</v>
      </c>
      <c r="EU752" s="1394"/>
      <c r="EV752" s="1394"/>
      <c r="EW752" s="1394"/>
      <c r="EX752" s="1394"/>
      <c r="EZ752" s="1355" t="str">
        <f t="shared" si="32"/>
        <v/>
      </c>
      <c r="FA752" s="1372"/>
      <c r="FB752" s="1372"/>
      <c r="FC752" s="1372"/>
      <c r="FD752" s="1356"/>
      <c r="FE752" s="1355" t="str">
        <f t="shared" si="33"/>
        <v/>
      </c>
      <c r="FF752" s="1372"/>
      <c r="FG752" s="1372"/>
      <c r="FH752" s="1372"/>
      <c r="FI752" s="1356"/>
      <c r="FJ752" s="1355" t="str">
        <f t="shared" si="34"/>
        <v/>
      </c>
      <c r="FK752" s="1372"/>
      <c r="FL752" s="1372"/>
      <c r="FM752" s="1372"/>
      <c r="FN752" s="1356"/>
      <c r="FO752" s="1355" t="str">
        <f t="shared" si="35"/>
        <v/>
      </c>
      <c r="FP752" s="1372"/>
      <c r="FQ752" s="1372"/>
      <c r="FR752" s="1372"/>
      <c r="FS752" s="1356"/>
      <c r="FT752" s="1355" t="str">
        <f t="shared" si="36"/>
        <v/>
      </c>
      <c r="FU752" s="1372"/>
      <c r="FV752" s="1372"/>
      <c r="FW752" s="1372"/>
      <c r="FX752" s="1356"/>
      <c r="FY752" s="1355" t="str">
        <f t="shared" si="37"/>
        <v/>
      </c>
      <c r="FZ752" s="1372"/>
      <c r="GA752" s="1372"/>
      <c r="GB752" s="1372"/>
      <c r="GC752" s="1356"/>
    </row>
    <row r="753" spans="1:185" ht="12.95" customHeight="1">
      <c r="B753" s="1389"/>
      <c r="C753" s="1390"/>
      <c r="D753" s="1390"/>
      <c r="E753" s="1390"/>
      <c r="F753" s="1391"/>
      <c r="G753" s="1380"/>
      <c r="H753" s="1381"/>
      <c r="I753" s="1381"/>
      <c r="J753" s="1382"/>
      <c r="K753" s="1349"/>
      <c r="L753" s="1350"/>
      <c r="M753" s="1350"/>
      <c r="N753" s="1351"/>
      <c r="O753" s="1377"/>
      <c r="P753" s="1378"/>
      <c r="Q753" s="1378"/>
      <c r="R753" s="1378"/>
      <c r="S753" s="1379"/>
      <c r="T753" s="1377"/>
      <c r="U753" s="1378"/>
      <c r="V753" s="1378"/>
      <c r="W753" s="1379"/>
      <c r="X753" s="1383">
        <f t="shared" si="41"/>
        <v>0</v>
      </c>
      <c r="Y753" s="1384"/>
      <c r="Z753" s="1384"/>
      <c r="AA753" s="1384"/>
      <c r="AB753" s="1385"/>
      <c r="AC753" s="1374"/>
      <c r="AD753" s="1375"/>
      <c r="AE753" s="1375"/>
      <c r="AF753" s="1375"/>
      <c r="AG753" s="1376"/>
      <c r="AH753" s="1386" t="str">
        <f t="shared" si="38"/>
        <v/>
      </c>
      <c r="AI753" s="1387"/>
      <c r="AJ753" s="1388"/>
      <c r="AK753" s="1389" t="s">
        <v>591</v>
      </c>
      <c r="AL753" s="1390"/>
      <c r="AM753" s="1390"/>
      <c r="AN753" s="1390"/>
      <c r="AO753" s="1391"/>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355">
        <f t="shared" si="39"/>
        <v>0</v>
      </c>
      <c r="CH753" s="1356"/>
      <c r="CI753" s="1352">
        <f t="shared" si="40"/>
        <v>0</v>
      </c>
      <c r="CJ753" s="1353"/>
      <c r="CK753" s="1355">
        <f t="shared" si="18"/>
        <v>0</v>
      </c>
      <c r="CL753" s="1356"/>
      <c r="CM753" s="1352">
        <f t="shared" si="19"/>
        <v>0</v>
      </c>
      <c r="CN753" s="1353"/>
      <c r="CO753" s="3"/>
      <c r="CP753" s="1341">
        <f t="shared" si="20"/>
        <v>0</v>
      </c>
      <c r="CQ753" s="1342"/>
      <c r="CR753" s="1342"/>
      <c r="CS753" s="1342"/>
      <c r="CT753" s="1343"/>
      <c r="CU753" s="1354">
        <f t="shared" si="21"/>
        <v>0</v>
      </c>
      <c r="CV753" s="1354"/>
      <c r="CW753" s="1354"/>
      <c r="CX753" s="1354"/>
      <c r="CY753" s="1354"/>
      <c r="CZ753" s="1354">
        <f t="shared" si="22"/>
        <v>0</v>
      </c>
      <c r="DA753" s="1354"/>
      <c r="DB753" s="1354"/>
      <c r="DC753" s="1354"/>
      <c r="DD753" s="1354"/>
      <c r="DE753" s="1354">
        <f t="shared" si="23"/>
        <v>0</v>
      </c>
      <c r="DF753" s="1354"/>
      <c r="DG753" s="1354"/>
      <c r="DH753" s="1354"/>
      <c r="DI753" s="1354"/>
      <c r="DJ753" s="1354">
        <f t="shared" si="24"/>
        <v>0</v>
      </c>
      <c r="DK753" s="1354"/>
      <c r="DL753" s="1354"/>
      <c r="DM753" s="1354"/>
      <c r="DN753" s="1354"/>
      <c r="DO753" s="1354">
        <f t="shared" si="25"/>
        <v>0</v>
      </c>
      <c r="DP753" s="1354"/>
      <c r="DQ753" s="1354"/>
      <c r="DR753" s="1354"/>
      <c r="DS753" s="1354"/>
      <c r="DT753" s="6"/>
      <c r="DU753" s="1394">
        <f t="shared" si="26"/>
        <v>0</v>
      </c>
      <c r="DV753" s="1394"/>
      <c r="DW753" s="1394"/>
      <c r="DX753" s="1394"/>
      <c r="DY753" s="1394"/>
      <c r="DZ753" s="1394">
        <f t="shared" si="27"/>
        <v>0</v>
      </c>
      <c r="EA753" s="1394"/>
      <c r="EB753" s="1394"/>
      <c r="EC753" s="1394"/>
      <c r="ED753" s="1394"/>
      <c r="EE753" s="1394">
        <f t="shared" si="28"/>
        <v>0</v>
      </c>
      <c r="EF753" s="1394"/>
      <c r="EG753" s="1394"/>
      <c r="EH753" s="1394"/>
      <c r="EI753" s="1394"/>
      <c r="EJ753" s="1394">
        <f t="shared" si="29"/>
        <v>0</v>
      </c>
      <c r="EK753" s="1394"/>
      <c r="EL753" s="1394"/>
      <c r="EM753" s="1394"/>
      <c r="EN753" s="1394"/>
      <c r="EO753" s="1394">
        <f t="shared" si="30"/>
        <v>0</v>
      </c>
      <c r="EP753" s="1394"/>
      <c r="EQ753" s="1394"/>
      <c r="ER753" s="1394"/>
      <c r="ES753" s="1394"/>
      <c r="ET753" s="1394">
        <f t="shared" si="31"/>
        <v>0</v>
      </c>
      <c r="EU753" s="1394"/>
      <c r="EV753" s="1394"/>
      <c r="EW753" s="1394"/>
      <c r="EX753" s="1394"/>
      <c r="EZ753" s="1355" t="str">
        <f t="shared" si="32"/>
        <v/>
      </c>
      <c r="FA753" s="1372"/>
      <c r="FB753" s="1372"/>
      <c r="FC753" s="1372"/>
      <c r="FD753" s="1356"/>
      <c r="FE753" s="1355" t="str">
        <f t="shared" si="33"/>
        <v/>
      </c>
      <c r="FF753" s="1372"/>
      <c r="FG753" s="1372"/>
      <c r="FH753" s="1372"/>
      <c r="FI753" s="1356"/>
      <c r="FJ753" s="1355" t="str">
        <f t="shared" si="34"/>
        <v/>
      </c>
      <c r="FK753" s="1372"/>
      <c r="FL753" s="1372"/>
      <c r="FM753" s="1372"/>
      <c r="FN753" s="1356"/>
      <c r="FO753" s="1355" t="str">
        <f t="shared" si="35"/>
        <v/>
      </c>
      <c r="FP753" s="1372"/>
      <c r="FQ753" s="1372"/>
      <c r="FR753" s="1372"/>
      <c r="FS753" s="1356"/>
      <c r="FT753" s="1355" t="str">
        <f t="shared" si="36"/>
        <v/>
      </c>
      <c r="FU753" s="1372"/>
      <c r="FV753" s="1372"/>
      <c r="FW753" s="1372"/>
      <c r="FX753" s="1356"/>
      <c r="FY753" s="1355" t="str">
        <f t="shared" si="37"/>
        <v/>
      </c>
      <c r="FZ753" s="1372"/>
      <c r="GA753" s="1372"/>
      <c r="GB753" s="1372"/>
      <c r="GC753" s="1356"/>
    </row>
    <row r="754" spans="1:185" ht="12.95" customHeight="1">
      <c r="B754" s="1389"/>
      <c r="C754" s="1390"/>
      <c r="D754" s="1390"/>
      <c r="E754" s="1390"/>
      <c r="F754" s="1391"/>
      <c r="G754" s="1380"/>
      <c r="H754" s="1381"/>
      <c r="I754" s="1381"/>
      <c r="J754" s="1382"/>
      <c r="K754" s="1349"/>
      <c r="L754" s="1350"/>
      <c r="M754" s="1350"/>
      <c r="N754" s="1351"/>
      <c r="O754" s="1377"/>
      <c r="P754" s="1378"/>
      <c r="Q754" s="1378"/>
      <c r="R754" s="1378"/>
      <c r="S754" s="1379"/>
      <c r="T754" s="1377"/>
      <c r="U754" s="1378"/>
      <c r="V754" s="1378"/>
      <c r="W754" s="1379"/>
      <c r="X754" s="1383">
        <f t="shared" si="41"/>
        <v>0</v>
      </c>
      <c r="Y754" s="1384"/>
      <c r="Z754" s="1384"/>
      <c r="AA754" s="1384"/>
      <c r="AB754" s="1385"/>
      <c r="AC754" s="1374"/>
      <c r="AD754" s="1375"/>
      <c r="AE754" s="1375"/>
      <c r="AF754" s="1375"/>
      <c r="AG754" s="1376"/>
      <c r="AH754" s="1386" t="str">
        <f t="shared" si="38"/>
        <v/>
      </c>
      <c r="AI754" s="1387"/>
      <c r="AJ754" s="1388"/>
      <c r="AK754" s="1389" t="s">
        <v>591</v>
      </c>
      <c r="AL754" s="1390"/>
      <c r="AM754" s="1390"/>
      <c r="AN754" s="1390"/>
      <c r="AO754" s="1391"/>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355">
        <f t="shared" si="39"/>
        <v>0</v>
      </c>
      <c r="CH754" s="1356"/>
      <c r="CI754" s="1352">
        <f t="shared" si="40"/>
        <v>0</v>
      </c>
      <c r="CJ754" s="1353"/>
      <c r="CK754" s="1355">
        <f t="shared" si="18"/>
        <v>0</v>
      </c>
      <c r="CL754" s="1356"/>
      <c r="CM754" s="1352">
        <f t="shared" si="19"/>
        <v>0</v>
      </c>
      <c r="CN754" s="1353"/>
      <c r="CO754" s="3"/>
      <c r="CP754" s="1341">
        <f t="shared" si="20"/>
        <v>0</v>
      </c>
      <c r="CQ754" s="1342"/>
      <c r="CR754" s="1342"/>
      <c r="CS754" s="1342"/>
      <c r="CT754" s="1343"/>
      <c r="CU754" s="1354">
        <f t="shared" si="21"/>
        <v>0</v>
      </c>
      <c r="CV754" s="1354"/>
      <c r="CW754" s="1354"/>
      <c r="CX754" s="1354"/>
      <c r="CY754" s="1354"/>
      <c r="CZ754" s="1354">
        <f t="shared" si="22"/>
        <v>0</v>
      </c>
      <c r="DA754" s="1354"/>
      <c r="DB754" s="1354"/>
      <c r="DC754" s="1354"/>
      <c r="DD754" s="1354"/>
      <c r="DE754" s="1354">
        <f t="shared" si="23"/>
        <v>0</v>
      </c>
      <c r="DF754" s="1354"/>
      <c r="DG754" s="1354"/>
      <c r="DH754" s="1354"/>
      <c r="DI754" s="1354"/>
      <c r="DJ754" s="1354">
        <f t="shared" si="24"/>
        <v>0</v>
      </c>
      <c r="DK754" s="1354"/>
      <c r="DL754" s="1354"/>
      <c r="DM754" s="1354"/>
      <c r="DN754" s="1354"/>
      <c r="DO754" s="1354">
        <f t="shared" si="25"/>
        <v>0</v>
      </c>
      <c r="DP754" s="1354"/>
      <c r="DQ754" s="1354"/>
      <c r="DR754" s="1354"/>
      <c r="DS754" s="1354"/>
      <c r="DT754" s="6"/>
      <c r="DU754" s="1394">
        <f t="shared" si="26"/>
        <v>0</v>
      </c>
      <c r="DV754" s="1394"/>
      <c r="DW754" s="1394"/>
      <c r="DX754" s="1394"/>
      <c r="DY754" s="1394"/>
      <c r="DZ754" s="1394">
        <f t="shared" si="27"/>
        <v>0</v>
      </c>
      <c r="EA754" s="1394"/>
      <c r="EB754" s="1394"/>
      <c r="EC754" s="1394"/>
      <c r="ED754" s="1394"/>
      <c r="EE754" s="1394">
        <f t="shared" si="28"/>
        <v>0</v>
      </c>
      <c r="EF754" s="1394"/>
      <c r="EG754" s="1394"/>
      <c r="EH754" s="1394"/>
      <c r="EI754" s="1394"/>
      <c r="EJ754" s="1394">
        <f t="shared" si="29"/>
        <v>0</v>
      </c>
      <c r="EK754" s="1394"/>
      <c r="EL754" s="1394"/>
      <c r="EM754" s="1394"/>
      <c r="EN754" s="1394"/>
      <c r="EO754" s="1394">
        <f t="shared" si="30"/>
        <v>0</v>
      </c>
      <c r="EP754" s="1394"/>
      <c r="EQ754" s="1394"/>
      <c r="ER754" s="1394"/>
      <c r="ES754" s="1394"/>
      <c r="ET754" s="1394">
        <f t="shared" si="31"/>
        <v>0</v>
      </c>
      <c r="EU754" s="1394"/>
      <c r="EV754" s="1394"/>
      <c r="EW754" s="1394"/>
      <c r="EX754" s="1394"/>
      <c r="EZ754" s="1355" t="str">
        <f t="shared" si="32"/>
        <v/>
      </c>
      <c r="FA754" s="1372"/>
      <c r="FB754" s="1372"/>
      <c r="FC754" s="1372"/>
      <c r="FD754" s="1356"/>
      <c r="FE754" s="1355" t="str">
        <f t="shared" si="33"/>
        <v/>
      </c>
      <c r="FF754" s="1372"/>
      <c r="FG754" s="1372"/>
      <c r="FH754" s="1372"/>
      <c r="FI754" s="1356"/>
      <c r="FJ754" s="1355" t="str">
        <f t="shared" si="34"/>
        <v/>
      </c>
      <c r="FK754" s="1372"/>
      <c r="FL754" s="1372"/>
      <c r="FM754" s="1372"/>
      <c r="FN754" s="1356"/>
      <c r="FO754" s="1355" t="str">
        <f t="shared" si="35"/>
        <v/>
      </c>
      <c r="FP754" s="1372"/>
      <c r="FQ754" s="1372"/>
      <c r="FR754" s="1372"/>
      <c r="FS754" s="1356"/>
      <c r="FT754" s="1355" t="str">
        <f t="shared" si="36"/>
        <v/>
      </c>
      <c r="FU754" s="1372"/>
      <c r="FV754" s="1372"/>
      <c r="FW754" s="1372"/>
      <c r="FX754" s="1356"/>
      <c r="FY754" s="1355" t="str">
        <f t="shared" si="37"/>
        <v/>
      </c>
      <c r="FZ754" s="1372"/>
      <c r="GA754" s="1372"/>
      <c r="GB754" s="1372"/>
      <c r="GC754" s="1356"/>
    </row>
    <row r="755" spans="1:185" ht="12.95" customHeight="1">
      <c r="B755" s="1389"/>
      <c r="C755" s="1390"/>
      <c r="D755" s="1390"/>
      <c r="E755" s="1390"/>
      <c r="F755" s="1391"/>
      <c r="G755" s="1380"/>
      <c r="H755" s="1381"/>
      <c r="I755" s="1381"/>
      <c r="J755" s="1382"/>
      <c r="K755" s="1349"/>
      <c r="L755" s="1350"/>
      <c r="M755" s="1350"/>
      <c r="N755" s="1351"/>
      <c r="O755" s="1377"/>
      <c r="P755" s="1378"/>
      <c r="Q755" s="1378"/>
      <c r="R755" s="1378"/>
      <c r="S755" s="1379"/>
      <c r="T755" s="1377"/>
      <c r="U755" s="1378"/>
      <c r="V755" s="1378"/>
      <c r="W755" s="1379"/>
      <c r="X755" s="1383">
        <f t="shared" si="41"/>
        <v>0</v>
      </c>
      <c r="Y755" s="1384"/>
      <c r="Z755" s="1384"/>
      <c r="AA755" s="1384"/>
      <c r="AB755" s="1385"/>
      <c r="AC755" s="1374"/>
      <c r="AD755" s="1375"/>
      <c r="AE755" s="1375"/>
      <c r="AF755" s="1375"/>
      <c r="AG755" s="1376"/>
      <c r="AH755" s="1386" t="str">
        <f t="shared" si="38"/>
        <v/>
      </c>
      <c r="AI755" s="1387"/>
      <c r="AJ755" s="1388"/>
      <c r="AK755" s="1389" t="s">
        <v>591</v>
      </c>
      <c r="AL755" s="1390"/>
      <c r="AM755" s="1390"/>
      <c r="AN755" s="1390"/>
      <c r="AO755" s="1391"/>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355">
        <f t="shared" si="39"/>
        <v>0</v>
      </c>
      <c r="CH755" s="1356"/>
      <c r="CI755" s="1352">
        <f t="shared" si="40"/>
        <v>0</v>
      </c>
      <c r="CJ755" s="1353"/>
      <c r="CK755" s="1355">
        <f t="shared" si="18"/>
        <v>0</v>
      </c>
      <c r="CL755" s="1356"/>
      <c r="CM755" s="1352">
        <f t="shared" si="19"/>
        <v>0</v>
      </c>
      <c r="CN755" s="1353"/>
      <c r="CO755" s="3"/>
      <c r="CP755" s="1341">
        <f t="shared" si="20"/>
        <v>0</v>
      </c>
      <c r="CQ755" s="1342"/>
      <c r="CR755" s="1342"/>
      <c r="CS755" s="1342"/>
      <c r="CT755" s="1343"/>
      <c r="CU755" s="1354">
        <f t="shared" si="21"/>
        <v>0</v>
      </c>
      <c r="CV755" s="1354"/>
      <c r="CW755" s="1354"/>
      <c r="CX755" s="1354"/>
      <c r="CY755" s="1354"/>
      <c r="CZ755" s="1354">
        <f t="shared" si="22"/>
        <v>0</v>
      </c>
      <c r="DA755" s="1354"/>
      <c r="DB755" s="1354"/>
      <c r="DC755" s="1354"/>
      <c r="DD755" s="1354"/>
      <c r="DE755" s="1354">
        <f t="shared" si="23"/>
        <v>0</v>
      </c>
      <c r="DF755" s="1354"/>
      <c r="DG755" s="1354"/>
      <c r="DH755" s="1354"/>
      <c r="DI755" s="1354"/>
      <c r="DJ755" s="1354">
        <f t="shared" si="24"/>
        <v>0</v>
      </c>
      <c r="DK755" s="1354"/>
      <c r="DL755" s="1354"/>
      <c r="DM755" s="1354"/>
      <c r="DN755" s="1354"/>
      <c r="DO755" s="1354">
        <f t="shared" si="25"/>
        <v>0</v>
      </c>
      <c r="DP755" s="1354"/>
      <c r="DQ755" s="1354"/>
      <c r="DR755" s="1354"/>
      <c r="DS755" s="1354"/>
      <c r="DT755" s="6"/>
      <c r="DU755" s="1394">
        <f t="shared" si="26"/>
        <v>0</v>
      </c>
      <c r="DV755" s="1394"/>
      <c r="DW755" s="1394"/>
      <c r="DX755" s="1394"/>
      <c r="DY755" s="1394"/>
      <c r="DZ755" s="1394">
        <f t="shared" si="27"/>
        <v>0</v>
      </c>
      <c r="EA755" s="1394"/>
      <c r="EB755" s="1394"/>
      <c r="EC755" s="1394"/>
      <c r="ED755" s="1394"/>
      <c r="EE755" s="1394">
        <f t="shared" si="28"/>
        <v>0</v>
      </c>
      <c r="EF755" s="1394"/>
      <c r="EG755" s="1394"/>
      <c r="EH755" s="1394"/>
      <c r="EI755" s="1394"/>
      <c r="EJ755" s="1394">
        <f t="shared" si="29"/>
        <v>0</v>
      </c>
      <c r="EK755" s="1394"/>
      <c r="EL755" s="1394"/>
      <c r="EM755" s="1394"/>
      <c r="EN755" s="1394"/>
      <c r="EO755" s="1394">
        <f t="shared" si="30"/>
        <v>0</v>
      </c>
      <c r="EP755" s="1394"/>
      <c r="EQ755" s="1394"/>
      <c r="ER755" s="1394"/>
      <c r="ES755" s="1394"/>
      <c r="ET755" s="1394">
        <f t="shared" si="31"/>
        <v>0</v>
      </c>
      <c r="EU755" s="1394"/>
      <c r="EV755" s="1394"/>
      <c r="EW755" s="1394"/>
      <c r="EX755" s="1394"/>
      <c r="EZ755" s="1355" t="str">
        <f t="shared" si="32"/>
        <v/>
      </c>
      <c r="FA755" s="1372"/>
      <c r="FB755" s="1372"/>
      <c r="FC755" s="1372"/>
      <c r="FD755" s="1356"/>
      <c r="FE755" s="1355" t="str">
        <f t="shared" si="33"/>
        <v/>
      </c>
      <c r="FF755" s="1372"/>
      <c r="FG755" s="1372"/>
      <c r="FH755" s="1372"/>
      <c r="FI755" s="1356"/>
      <c r="FJ755" s="1355" t="str">
        <f t="shared" si="34"/>
        <v/>
      </c>
      <c r="FK755" s="1372"/>
      <c r="FL755" s="1372"/>
      <c r="FM755" s="1372"/>
      <c r="FN755" s="1356"/>
      <c r="FO755" s="1355" t="str">
        <f t="shared" si="35"/>
        <v/>
      </c>
      <c r="FP755" s="1372"/>
      <c r="FQ755" s="1372"/>
      <c r="FR755" s="1372"/>
      <c r="FS755" s="1356"/>
      <c r="FT755" s="1355" t="str">
        <f t="shared" si="36"/>
        <v/>
      </c>
      <c r="FU755" s="1372"/>
      <c r="FV755" s="1372"/>
      <c r="FW755" s="1372"/>
      <c r="FX755" s="1356"/>
      <c r="FY755" s="1355" t="str">
        <f t="shared" si="37"/>
        <v/>
      </c>
      <c r="FZ755" s="1372"/>
      <c r="GA755" s="1372"/>
      <c r="GB755" s="1372"/>
      <c r="GC755" s="1356"/>
    </row>
    <row r="756" spans="1:185" s="3" customFormat="1" ht="12.95" customHeight="1">
      <c r="A756"/>
      <c r="B756" s="1389"/>
      <c r="C756" s="1390"/>
      <c r="D756" s="1390"/>
      <c r="E756" s="1390"/>
      <c r="F756" s="1391"/>
      <c r="G756" s="1380"/>
      <c r="H756" s="1381"/>
      <c r="I756" s="1381"/>
      <c r="J756" s="1382"/>
      <c r="K756" s="1349"/>
      <c r="L756" s="1350"/>
      <c r="M756" s="1350"/>
      <c r="N756" s="1351"/>
      <c r="O756" s="1377"/>
      <c r="P756" s="1378"/>
      <c r="Q756" s="1378"/>
      <c r="R756" s="1378"/>
      <c r="S756" s="1379"/>
      <c r="T756" s="1377"/>
      <c r="U756" s="1378"/>
      <c r="V756" s="1378"/>
      <c r="W756" s="1379"/>
      <c r="X756" s="1383">
        <f t="shared" si="41"/>
        <v>0</v>
      </c>
      <c r="Y756" s="1384"/>
      <c r="Z756" s="1384"/>
      <c r="AA756" s="1384"/>
      <c r="AB756" s="1385"/>
      <c r="AC756" s="1374"/>
      <c r="AD756" s="1375"/>
      <c r="AE756" s="1375"/>
      <c r="AF756" s="1375"/>
      <c r="AG756" s="1376"/>
      <c r="AH756" s="1386" t="str">
        <f t="shared" si="38"/>
        <v/>
      </c>
      <c r="AI756" s="1387"/>
      <c r="AJ756" s="1388"/>
      <c r="AK756" s="1389" t="s">
        <v>591</v>
      </c>
      <c r="AL756" s="1390"/>
      <c r="AM756" s="1390"/>
      <c r="AN756" s="1390"/>
      <c r="AO756" s="1391"/>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355">
        <f t="shared" si="39"/>
        <v>0</v>
      </c>
      <c r="CH756" s="1356"/>
      <c r="CI756" s="1352">
        <f t="shared" si="40"/>
        <v>0</v>
      </c>
      <c r="CJ756" s="1353"/>
      <c r="CK756" s="1355">
        <f t="shared" si="18"/>
        <v>0</v>
      </c>
      <c r="CL756" s="1356"/>
      <c r="CM756" s="1352">
        <f t="shared" si="19"/>
        <v>0</v>
      </c>
      <c r="CN756" s="1353"/>
      <c r="CP756" s="1341">
        <f t="shared" si="20"/>
        <v>0</v>
      </c>
      <c r="CQ756" s="1342"/>
      <c r="CR756" s="1342"/>
      <c r="CS756" s="1342"/>
      <c r="CT756" s="1343"/>
      <c r="CU756" s="1354">
        <f t="shared" si="21"/>
        <v>0</v>
      </c>
      <c r="CV756" s="1354"/>
      <c r="CW756" s="1354"/>
      <c r="CX756" s="1354"/>
      <c r="CY756" s="1354"/>
      <c r="CZ756" s="1354">
        <f t="shared" si="22"/>
        <v>0</v>
      </c>
      <c r="DA756" s="1354"/>
      <c r="DB756" s="1354"/>
      <c r="DC756" s="1354"/>
      <c r="DD756" s="1354"/>
      <c r="DE756" s="1354">
        <f t="shared" si="23"/>
        <v>0</v>
      </c>
      <c r="DF756" s="1354"/>
      <c r="DG756" s="1354"/>
      <c r="DH756" s="1354"/>
      <c r="DI756" s="1354"/>
      <c r="DJ756" s="1354">
        <f t="shared" si="24"/>
        <v>0</v>
      </c>
      <c r="DK756" s="1354"/>
      <c r="DL756" s="1354"/>
      <c r="DM756" s="1354"/>
      <c r="DN756" s="1354"/>
      <c r="DO756" s="1354">
        <f t="shared" si="25"/>
        <v>0</v>
      </c>
      <c r="DP756" s="1354"/>
      <c r="DQ756" s="1354"/>
      <c r="DR756" s="1354"/>
      <c r="DS756" s="1354"/>
      <c r="DT756" s="6"/>
      <c r="DU756" s="1394">
        <f t="shared" si="26"/>
        <v>0</v>
      </c>
      <c r="DV756" s="1394"/>
      <c r="DW756" s="1394"/>
      <c r="DX756" s="1394"/>
      <c r="DY756" s="1394"/>
      <c r="DZ756" s="1394">
        <f t="shared" si="27"/>
        <v>0</v>
      </c>
      <c r="EA756" s="1394"/>
      <c r="EB756" s="1394"/>
      <c r="EC756" s="1394"/>
      <c r="ED756" s="1394"/>
      <c r="EE756" s="1394">
        <f t="shared" si="28"/>
        <v>0</v>
      </c>
      <c r="EF756" s="1394"/>
      <c r="EG756" s="1394"/>
      <c r="EH756" s="1394"/>
      <c r="EI756" s="1394"/>
      <c r="EJ756" s="1394">
        <f t="shared" si="29"/>
        <v>0</v>
      </c>
      <c r="EK756" s="1394"/>
      <c r="EL756" s="1394"/>
      <c r="EM756" s="1394"/>
      <c r="EN756" s="1394"/>
      <c r="EO756" s="1394">
        <f t="shared" si="30"/>
        <v>0</v>
      </c>
      <c r="EP756" s="1394"/>
      <c r="EQ756" s="1394"/>
      <c r="ER756" s="1394"/>
      <c r="ES756" s="1394"/>
      <c r="ET756" s="1394">
        <f t="shared" si="31"/>
        <v>0</v>
      </c>
      <c r="EU756" s="1394"/>
      <c r="EV756" s="1394"/>
      <c r="EW756" s="1394"/>
      <c r="EX756" s="1394"/>
      <c r="EY756"/>
      <c r="EZ756" s="1355" t="str">
        <f t="shared" si="32"/>
        <v/>
      </c>
      <c r="FA756" s="1372"/>
      <c r="FB756" s="1372"/>
      <c r="FC756" s="1372"/>
      <c r="FD756" s="1356"/>
      <c r="FE756" s="1355" t="str">
        <f t="shared" si="33"/>
        <v/>
      </c>
      <c r="FF756" s="1372"/>
      <c r="FG756" s="1372"/>
      <c r="FH756" s="1372"/>
      <c r="FI756" s="1356"/>
      <c r="FJ756" s="1355" t="str">
        <f t="shared" si="34"/>
        <v/>
      </c>
      <c r="FK756" s="1372"/>
      <c r="FL756" s="1372"/>
      <c r="FM756" s="1372"/>
      <c r="FN756" s="1356"/>
      <c r="FO756" s="1355" t="str">
        <f t="shared" si="35"/>
        <v/>
      </c>
      <c r="FP756" s="1372"/>
      <c r="FQ756" s="1372"/>
      <c r="FR756" s="1372"/>
      <c r="FS756" s="1356"/>
      <c r="FT756" s="1355" t="str">
        <f t="shared" si="36"/>
        <v/>
      </c>
      <c r="FU756" s="1372"/>
      <c r="FV756" s="1372"/>
      <c r="FW756" s="1372"/>
      <c r="FX756" s="1356"/>
      <c r="FY756" s="1355" t="str">
        <f t="shared" si="37"/>
        <v/>
      </c>
      <c r="FZ756" s="1372"/>
      <c r="GA756" s="1372"/>
      <c r="GB756" s="1372"/>
      <c r="GC756" s="1356"/>
    </row>
    <row r="757" spans="1:185" s="3" customFormat="1" ht="12.95" customHeight="1">
      <c r="A757"/>
      <c r="B757" s="1389"/>
      <c r="C757" s="1390"/>
      <c r="D757" s="1390"/>
      <c r="E757" s="1390"/>
      <c r="F757" s="1391"/>
      <c r="G757" s="1380"/>
      <c r="H757" s="1381"/>
      <c r="I757" s="1381"/>
      <c r="J757" s="1382"/>
      <c r="K757" s="1349"/>
      <c r="L757" s="1350"/>
      <c r="M757" s="1350"/>
      <c r="N757" s="1351"/>
      <c r="O757" s="1377"/>
      <c r="P757" s="1378"/>
      <c r="Q757" s="1378"/>
      <c r="R757" s="1378"/>
      <c r="S757" s="1379"/>
      <c r="T757" s="1377"/>
      <c r="U757" s="1378"/>
      <c r="V757" s="1378"/>
      <c r="W757" s="1379"/>
      <c r="X757" s="1383">
        <f t="shared" si="41"/>
        <v>0</v>
      </c>
      <c r="Y757" s="1384"/>
      <c r="Z757" s="1384"/>
      <c r="AA757" s="1384"/>
      <c r="AB757" s="1385"/>
      <c r="AC757" s="1374"/>
      <c r="AD757" s="1375"/>
      <c r="AE757" s="1375"/>
      <c r="AF757" s="1375"/>
      <c r="AG757" s="1376"/>
      <c r="AH757" s="1386" t="str">
        <f t="shared" si="38"/>
        <v/>
      </c>
      <c r="AI757" s="1387"/>
      <c r="AJ757" s="1388"/>
      <c r="AK757" s="1389" t="s">
        <v>591</v>
      </c>
      <c r="AL757" s="1390"/>
      <c r="AM757" s="1390"/>
      <c r="AN757" s="1390"/>
      <c r="AO757" s="1391"/>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355">
        <f t="shared" si="39"/>
        <v>0</v>
      </c>
      <c r="CH757" s="1356"/>
      <c r="CI757" s="1352">
        <f t="shared" si="40"/>
        <v>0</v>
      </c>
      <c r="CJ757" s="1353"/>
      <c r="CK757" s="1355">
        <f t="shared" si="18"/>
        <v>0</v>
      </c>
      <c r="CL757" s="1356"/>
      <c r="CM757" s="1352">
        <f t="shared" si="19"/>
        <v>0</v>
      </c>
      <c r="CN757" s="1353"/>
      <c r="CP757" s="1341">
        <f t="shared" si="20"/>
        <v>0</v>
      </c>
      <c r="CQ757" s="1342"/>
      <c r="CR757" s="1342"/>
      <c r="CS757" s="1342"/>
      <c r="CT757" s="1343"/>
      <c r="CU757" s="1354">
        <f t="shared" si="21"/>
        <v>0</v>
      </c>
      <c r="CV757" s="1354"/>
      <c r="CW757" s="1354"/>
      <c r="CX757" s="1354"/>
      <c r="CY757" s="1354"/>
      <c r="CZ757" s="1354">
        <f t="shared" si="22"/>
        <v>0</v>
      </c>
      <c r="DA757" s="1354"/>
      <c r="DB757" s="1354"/>
      <c r="DC757" s="1354"/>
      <c r="DD757" s="1354"/>
      <c r="DE757" s="1354">
        <f t="shared" si="23"/>
        <v>0</v>
      </c>
      <c r="DF757" s="1354"/>
      <c r="DG757" s="1354"/>
      <c r="DH757" s="1354"/>
      <c r="DI757" s="1354"/>
      <c r="DJ757" s="1354">
        <f t="shared" si="24"/>
        <v>0</v>
      </c>
      <c r="DK757" s="1354"/>
      <c r="DL757" s="1354"/>
      <c r="DM757" s="1354"/>
      <c r="DN757" s="1354"/>
      <c r="DO757" s="1354">
        <f t="shared" si="25"/>
        <v>0</v>
      </c>
      <c r="DP757" s="1354"/>
      <c r="DQ757" s="1354"/>
      <c r="DR757" s="1354"/>
      <c r="DS757" s="1354"/>
      <c r="DT757" s="6"/>
      <c r="DU757" s="1394">
        <f t="shared" si="26"/>
        <v>0</v>
      </c>
      <c r="DV757" s="1394"/>
      <c r="DW757" s="1394"/>
      <c r="DX757" s="1394"/>
      <c r="DY757" s="1394"/>
      <c r="DZ757" s="1394">
        <f t="shared" si="27"/>
        <v>0</v>
      </c>
      <c r="EA757" s="1394"/>
      <c r="EB757" s="1394"/>
      <c r="EC757" s="1394"/>
      <c r="ED757" s="1394"/>
      <c r="EE757" s="1394">
        <f t="shared" si="28"/>
        <v>0</v>
      </c>
      <c r="EF757" s="1394"/>
      <c r="EG757" s="1394"/>
      <c r="EH757" s="1394"/>
      <c r="EI757" s="1394"/>
      <c r="EJ757" s="1394">
        <f t="shared" si="29"/>
        <v>0</v>
      </c>
      <c r="EK757" s="1394"/>
      <c r="EL757" s="1394"/>
      <c r="EM757" s="1394"/>
      <c r="EN757" s="1394"/>
      <c r="EO757" s="1394">
        <f t="shared" si="30"/>
        <v>0</v>
      </c>
      <c r="EP757" s="1394"/>
      <c r="EQ757" s="1394"/>
      <c r="ER757" s="1394"/>
      <c r="ES757" s="1394"/>
      <c r="ET757" s="1394">
        <f t="shared" si="31"/>
        <v>0</v>
      </c>
      <c r="EU757" s="1394"/>
      <c r="EV757" s="1394"/>
      <c r="EW757" s="1394"/>
      <c r="EX757" s="1394"/>
      <c r="EY757"/>
      <c r="EZ757" s="1355" t="str">
        <f t="shared" si="32"/>
        <v/>
      </c>
      <c r="FA757" s="1372"/>
      <c r="FB757" s="1372"/>
      <c r="FC757" s="1372"/>
      <c r="FD757" s="1356"/>
      <c r="FE757" s="1355" t="str">
        <f t="shared" si="33"/>
        <v/>
      </c>
      <c r="FF757" s="1372"/>
      <c r="FG757" s="1372"/>
      <c r="FH757" s="1372"/>
      <c r="FI757" s="1356"/>
      <c r="FJ757" s="1355" t="str">
        <f t="shared" si="34"/>
        <v/>
      </c>
      <c r="FK757" s="1372"/>
      <c r="FL757" s="1372"/>
      <c r="FM757" s="1372"/>
      <c r="FN757" s="1356"/>
      <c r="FO757" s="1355" t="str">
        <f t="shared" si="35"/>
        <v/>
      </c>
      <c r="FP757" s="1372"/>
      <c r="FQ757" s="1372"/>
      <c r="FR757" s="1372"/>
      <c r="FS757" s="1356"/>
      <c r="FT757" s="1355" t="str">
        <f t="shared" si="36"/>
        <v/>
      </c>
      <c r="FU757" s="1372"/>
      <c r="FV757" s="1372"/>
      <c r="FW757" s="1372"/>
      <c r="FX757" s="1356"/>
      <c r="FY757" s="1355" t="str">
        <f t="shared" si="37"/>
        <v/>
      </c>
      <c r="FZ757" s="1372"/>
      <c r="GA757" s="1372"/>
      <c r="GB757" s="1372"/>
      <c r="GC757" s="1356"/>
    </row>
    <row r="758" spans="1:185" s="3" customFormat="1" ht="12.95" customHeight="1">
      <c r="A758"/>
      <c r="B758" s="1389"/>
      <c r="C758" s="1390"/>
      <c r="D758" s="1390"/>
      <c r="E758" s="1390"/>
      <c r="F758" s="1391"/>
      <c r="G758" s="1380"/>
      <c r="H758" s="1381"/>
      <c r="I758" s="1381"/>
      <c r="J758" s="1382"/>
      <c r="K758" s="1349"/>
      <c r="L758" s="1350"/>
      <c r="M758" s="1350"/>
      <c r="N758" s="1351"/>
      <c r="O758" s="1377"/>
      <c r="P758" s="1378"/>
      <c r="Q758" s="1378"/>
      <c r="R758" s="1378"/>
      <c r="S758" s="1379"/>
      <c r="T758" s="1377"/>
      <c r="U758" s="1378"/>
      <c r="V758" s="1378"/>
      <c r="W758" s="1379"/>
      <c r="X758" s="1383">
        <f t="shared" si="41"/>
        <v>0</v>
      </c>
      <c r="Y758" s="1384"/>
      <c r="Z758" s="1384"/>
      <c r="AA758" s="1384"/>
      <c r="AB758" s="1385"/>
      <c r="AC758" s="1374"/>
      <c r="AD758" s="1375"/>
      <c r="AE758" s="1375"/>
      <c r="AF758" s="1375"/>
      <c r="AG758" s="1376"/>
      <c r="AH758" s="1386" t="str">
        <f t="shared" si="38"/>
        <v/>
      </c>
      <c r="AI758" s="1387"/>
      <c r="AJ758" s="1388"/>
      <c r="AK758" s="1389" t="s">
        <v>591</v>
      </c>
      <c r="AL758" s="1390"/>
      <c r="AM758" s="1390"/>
      <c r="AN758" s="1390"/>
      <c r="AO758" s="1391"/>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355">
        <f t="shared" si="39"/>
        <v>0</v>
      </c>
      <c r="CH758" s="1356"/>
      <c r="CI758" s="1352">
        <f t="shared" si="40"/>
        <v>0</v>
      </c>
      <c r="CJ758" s="1353"/>
      <c r="CK758" s="1355">
        <f t="shared" si="18"/>
        <v>0</v>
      </c>
      <c r="CL758" s="1356"/>
      <c r="CM758" s="1352">
        <f t="shared" si="19"/>
        <v>0</v>
      </c>
      <c r="CN758" s="1353"/>
      <c r="CP758" s="1341">
        <f t="shared" si="20"/>
        <v>0</v>
      </c>
      <c r="CQ758" s="1342"/>
      <c r="CR758" s="1342"/>
      <c r="CS758" s="1342"/>
      <c r="CT758" s="1343"/>
      <c r="CU758" s="1354">
        <f t="shared" si="21"/>
        <v>0</v>
      </c>
      <c r="CV758" s="1354"/>
      <c r="CW758" s="1354"/>
      <c r="CX758" s="1354"/>
      <c r="CY758" s="1354"/>
      <c r="CZ758" s="1354">
        <f t="shared" si="22"/>
        <v>0</v>
      </c>
      <c r="DA758" s="1354"/>
      <c r="DB758" s="1354"/>
      <c r="DC758" s="1354"/>
      <c r="DD758" s="1354"/>
      <c r="DE758" s="1354">
        <f t="shared" si="23"/>
        <v>0</v>
      </c>
      <c r="DF758" s="1354"/>
      <c r="DG758" s="1354"/>
      <c r="DH758" s="1354"/>
      <c r="DI758" s="1354"/>
      <c r="DJ758" s="1354">
        <f t="shared" si="24"/>
        <v>0</v>
      </c>
      <c r="DK758" s="1354"/>
      <c r="DL758" s="1354"/>
      <c r="DM758" s="1354"/>
      <c r="DN758" s="1354"/>
      <c r="DO758" s="1354">
        <f t="shared" si="25"/>
        <v>0</v>
      </c>
      <c r="DP758" s="1354"/>
      <c r="DQ758" s="1354"/>
      <c r="DR758" s="1354"/>
      <c r="DS758" s="1354"/>
      <c r="DT758" s="6"/>
      <c r="DU758" s="1394">
        <f t="shared" si="26"/>
        <v>0</v>
      </c>
      <c r="DV758" s="1394"/>
      <c r="DW758" s="1394"/>
      <c r="DX758" s="1394"/>
      <c r="DY758" s="1394"/>
      <c r="DZ758" s="1394">
        <f t="shared" si="27"/>
        <v>0</v>
      </c>
      <c r="EA758" s="1394"/>
      <c r="EB758" s="1394"/>
      <c r="EC758" s="1394"/>
      <c r="ED758" s="1394"/>
      <c r="EE758" s="1394">
        <f t="shared" si="28"/>
        <v>0</v>
      </c>
      <c r="EF758" s="1394"/>
      <c r="EG758" s="1394"/>
      <c r="EH758" s="1394"/>
      <c r="EI758" s="1394"/>
      <c r="EJ758" s="1394">
        <f t="shared" si="29"/>
        <v>0</v>
      </c>
      <c r="EK758" s="1394"/>
      <c r="EL758" s="1394"/>
      <c r="EM758" s="1394"/>
      <c r="EN758" s="1394"/>
      <c r="EO758" s="1394">
        <f t="shared" si="30"/>
        <v>0</v>
      </c>
      <c r="EP758" s="1394"/>
      <c r="EQ758" s="1394"/>
      <c r="ER758" s="1394"/>
      <c r="ES758" s="1394"/>
      <c r="ET758" s="1394">
        <f t="shared" si="31"/>
        <v>0</v>
      </c>
      <c r="EU758" s="1394"/>
      <c r="EV758" s="1394"/>
      <c r="EW758" s="1394"/>
      <c r="EX758" s="1394"/>
      <c r="EY758"/>
      <c r="EZ758" s="1355" t="str">
        <f t="shared" si="32"/>
        <v/>
      </c>
      <c r="FA758" s="1372"/>
      <c r="FB758" s="1372"/>
      <c r="FC758" s="1372"/>
      <c r="FD758" s="1356"/>
      <c r="FE758" s="1355" t="str">
        <f t="shared" si="33"/>
        <v/>
      </c>
      <c r="FF758" s="1372"/>
      <c r="FG758" s="1372"/>
      <c r="FH758" s="1372"/>
      <c r="FI758" s="1356"/>
      <c r="FJ758" s="1355" t="str">
        <f t="shared" si="34"/>
        <v/>
      </c>
      <c r="FK758" s="1372"/>
      <c r="FL758" s="1372"/>
      <c r="FM758" s="1372"/>
      <c r="FN758" s="1356"/>
      <c r="FO758" s="1355" t="str">
        <f t="shared" si="35"/>
        <v/>
      </c>
      <c r="FP758" s="1372"/>
      <c r="FQ758" s="1372"/>
      <c r="FR758" s="1372"/>
      <c r="FS758" s="1356"/>
      <c r="FT758" s="1355" t="str">
        <f t="shared" si="36"/>
        <v/>
      </c>
      <c r="FU758" s="1372"/>
      <c r="FV758" s="1372"/>
      <c r="FW758" s="1372"/>
      <c r="FX758" s="1356"/>
      <c r="FY758" s="1355" t="str">
        <f t="shared" si="37"/>
        <v/>
      </c>
      <c r="FZ758" s="1372"/>
      <c r="GA758" s="1372"/>
      <c r="GB758" s="1372"/>
      <c r="GC758" s="1356"/>
    </row>
    <row r="759" spans="1:185" s="3" customFormat="1" ht="12.95" customHeight="1">
      <c r="A759"/>
      <c r="B759" s="1389"/>
      <c r="C759" s="1390"/>
      <c r="D759" s="1390"/>
      <c r="E759" s="1390"/>
      <c r="F759" s="1391"/>
      <c r="G759" s="1380"/>
      <c r="H759" s="1381"/>
      <c r="I759" s="1381"/>
      <c r="J759" s="1382"/>
      <c r="K759" s="1349"/>
      <c r="L759" s="1350"/>
      <c r="M759" s="1350"/>
      <c r="N759" s="1351"/>
      <c r="O759" s="1377"/>
      <c r="P759" s="1378"/>
      <c r="Q759" s="1378"/>
      <c r="R759" s="1378"/>
      <c r="S759" s="1379"/>
      <c r="T759" s="1377"/>
      <c r="U759" s="1378"/>
      <c r="V759" s="1378"/>
      <c r="W759" s="1379"/>
      <c r="X759" s="1383">
        <f t="shared" si="41"/>
        <v>0</v>
      </c>
      <c r="Y759" s="1384"/>
      <c r="Z759" s="1384"/>
      <c r="AA759" s="1384"/>
      <c r="AB759" s="1385"/>
      <c r="AC759" s="1374"/>
      <c r="AD759" s="1375"/>
      <c r="AE759" s="1375"/>
      <c r="AF759" s="1375"/>
      <c r="AG759" s="1376"/>
      <c r="AH759" s="1386" t="str">
        <f t="shared" si="38"/>
        <v/>
      </c>
      <c r="AI759" s="1387"/>
      <c r="AJ759" s="1388"/>
      <c r="AK759" s="1389" t="s">
        <v>591</v>
      </c>
      <c r="AL759" s="1390"/>
      <c r="AM759" s="1390"/>
      <c r="AN759" s="1390"/>
      <c r="AO759" s="1391"/>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355">
        <f t="shared" si="39"/>
        <v>0</v>
      </c>
      <c r="CH759" s="1356"/>
      <c r="CI759" s="1352">
        <f t="shared" si="40"/>
        <v>0</v>
      </c>
      <c r="CJ759" s="1353"/>
      <c r="CK759" s="1355">
        <f t="shared" si="18"/>
        <v>0</v>
      </c>
      <c r="CL759" s="1356"/>
      <c r="CM759" s="1352">
        <f t="shared" si="19"/>
        <v>0</v>
      </c>
      <c r="CN759" s="1353"/>
      <c r="CP759" s="1341">
        <f t="shared" si="20"/>
        <v>0</v>
      </c>
      <c r="CQ759" s="1342"/>
      <c r="CR759" s="1342"/>
      <c r="CS759" s="1342"/>
      <c r="CT759" s="1343"/>
      <c r="CU759" s="1354">
        <f t="shared" si="21"/>
        <v>0</v>
      </c>
      <c r="CV759" s="1354"/>
      <c r="CW759" s="1354"/>
      <c r="CX759" s="1354"/>
      <c r="CY759" s="1354"/>
      <c r="CZ759" s="1354">
        <f t="shared" si="22"/>
        <v>0</v>
      </c>
      <c r="DA759" s="1354"/>
      <c r="DB759" s="1354"/>
      <c r="DC759" s="1354"/>
      <c r="DD759" s="1354"/>
      <c r="DE759" s="1354">
        <f t="shared" si="23"/>
        <v>0</v>
      </c>
      <c r="DF759" s="1354"/>
      <c r="DG759" s="1354"/>
      <c r="DH759" s="1354"/>
      <c r="DI759" s="1354"/>
      <c r="DJ759" s="1354">
        <f t="shared" si="24"/>
        <v>0</v>
      </c>
      <c r="DK759" s="1354"/>
      <c r="DL759" s="1354"/>
      <c r="DM759" s="1354"/>
      <c r="DN759" s="1354"/>
      <c r="DO759" s="1354">
        <f t="shared" si="25"/>
        <v>0</v>
      </c>
      <c r="DP759" s="1354"/>
      <c r="DQ759" s="1354"/>
      <c r="DR759" s="1354"/>
      <c r="DS759" s="1354"/>
      <c r="DT759" s="6"/>
      <c r="DU759" s="1394">
        <f t="shared" si="26"/>
        <v>0</v>
      </c>
      <c r="DV759" s="1394"/>
      <c r="DW759" s="1394"/>
      <c r="DX759" s="1394"/>
      <c r="DY759" s="1394"/>
      <c r="DZ759" s="1394">
        <f t="shared" si="27"/>
        <v>0</v>
      </c>
      <c r="EA759" s="1394"/>
      <c r="EB759" s="1394"/>
      <c r="EC759" s="1394"/>
      <c r="ED759" s="1394"/>
      <c r="EE759" s="1394">
        <f t="shared" si="28"/>
        <v>0</v>
      </c>
      <c r="EF759" s="1394"/>
      <c r="EG759" s="1394"/>
      <c r="EH759" s="1394"/>
      <c r="EI759" s="1394"/>
      <c r="EJ759" s="1394">
        <f t="shared" si="29"/>
        <v>0</v>
      </c>
      <c r="EK759" s="1394"/>
      <c r="EL759" s="1394"/>
      <c r="EM759" s="1394"/>
      <c r="EN759" s="1394"/>
      <c r="EO759" s="1394">
        <f t="shared" si="30"/>
        <v>0</v>
      </c>
      <c r="EP759" s="1394"/>
      <c r="EQ759" s="1394"/>
      <c r="ER759" s="1394"/>
      <c r="ES759" s="1394"/>
      <c r="ET759" s="1394">
        <f t="shared" si="31"/>
        <v>0</v>
      </c>
      <c r="EU759" s="1394"/>
      <c r="EV759" s="1394"/>
      <c r="EW759" s="1394"/>
      <c r="EX759" s="1394"/>
      <c r="EY759"/>
      <c r="EZ759" s="1355" t="str">
        <f t="shared" si="32"/>
        <v/>
      </c>
      <c r="FA759" s="1372"/>
      <c r="FB759" s="1372"/>
      <c r="FC759" s="1372"/>
      <c r="FD759" s="1356"/>
      <c r="FE759" s="1355" t="str">
        <f t="shared" si="33"/>
        <v/>
      </c>
      <c r="FF759" s="1372"/>
      <c r="FG759" s="1372"/>
      <c r="FH759" s="1372"/>
      <c r="FI759" s="1356"/>
      <c r="FJ759" s="1355" t="str">
        <f t="shared" si="34"/>
        <v/>
      </c>
      <c r="FK759" s="1372"/>
      <c r="FL759" s="1372"/>
      <c r="FM759" s="1372"/>
      <c r="FN759" s="1356"/>
      <c r="FO759" s="1355" t="str">
        <f t="shared" si="35"/>
        <v/>
      </c>
      <c r="FP759" s="1372"/>
      <c r="FQ759" s="1372"/>
      <c r="FR759" s="1372"/>
      <c r="FS759" s="1356"/>
      <c r="FT759" s="1355" t="str">
        <f t="shared" si="36"/>
        <v/>
      </c>
      <c r="FU759" s="1372"/>
      <c r="FV759" s="1372"/>
      <c r="FW759" s="1372"/>
      <c r="FX759" s="1356"/>
      <c r="FY759" s="1355" t="str">
        <f t="shared" si="37"/>
        <v/>
      </c>
      <c r="FZ759" s="1372"/>
      <c r="GA759" s="1372"/>
      <c r="GB759" s="1372"/>
      <c r="GC759" s="1356"/>
    </row>
    <row r="760" spans="1:185" s="3" customFormat="1" ht="12.95" customHeight="1">
      <c r="A760"/>
      <c r="B760" s="1389"/>
      <c r="C760" s="1390"/>
      <c r="D760" s="1390"/>
      <c r="E760" s="1390"/>
      <c r="F760" s="1391"/>
      <c r="G760" s="1380"/>
      <c r="H760" s="1381"/>
      <c r="I760" s="1381"/>
      <c r="J760" s="1382"/>
      <c r="K760" s="1349"/>
      <c r="L760" s="1350"/>
      <c r="M760" s="1350"/>
      <c r="N760" s="1351"/>
      <c r="O760" s="1377"/>
      <c r="P760" s="1378"/>
      <c r="Q760" s="1378"/>
      <c r="R760" s="1378"/>
      <c r="S760" s="1379"/>
      <c r="T760" s="1377"/>
      <c r="U760" s="1378"/>
      <c r="V760" s="1378"/>
      <c r="W760" s="1379"/>
      <c r="X760" s="1383">
        <f>O760+T760</f>
        <v>0</v>
      </c>
      <c r="Y760" s="1384"/>
      <c r="Z760" s="1384"/>
      <c r="AA760" s="1384"/>
      <c r="AB760" s="1385"/>
      <c r="AC760" s="1374"/>
      <c r="AD760" s="1375"/>
      <c r="AE760" s="1375"/>
      <c r="AF760" s="1375"/>
      <c r="AG760" s="1376"/>
      <c r="AH760" s="1386" t="str">
        <f t="shared" si="38"/>
        <v/>
      </c>
      <c r="AI760" s="1387"/>
      <c r="AJ760" s="1388"/>
      <c r="AK760" s="1389" t="s">
        <v>591</v>
      </c>
      <c r="AL760" s="1390"/>
      <c r="AM760" s="1390"/>
      <c r="AN760" s="1390"/>
      <c r="AO760" s="1391"/>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355">
        <f t="shared" si="39"/>
        <v>0</v>
      </c>
      <c r="CH760" s="1356"/>
      <c r="CI760" s="1352">
        <f t="shared" si="40"/>
        <v>0</v>
      </c>
      <c r="CJ760" s="1353"/>
      <c r="CK760" s="1355">
        <f t="shared" si="18"/>
        <v>0</v>
      </c>
      <c r="CL760" s="1356"/>
      <c r="CM760" s="1352">
        <f t="shared" si="19"/>
        <v>0</v>
      </c>
      <c r="CN760" s="1353"/>
      <c r="CP760" s="1341">
        <f t="shared" si="20"/>
        <v>0</v>
      </c>
      <c r="CQ760" s="1342"/>
      <c r="CR760" s="1342"/>
      <c r="CS760" s="1342"/>
      <c r="CT760" s="1343"/>
      <c r="CU760" s="1354">
        <f t="shared" si="21"/>
        <v>0</v>
      </c>
      <c r="CV760" s="1354"/>
      <c r="CW760" s="1354"/>
      <c r="CX760" s="1354"/>
      <c r="CY760" s="1354"/>
      <c r="CZ760" s="1354">
        <f t="shared" si="22"/>
        <v>0</v>
      </c>
      <c r="DA760" s="1354"/>
      <c r="DB760" s="1354"/>
      <c r="DC760" s="1354"/>
      <c r="DD760" s="1354"/>
      <c r="DE760" s="1354">
        <f t="shared" si="23"/>
        <v>0</v>
      </c>
      <c r="DF760" s="1354"/>
      <c r="DG760" s="1354"/>
      <c r="DH760" s="1354"/>
      <c r="DI760" s="1354"/>
      <c r="DJ760" s="1354">
        <f t="shared" si="24"/>
        <v>0</v>
      </c>
      <c r="DK760" s="1354"/>
      <c r="DL760" s="1354"/>
      <c r="DM760" s="1354"/>
      <c r="DN760" s="1354"/>
      <c r="DO760" s="1354">
        <f t="shared" si="25"/>
        <v>0</v>
      </c>
      <c r="DP760" s="1354"/>
      <c r="DQ760" s="1354"/>
      <c r="DR760" s="1354"/>
      <c r="DS760" s="1354"/>
      <c r="DT760" s="6"/>
      <c r="DU760" s="1394">
        <f t="shared" si="26"/>
        <v>0</v>
      </c>
      <c r="DV760" s="1394"/>
      <c r="DW760" s="1394"/>
      <c r="DX760" s="1394"/>
      <c r="DY760" s="1394"/>
      <c r="DZ760" s="1394">
        <f t="shared" si="27"/>
        <v>0</v>
      </c>
      <c r="EA760" s="1394"/>
      <c r="EB760" s="1394"/>
      <c r="EC760" s="1394"/>
      <c r="ED760" s="1394"/>
      <c r="EE760" s="1394">
        <f t="shared" si="28"/>
        <v>0</v>
      </c>
      <c r="EF760" s="1394"/>
      <c r="EG760" s="1394"/>
      <c r="EH760" s="1394"/>
      <c r="EI760" s="1394"/>
      <c r="EJ760" s="1394">
        <f t="shared" si="29"/>
        <v>0</v>
      </c>
      <c r="EK760" s="1394"/>
      <c r="EL760" s="1394"/>
      <c r="EM760" s="1394"/>
      <c r="EN760" s="1394"/>
      <c r="EO760" s="1394">
        <f t="shared" si="30"/>
        <v>0</v>
      </c>
      <c r="EP760" s="1394"/>
      <c r="EQ760" s="1394"/>
      <c r="ER760" s="1394"/>
      <c r="ES760" s="1394"/>
      <c r="ET760" s="1394">
        <f t="shared" si="31"/>
        <v>0</v>
      </c>
      <c r="EU760" s="1394"/>
      <c r="EV760" s="1394"/>
      <c r="EW760" s="1394"/>
      <c r="EX760" s="1394"/>
      <c r="EY760"/>
      <c r="EZ760" s="1355" t="str">
        <f t="shared" si="32"/>
        <v/>
      </c>
      <c r="FA760" s="1372"/>
      <c r="FB760" s="1372"/>
      <c r="FC760" s="1372"/>
      <c r="FD760" s="1356"/>
      <c r="FE760" s="1355" t="str">
        <f t="shared" si="33"/>
        <v/>
      </c>
      <c r="FF760" s="1372"/>
      <c r="FG760" s="1372"/>
      <c r="FH760" s="1372"/>
      <c r="FI760" s="1356"/>
      <c r="FJ760" s="1355" t="str">
        <f t="shared" si="34"/>
        <v/>
      </c>
      <c r="FK760" s="1372"/>
      <c r="FL760" s="1372"/>
      <c r="FM760" s="1372"/>
      <c r="FN760" s="1356"/>
      <c r="FO760" s="1355" t="str">
        <f t="shared" si="35"/>
        <v/>
      </c>
      <c r="FP760" s="1372"/>
      <c r="FQ760" s="1372"/>
      <c r="FR760" s="1372"/>
      <c r="FS760" s="1356"/>
      <c r="FT760" s="1355" t="str">
        <f t="shared" si="36"/>
        <v/>
      </c>
      <c r="FU760" s="1372"/>
      <c r="FV760" s="1372"/>
      <c r="FW760" s="1372"/>
      <c r="FX760" s="1356"/>
      <c r="FY760" s="1355" t="str">
        <f t="shared" si="37"/>
        <v/>
      </c>
      <c r="FZ760" s="1372"/>
      <c r="GA760" s="1372"/>
      <c r="GB760" s="1372"/>
      <c r="GC760" s="1356"/>
    </row>
    <row r="761" spans="1:185" s="3" customFormat="1" ht="12.95" customHeight="1">
      <c r="A761"/>
      <c r="B761" s="1519" t="s">
        <v>125</v>
      </c>
      <c r="C761" s="1520"/>
      <c r="D761" s="1520"/>
      <c r="E761" s="1520"/>
      <c r="F761" s="1522"/>
      <c r="G761" s="1616">
        <f>SUM(G726:G760)</f>
        <v>77</v>
      </c>
      <c r="H761" s="1617"/>
      <c r="I761" s="1617"/>
      <c r="J761" s="1618"/>
      <c r="K761" s="898" t="s">
        <v>124</v>
      </c>
      <c r="L761" s="5"/>
      <c r="M761" s="5"/>
      <c r="N761" s="46"/>
      <c r="O761" s="1383">
        <f>SUMPRODUCT(G726:G760,O726:O760)</f>
        <v>89000</v>
      </c>
      <c r="P761" s="1384"/>
      <c r="Q761" s="1384"/>
      <c r="R761" s="1384"/>
      <c r="S761" s="1385"/>
      <c r="T761"/>
      <c r="U761"/>
      <c r="V761"/>
      <c r="W761"/>
      <c r="X761" s="900" t="s">
        <v>900</v>
      </c>
      <c r="Y761" s="899"/>
      <c r="Z761" s="899"/>
      <c r="AA761" s="899"/>
      <c r="AB761" s="901"/>
      <c r="AC761" s="1627">
        <f>BH761</f>
        <v>0.55844155844155841</v>
      </c>
      <c r="AD761" s="1628"/>
      <c r="AE761" s="1628"/>
      <c r="AF761" s="1628"/>
      <c r="AG761" s="1629"/>
      <c r="AH761" s="1627">
        <f>IFERROR(BU761,"")</f>
        <v>0.53463159060882015</v>
      </c>
      <c r="AI761" s="1628"/>
      <c r="AJ761" s="1629"/>
      <c r="AK761"/>
      <c r="AL761"/>
      <c r="AM761"/>
      <c r="AN761"/>
      <c r="AO761"/>
      <c r="AP761" s="205"/>
      <c r="AQ761" s="205"/>
      <c r="AR761" s="205"/>
      <c r="AS761" s="205"/>
      <c r="AT761"/>
      <c r="AU761"/>
      <c r="AV761"/>
      <c r="AW761"/>
      <c r="AX761"/>
      <c r="AY761"/>
      <c r="AZ761" s="34"/>
      <c r="BA761" s="34"/>
      <c r="BB761" s="34"/>
      <c r="BC761" s="34"/>
      <c r="BE761" s="290" t="s">
        <v>899</v>
      </c>
      <c r="BF761" s="299">
        <f>SUM(BF726:BF760)</f>
        <v>77</v>
      </c>
      <c r="BG761" s="300">
        <f>SUM(BG726:BG760)</f>
        <v>1</v>
      </c>
      <c r="BH761" s="300">
        <f>SUM(BH726:BH760)</f>
        <v>0.55844155844155841</v>
      </c>
      <c r="BI761"/>
      <c r="BJ761"/>
      <c r="BK761"/>
      <c r="BL761"/>
      <c r="BO761"/>
      <c r="BP761"/>
      <c r="BQ761"/>
      <c r="BR761"/>
      <c r="BS761" s="855">
        <f>SUM(BS726:BS760)</f>
        <v>77</v>
      </c>
      <c r="BT761" s="300">
        <f>SUM(BT726:BT760)</f>
        <v>1</v>
      </c>
      <c r="BU761" s="300">
        <f>SUM(BU726:BU760)</f>
        <v>0.53463159060882015</v>
      </c>
      <c r="CI761" s="1355">
        <f>SUM(CI726:CJ760)</f>
        <v>8</v>
      </c>
      <c r="CJ761" s="1356"/>
      <c r="CM761" s="1355">
        <f>SUM(CM726:CN760)</f>
        <v>8</v>
      </c>
      <c r="CN761" s="1356"/>
      <c r="CP761" s="1355">
        <f>SUM(CP726:CT760)</f>
        <v>0</v>
      </c>
      <c r="CQ761" s="1372"/>
      <c r="CR761" s="1372"/>
      <c r="CS761" s="1372"/>
      <c r="CT761" s="1356"/>
      <c r="CU761" s="1373">
        <f>SUM(CU726:CY760)</f>
        <v>0</v>
      </c>
      <c r="CV761" s="1373"/>
      <c r="CW761" s="1373"/>
      <c r="CX761" s="1373"/>
      <c r="CY761" s="1373"/>
      <c r="CZ761" s="1373">
        <f>SUM(CZ726:DD760)</f>
        <v>33</v>
      </c>
      <c r="DA761" s="1373"/>
      <c r="DB761" s="1373"/>
      <c r="DC761" s="1373"/>
      <c r="DD761" s="1373"/>
      <c r="DE761" s="1373">
        <f>SUM(DE726:DI760)</f>
        <v>44</v>
      </c>
      <c r="DF761" s="1373"/>
      <c r="DG761" s="1373"/>
      <c r="DH761" s="1373"/>
      <c r="DI761" s="1373"/>
      <c r="DJ761" s="1373">
        <f>SUM(DJ726:DN760)</f>
        <v>0</v>
      </c>
      <c r="DK761" s="1373"/>
      <c r="DL761" s="1373"/>
      <c r="DM761" s="1373"/>
      <c r="DN761" s="1373"/>
      <c r="DO761" s="1373">
        <f>SUM(DO726:DS760)</f>
        <v>0</v>
      </c>
      <c r="DP761" s="1373"/>
      <c r="DQ761" s="1373"/>
      <c r="DR761" s="1373"/>
      <c r="DS761" s="1373"/>
      <c r="DT761" s="354"/>
      <c r="DU761" s="1373">
        <f>SUM(DU726:DY760)</f>
        <v>0</v>
      </c>
      <c r="DV761" s="1373"/>
      <c r="DW761" s="1373"/>
      <c r="DX761" s="1373"/>
      <c r="DY761" s="1373"/>
      <c r="DZ761" s="1373">
        <f>SUM(DZ726:ED760)</f>
        <v>0</v>
      </c>
      <c r="EA761" s="1373"/>
      <c r="EB761" s="1373"/>
      <c r="EC761" s="1373"/>
      <c r="ED761" s="1373"/>
      <c r="EE761" s="1373">
        <f>SUM(EE726:EI760)</f>
        <v>4</v>
      </c>
      <c r="EF761" s="1373"/>
      <c r="EG761" s="1373"/>
      <c r="EH761" s="1373"/>
      <c r="EI761" s="1373"/>
      <c r="EJ761" s="1373">
        <f>SUM(EJ726:EN760)</f>
        <v>4</v>
      </c>
      <c r="EK761" s="1373"/>
      <c r="EL761" s="1373"/>
      <c r="EM761" s="1373"/>
      <c r="EN761" s="1373"/>
      <c r="EO761" s="1373">
        <f>SUM(EO726:ES760)</f>
        <v>0</v>
      </c>
      <c r="EP761" s="1373"/>
      <c r="EQ761" s="1373"/>
      <c r="ER761" s="1373"/>
      <c r="ES761" s="1373"/>
      <c r="ET761" s="1373">
        <f>SUM(ET726:EX760)</f>
        <v>0</v>
      </c>
      <c r="EU761" s="1373"/>
      <c r="EV761" s="1373"/>
      <c r="EW761" s="1373"/>
      <c r="EX761" s="1373"/>
      <c r="EY761"/>
      <c r="EZ761" s="1373">
        <f>SUM(EZ726:FD760)</f>
        <v>0</v>
      </c>
      <c r="FA761" s="1373"/>
      <c r="FB761" s="1373"/>
      <c r="FC761" s="1373"/>
      <c r="FD761" s="1373"/>
      <c r="FE761" s="1373">
        <f>SUM(FE726:FI760)</f>
        <v>0</v>
      </c>
      <c r="FF761" s="1373"/>
      <c r="FG761" s="1373"/>
      <c r="FH761" s="1373"/>
      <c r="FI761" s="1373"/>
      <c r="FJ761" s="1373">
        <f>SUM(FJ726:FN760)</f>
        <v>5193</v>
      </c>
      <c r="FK761" s="1373"/>
      <c r="FL761" s="1373"/>
      <c r="FM761" s="1373"/>
      <c r="FN761" s="1373"/>
      <c r="FO761" s="1373">
        <f>SUM(FO726:FS760)</f>
        <v>5980</v>
      </c>
      <c r="FP761" s="1373"/>
      <c r="FQ761" s="1373"/>
      <c r="FR761" s="1373"/>
      <c r="FS761" s="1373"/>
      <c r="FT761" s="1373">
        <f>SUM(FT726:FX760)</f>
        <v>0</v>
      </c>
      <c r="FU761" s="1373"/>
      <c r="FV761" s="1373"/>
      <c r="FW761" s="1373"/>
      <c r="FX761" s="1373"/>
      <c r="FY761" s="1373">
        <f>SUM(FY726:GC760)</f>
        <v>0</v>
      </c>
      <c r="FZ761" s="1373"/>
      <c r="GA761" s="1373"/>
      <c r="GB761" s="1373"/>
      <c r="GC761" s="1373"/>
    </row>
    <row r="762" spans="1:185" s="3" customFormat="1" ht="12.95" customHeight="1">
      <c r="A762"/>
      <c r="B762" s="1621" t="s">
        <v>1867</v>
      </c>
      <c r="C762" s="1621"/>
      <c r="D762" s="1621"/>
      <c r="E762" s="1621"/>
      <c r="F762" s="1621"/>
      <c r="G762" s="1621"/>
      <c r="H762" s="1621"/>
      <c r="I762" s="1621"/>
      <c r="J762" s="1621"/>
      <c r="K762" s="1621"/>
      <c r="L762" s="1621"/>
      <c r="M762" s="1621"/>
      <c r="N762" s="1621"/>
      <c r="O762" s="1621"/>
      <c r="P762" s="1621"/>
      <c r="Q762" s="1621"/>
      <c r="R762" s="1621"/>
      <c r="S762" s="1621"/>
      <c r="T762" s="1621"/>
      <c r="U762" s="1621"/>
      <c r="V762" s="1621"/>
      <c r="W762" s="1621"/>
      <c r="X762" s="1621"/>
      <c r="Y762" s="1621"/>
      <c r="Z762" s="1621"/>
      <c r="AA762" s="1621"/>
      <c r="AB762" s="1621"/>
      <c r="AC762" s="1621"/>
      <c r="AD762" s="1621"/>
      <c r="AE762" s="1621"/>
      <c r="AF762" s="1621"/>
      <c r="AG762" s="1621"/>
      <c r="AH762" s="1621"/>
      <c r="AI762"/>
      <c r="AJ762"/>
      <c r="AK762"/>
      <c r="AT762"/>
      <c r="AU762"/>
      <c r="AV762"/>
      <c r="AW762"/>
      <c r="AX762"/>
      <c r="AY762"/>
      <c r="CD762"/>
      <c r="DN762" s="56" t="s">
        <v>1835</v>
      </c>
      <c r="DO762" s="1355">
        <f>CP761+CU761+CZ761+DE761+DJ761+DO761</f>
        <v>77</v>
      </c>
      <c r="DP762" s="1372"/>
      <c r="DQ762" s="1372"/>
      <c r="DR762" s="1372"/>
      <c r="DS762" s="1356"/>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621"/>
      <c r="C763" s="1621"/>
      <c r="D763" s="1621"/>
      <c r="E763" s="1621"/>
      <c r="F763" s="1621"/>
      <c r="G763" s="1621"/>
      <c r="H763" s="1621"/>
      <c r="I763" s="1621"/>
      <c r="J763" s="1621"/>
      <c r="K763" s="1621"/>
      <c r="L763" s="1621"/>
      <c r="M763" s="1621"/>
      <c r="N763" s="1621"/>
      <c r="O763" s="1621"/>
      <c r="P763" s="1621"/>
      <c r="Q763" s="1621"/>
      <c r="R763" s="1621"/>
      <c r="S763" s="1621"/>
      <c r="T763" s="1621"/>
      <c r="U763" s="1621"/>
      <c r="V763" s="1621"/>
      <c r="W763" s="1621"/>
      <c r="X763" s="1621"/>
      <c r="Y763" s="1621"/>
      <c r="Z763" s="1621"/>
      <c r="AA763" s="1621"/>
      <c r="AB763" s="1621"/>
      <c r="AC763" s="1621"/>
      <c r="AD763" s="1621"/>
      <c r="AE763" s="1621"/>
      <c r="AF763" s="1621"/>
      <c r="AG763" s="1621"/>
      <c r="AH763" s="1621"/>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0</v>
      </c>
      <c r="CZ763" s="3"/>
      <c r="DA763" s="3"/>
      <c r="DB763" s="3"/>
      <c r="DC763" s="3"/>
      <c r="DD763" s="857">
        <f>CZ761*2</f>
        <v>66</v>
      </c>
      <c r="DE763" s="3"/>
      <c r="DF763" s="3"/>
      <c r="DG763" s="3"/>
      <c r="DH763" s="3"/>
      <c r="DI763" s="857">
        <f>DE761*3</f>
        <v>132</v>
      </c>
      <c r="DJ763" s="3"/>
      <c r="DK763" s="3"/>
      <c r="DL763" s="3"/>
      <c r="DM763" s="3"/>
      <c r="DN763" s="857">
        <f>DJ761*4</f>
        <v>0</v>
      </c>
      <c r="DO763" s="3"/>
      <c r="DP763" s="3"/>
      <c r="DQ763" s="3"/>
      <c r="DR763" s="3"/>
      <c r="DS763" s="857">
        <f>DO761*5</f>
        <v>0</v>
      </c>
      <c r="DU763" s="857">
        <f>CT763+CY763+DD763+DI763+DN763+DS763</f>
        <v>198</v>
      </c>
      <c r="DV763" s="57" t="s">
        <v>1837</v>
      </c>
      <c r="DW763" s="3"/>
      <c r="DX763" s="3"/>
      <c r="DY763" s="3"/>
      <c r="DZ763" s="3"/>
      <c r="EA763" s="3"/>
      <c r="EB763" s="3"/>
      <c r="EC763" s="3"/>
      <c r="ED763" s="3"/>
      <c r="EE763" s="3"/>
      <c r="EF763" s="3"/>
      <c r="EG763" s="3"/>
      <c r="EH763" s="3"/>
    </row>
    <row r="764" spans="1:185" ht="12.95" customHeight="1">
      <c r="A764" s="3"/>
      <c r="B764" s="3"/>
      <c r="C764" s="118" t="s">
        <v>1865</v>
      </c>
      <c r="D764" s="1027"/>
      <c r="E764" s="1027"/>
      <c r="F764" s="1027"/>
      <c r="G764" s="1028"/>
      <c r="H764" s="1028"/>
      <c r="I764" s="1028"/>
      <c r="J764" s="1028"/>
      <c r="K764" s="1027"/>
      <c r="L764" s="1027"/>
      <c r="M764" s="1027"/>
      <c r="N764" s="1027"/>
      <c r="O764" s="1373">
        <f>DU763</f>
        <v>198</v>
      </c>
      <c r="P764" s="1373"/>
      <c r="Q764" s="1373"/>
      <c r="R764" s="1373"/>
      <c r="S764" s="965"/>
      <c r="T764" s="965"/>
      <c r="U764" s="118" t="s">
        <v>1866</v>
      </c>
      <c r="V764" s="1027"/>
      <c r="W764" s="1027"/>
      <c r="X764" s="1027"/>
      <c r="Y764" s="1028"/>
      <c r="Z764" s="1028"/>
      <c r="AA764" s="1028"/>
      <c r="AB764" s="1028"/>
      <c r="AC764" s="1027"/>
      <c r="AD764" s="1027"/>
      <c r="AE764" s="1027"/>
      <c r="AF764" s="1027"/>
      <c r="AG764" s="1759"/>
      <c r="AH764" s="1759"/>
      <c r="AI764" s="1759"/>
      <c r="AJ764" s="1759"/>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875" t="str">
        <f>IF(G761&lt;&gt;AG449,"! Total Low-Income Units in the Unit Mix Table above does not match the number of Total Low-Income Units on row #"&amp;TEXT(ROW(D449),"#"),"")</f>
        <v/>
      </c>
      <c r="D765" s="1875"/>
      <c r="E765" s="1875"/>
      <c r="F765" s="1875"/>
      <c r="G765" s="1875"/>
      <c r="H765" s="1875"/>
      <c r="I765" s="1875"/>
      <c r="J765" s="1875"/>
      <c r="K765" s="1875"/>
      <c r="L765" s="1875"/>
      <c r="M765" s="1875"/>
      <c r="N765" s="1875"/>
      <c r="O765" s="1875"/>
      <c r="P765" s="1875"/>
      <c r="Q765" s="1875"/>
      <c r="R765" s="1875"/>
      <c r="S765" s="1875"/>
      <c r="T765" s="1875"/>
      <c r="U765" s="1875"/>
      <c r="V765" s="1875"/>
      <c r="W765" s="1875"/>
      <c r="X765" s="1875"/>
      <c r="Y765" s="1875"/>
      <c r="Z765" s="1875"/>
      <c r="AA765" s="1875"/>
      <c r="AB765" s="1875"/>
      <c r="AC765" s="1875"/>
      <c r="AD765" s="1875"/>
      <c r="AE765" s="1875"/>
      <c r="AF765" s="1875"/>
      <c r="AG765" s="1875"/>
      <c r="AH765" s="1875"/>
      <c r="AI765" s="1875"/>
      <c r="AJ765" s="1875"/>
      <c r="AK765" s="1875"/>
      <c r="AL765" s="1875"/>
      <c r="AM765" s="1875"/>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875"/>
      <c r="D766" s="1875"/>
      <c r="E766" s="1875"/>
      <c r="F766" s="1875"/>
      <c r="G766" s="1875"/>
      <c r="H766" s="1875"/>
      <c r="I766" s="1875"/>
      <c r="J766" s="1875"/>
      <c r="K766" s="1875"/>
      <c r="L766" s="1875"/>
      <c r="M766" s="1875"/>
      <c r="N766" s="1875"/>
      <c r="O766" s="1875"/>
      <c r="P766" s="1875"/>
      <c r="Q766" s="1875"/>
      <c r="R766" s="1875"/>
      <c r="S766" s="1875"/>
      <c r="T766" s="1875"/>
      <c r="U766" s="1875"/>
      <c r="V766" s="1875"/>
      <c r="W766" s="1875"/>
      <c r="X766" s="1875"/>
      <c r="Y766" s="1875"/>
      <c r="Z766" s="1875"/>
      <c r="AA766" s="1875"/>
      <c r="AB766" s="1875"/>
      <c r="AC766" s="1875"/>
      <c r="AD766" s="1875"/>
      <c r="AE766" s="1875"/>
      <c r="AF766" s="1875"/>
      <c r="AG766" s="1875"/>
      <c r="AH766" s="1875"/>
      <c r="AI766" s="1875"/>
      <c r="AJ766" s="1875"/>
      <c r="AK766" s="1875"/>
      <c r="AL766" s="1875"/>
      <c r="AM766" s="1875"/>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1864</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393" t="s">
        <v>591</v>
      </c>
      <c r="AE767" s="1393"/>
      <c r="AF767" s="1393"/>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2045</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274" t="s">
        <v>2046</v>
      </c>
      <c r="D771" s="1274"/>
      <c r="E771" s="1274"/>
      <c r="F771" s="1274"/>
      <c r="G771" s="1274"/>
      <c r="H771" s="1274"/>
      <c r="I771" s="1274"/>
      <c r="J771" s="1274"/>
      <c r="K771" s="1274"/>
      <c r="L771" s="1274"/>
      <c r="M771" s="1274"/>
      <c r="N771" s="1274"/>
      <c r="O771" s="1274"/>
      <c r="P771" s="1274"/>
      <c r="Q771" s="1274"/>
      <c r="R771" s="1274"/>
      <c r="S771" s="1274"/>
      <c r="T771" s="1274"/>
      <c r="U771" s="1274"/>
      <c r="V771" s="1274"/>
      <c r="W771" s="1274"/>
      <c r="X771" s="1274"/>
      <c r="Y771" s="1274"/>
      <c r="Z771" s="1274"/>
      <c r="AA771" s="1274"/>
      <c r="AB771" s="1274"/>
      <c r="AC771" s="1274"/>
      <c r="AD771" s="1274"/>
      <c r="AE771" s="1274"/>
      <c r="AF771" s="1274"/>
      <c r="AG771" s="1274"/>
      <c r="AH771" s="1274"/>
      <c r="AI771" s="1274"/>
      <c r="AJ771" s="1274"/>
      <c r="AK771" s="1274"/>
      <c r="AL771" s="1274"/>
      <c r="AM771" s="1274"/>
      <c r="AN771" s="1274"/>
      <c r="AO771" s="1274"/>
      <c r="AP771" s="1274"/>
      <c r="AQ771" s="1274"/>
      <c r="AR771" s="1274"/>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274"/>
      <c r="D772" s="1274"/>
      <c r="E772" s="1274"/>
      <c r="F772" s="1274"/>
      <c r="G772" s="1274"/>
      <c r="H772" s="1274"/>
      <c r="I772" s="1274"/>
      <c r="J772" s="1274"/>
      <c r="K772" s="1274"/>
      <c r="L772" s="1274"/>
      <c r="M772" s="1274"/>
      <c r="N772" s="1274"/>
      <c r="O772" s="1274"/>
      <c r="P772" s="1274"/>
      <c r="Q772" s="1274"/>
      <c r="R772" s="1274"/>
      <c r="S772" s="1274"/>
      <c r="T772" s="1274"/>
      <c r="U772" s="1274"/>
      <c r="V772" s="1274"/>
      <c r="W772" s="1274"/>
      <c r="X772" s="1274"/>
      <c r="Y772" s="1274"/>
      <c r="Z772" s="1274"/>
      <c r="AA772" s="1274"/>
      <c r="AB772" s="1274"/>
      <c r="AC772" s="1274"/>
      <c r="AD772" s="1274"/>
      <c r="AE772" s="1274"/>
      <c r="AF772" s="1274"/>
      <c r="AG772" s="1274"/>
      <c r="AH772" s="1274"/>
      <c r="AI772" s="1274"/>
      <c r="AJ772" s="1274"/>
      <c r="AK772" s="1274"/>
      <c r="AL772" s="1274"/>
      <c r="AM772" s="1274"/>
      <c r="AN772" s="1274"/>
      <c r="AO772" s="1274"/>
      <c r="AP772" s="1274"/>
      <c r="AQ772" s="1274"/>
      <c r="AR772" s="1274"/>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274"/>
      <c r="D773" s="1274"/>
      <c r="E773" s="1274"/>
      <c r="F773" s="1274"/>
      <c r="G773" s="1274"/>
      <c r="H773" s="1274"/>
      <c r="I773" s="1274"/>
      <c r="J773" s="1274"/>
      <c r="K773" s="1274"/>
      <c r="L773" s="1274"/>
      <c r="M773" s="1274"/>
      <c r="N773" s="1274"/>
      <c r="O773" s="1274"/>
      <c r="P773" s="1274"/>
      <c r="Q773" s="1274"/>
      <c r="R773" s="1274"/>
      <c r="S773" s="1274"/>
      <c r="T773" s="1274"/>
      <c r="U773" s="1274"/>
      <c r="V773" s="1274"/>
      <c r="W773" s="1274"/>
      <c r="X773" s="1274"/>
      <c r="Y773" s="1274"/>
      <c r="Z773" s="1274"/>
      <c r="AA773" s="1274"/>
      <c r="AB773" s="1274"/>
      <c r="AC773" s="1274"/>
      <c r="AD773" s="1274"/>
      <c r="AE773" s="1274"/>
      <c r="AF773" s="1274"/>
      <c r="AG773" s="1274"/>
      <c r="AH773" s="1274"/>
      <c r="AI773" s="1274"/>
      <c r="AJ773" s="1274"/>
      <c r="AK773" s="1274"/>
      <c r="AL773" s="1274"/>
      <c r="AM773" s="1274"/>
      <c r="AN773" s="1274"/>
      <c r="AO773" s="1274"/>
      <c r="AP773" s="1274"/>
      <c r="AQ773" s="1274"/>
      <c r="AR773" s="1274"/>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274" t="s">
        <v>2047</v>
      </c>
      <c r="D774" s="1274"/>
      <c r="E774" s="1274"/>
      <c r="F774" s="1274"/>
      <c r="G774" s="1274"/>
      <c r="H774" s="1274"/>
      <c r="I774" s="1274"/>
      <c r="J774" s="1274"/>
      <c r="K774" s="1274"/>
      <c r="L774" s="1274"/>
      <c r="M774" s="1274"/>
      <c r="N774" s="1274"/>
      <c r="O774" s="1274"/>
      <c r="P774" s="1274"/>
      <c r="Q774" s="1274"/>
      <c r="R774" s="1274"/>
      <c r="S774" s="1274"/>
      <c r="T774" s="1274"/>
      <c r="U774" s="1274"/>
      <c r="V774" s="1274"/>
      <c r="W774" s="1274"/>
      <c r="X774" s="1274"/>
      <c r="Y774" s="1274"/>
      <c r="Z774" s="1274"/>
      <c r="AA774" s="1274"/>
      <c r="AB774" s="1274"/>
      <c r="AC774" s="1274"/>
      <c r="AD774" s="1274"/>
      <c r="AE774" s="1274"/>
      <c r="AF774" s="1274"/>
      <c r="AG774" s="1274"/>
      <c r="AH774" s="1274"/>
      <c r="AI774" s="1274"/>
      <c r="AJ774" s="1274"/>
      <c r="AK774" s="1274"/>
      <c r="AL774" s="1274"/>
      <c r="AM774" s="1274"/>
      <c r="AN774" s="1274"/>
      <c r="AO774" s="1274"/>
      <c r="AP774" s="1274"/>
      <c r="AQ774" s="1274"/>
      <c r="AR774" s="1274"/>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274"/>
      <c r="D775" s="1274"/>
      <c r="E775" s="1274"/>
      <c r="F775" s="1274"/>
      <c r="G775" s="1274"/>
      <c r="H775" s="1274"/>
      <c r="I775" s="1274"/>
      <c r="J775" s="1274"/>
      <c r="K775" s="1274"/>
      <c r="L775" s="1274"/>
      <c r="M775" s="1274"/>
      <c r="N775" s="1274"/>
      <c r="O775" s="1274"/>
      <c r="P775" s="1274"/>
      <c r="Q775" s="1274"/>
      <c r="R775" s="1274"/>
      <c r="S775" s="1274"/>
      <c r="T775" s="1274"/>
      <c r="U775" s="1274"/>
      <c r="V775" s="1274"/>
      <c r="W775" s="1274"/>
      <c r="X775" s="1274"/>
      <c r="Y775" s="1274"/>
      <c r="Z775" s="1274"/>
      <c r="AA775" s="1274"/>
      <c r="AB775" s="1274"/>
      <c r="AC775" s="1274"/>
      <c r="AD775" s="1274"/>
      <c r="AE775" s="1274"/>
      <c r="AF775" s="1274"/>
      <c r="AG775" s="1274"/>
      <c r="AH775" s="1274"/>
      <c r="AI775" s="1274"/>
      <c r="AJ775" s="1274"/>
      <c r="AK775" s="1274"/>
      <c r="AL775" s="1274"/>
      <c r="AM775" s="1274"/>
      <c r="AN775" s="1274"/>
      <c r="AO775" s="1274"/>
      <c r="AP775" s="1274"/>
      <c r="AQ775" s="1274"/>
      <c r="AR775" s="1274"/>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274"/>
      <c r="D776" s="1274"/>
      <c r="E776" s="1274"/>
      <c r="F776" s="1274"/>
      <c r="G776" s="1274"/>
      <c r="H776" s="1274"/>
      <c r="I776" s="1274"/>
      <c r="J776" s="1274"/>
      <c r="K776" s="1274"/>
      <c r="L776" s="1274"/>
      <c r="M776" s="1274"/>
      <c r="N776" s="1274"/>
      <c r="O776" s="1274"/>
      <c r="P776" s="1274"/>
      <c r="Q776" s="1274"/>
      <c r="R776" s="1274"/>
      <c r="S776" s="1274"/>
      <c r="T776" s="1274"/>
      <c r="U776" s="1274"/>
      <c r="V776" s="1274"/>
      <c r="W776" s="1274"/>
      <c r="X776" s="1274"/>
      <c r="Y776" s="1274"/>
      <c r="Z776" s="1274"/>
      <c r="AA776" s="1274"/>
      <c r="AB776" s="1274"/>
      <c r="AC776" s="1274"/>
      <c r="AD776" s="1274"/>
      <c r="AE776" s="1274"/>
      <c r="AF776" s="1274"/>
      <c r="AG776" s="1274"/>
      <c r="AH776" s="1274"/>
      <c r="AI776" s="1274"/>
      <c r="AJ776" s="1274"/>
      <c r="AK776" s="1274"/>
      <c r="AL776" s="1274"/>
      <c r="AM776" s="1274"/>
      <c r="AN776" s="1274"/>
      <c r="AO776" s="1274"/>
      <c r="AP776" s="1274"/>
      <c r="AQ776" s="1274"/>
      <c r="AR776" s="1274"/>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614" t="s">
        <v>389</v>
      </c>
      <c r="K777" s="1498"/>
      <c r="L777" s="1498"/>
      <c r="M777" s="1498"/>
      <c r="N777" s="1499"/>
      <c r="O777" s="1643" t="s">
        <v>285</v>
      </c>
      <c r="P777" s="1643"/>
      <c r="Q777" s="1643"/>
      <c r="R777" s="1643"/>
      <c r="S777" s="1643"/>
      <c r="T777" s="1512" t="s">
        <v>1668</v>
      </c>
      <c r="U777" s="1513"/>
      <c r="V777" s="1513"/>
      <c r="W777" s="1514"/>
      <c r="X777" s="1614" t="s">
        <v>447</v>
      </c>
      <c r="Y777" s="1498"/>
      <c r="Z777" s="1498"/>
      <c r="AA777" s="1498"/>
      <c r="AB777" s="1499"/>
      <c r="AC777" s="1614" t="s">
        <v>286</v>
      </c>
      <c r="AD777" s="1498"/>
      <c r="AE777" s="1498"/>
      <c r="AF777" s="1498"/>
      <c r="AG777" s="1499"/>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500"/>
      <c r="K778" s="1501"/>
      <c r="L778" s="1501"/>
      <c r="M778" s="1501"/>
      <c r="N778" s="1502"/>
      <c r="O778" s="1643"/>
      <c r="P778" s="1643"/>
      <c r="Q778" s="1643"/>
      <c r="R778" s="1643"/>
      <c r="S778" s="1643"/>
      <c r="T778" s="1515"/>
      <c r="U778" s="1516"/>
      <c r="V778" s="1516"/>
      <c r="W778" s="1517"/>
      <c r="X778" s="1500"/>
      <c r="Y778" s="1501"/>
      <c r="Z778" s="1501"/>
      <c r="AA778" s="1501"/>
      <c r="AB778" s="1502"/>
      <c r="AC778" s="1500"/>
      <c r="AD778" s="1501"/>
      <c r="AE778" s="1501"/>
      <c r="AF778" s="1501"/>
      <c r="AG778" s="1502"/>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500"/>
      <c r="K779" s="1501"/>
      <c r="L779" s="1501"/>
      <c r="M779" s="1501"/>
      <c r="N779" s="1502"/>
      <c r="O779" s="1643"/>
      <c r="P779" s="1643"/>
      <c r="Q779" s="1643"/>
      <c r="R779" s="1643"/>
      <c r="S779" s="1643"/>
      <c r="T779" s="1515"/>
      <c r="U779" s="1516"/>
      <c r="V779" s="1516"/>
      <c r="W779" s="1517"/>
      <c r="X779" s="1500"/>
      <c r="Y779" s="1501"/>
      <c r="Z779" s="1501"/>
      <c r="AA779" s="1501"/>
      <c r="AB779" s="1502"/>
      <c r="AC779" s="1500"/>
      <c r="AD779" s="1501"/>
      <c r="AE779" s="1501"/>
      <c r="AF779" s="1501"/>
      <c r="AG779" s="1502"/>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503"/>
      <c r="K780" s="1504"/>
      <c r="L780" s="1504"/>
      <c r="M780" s="1504"/>
      <c r="N780" s="1505"/>
      <c r="O780" s="1643"/>
      <c r="P780" s="1643"/>
      <c r="Q780" s="1643"/>
      <c r="R780" s="1643"/>
      <c r="S780" s="1643"/>
      <c r="T780" s="1665"/>
      <c r="U780" s="1666"/>
      <c r="V780" s="1666"/>
      <c r="W780" s="1667"/>
      <c r="X780" s="1503"/>
      <c r="Y780" s="1504"/>
      <c r="Z780" s="1504"/>
      <c r="AA780" s="1504"/>
      <c r="AB780" s="1505"/>
      <c r="AC780" s="1503"/>
      <c r="AD780" s="1504"/>
      <c r="AE780" s="1504"/>
      <c r="AF780" s="1504"/>
      <c r="AG780" s="1505"/>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389" t="s">
        <v>163</v>
      </c>
      <c r="K781" s="1390"/>
      <c r="L781" s="1390"/>
      <c r="M781" s="1390"/>
      <c r="N781" s="1391"/>
      <c r="O781" s="1603">
        <v>1</v>
      </c>
      <c r="P781" s="1603"/>
      <c r="Q781" s="1603"/>
      <c r="R781" s="1603"/>
      <c r="S781" s="1603"/>
      <c r="T781" s="1349">
        <v>1011</v>
      </c>
      <c r="U781" s="1350"/>
      <c r="V781" s="1350"/>
      <c r="W781" s="1351"/>
      <c r="X781" s="1377"/>
      <c r="Y781" s="1378"/>
      <c r="Z781" s="1378"/>
      <c r="AA781" s="1378"/>
      <c r="AB781" s="1379"/>
      <c r="AC781" s="1383">
        <f>X781*O781</f>
        <v>0</v>
      </c>
      <c r="AD781" s="1384"/>
      <c r="AE781" s="1384"/>
      <c r="AF781" s="1384"/>
      <c r="AG781" s="1385"/>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41">
        <f>IF(J781="SRO/Studio",O781,0)</f>
        <v>0</v>
      </c>
      <c r="CQ781" s="1342"/>
      <c r="CR781" s="1342"/>
      <c r="CS781" s="1342"/>
      <c r="CT781" s="1343"/>
      <c r="CU781" s="1354">
        <f>IF(J781="1 Bedroom",O781,0)</f>
        <v>0</v>
      </c>
      <c r="CV781" s="1354"/>
      <c r="CW781" s="1354"/>
      <c r="CX781" s="1354"/>
      <c r="CY781" s="1354"/>
      <c r="CZ781" s="1354">
        <f>IF(J781="2 Bedrooms",O781,0)</f>
        <v>1</v>
      </c>
      <c r="DA781" s="1354"/>
      <c r="DB781" s="1354"/>
      <c r="DC781" s="1354"/>
      <c r="DD781" s="1354"/>
      <c r="DE781" s="1354">
        <f>IF(J781="3 Bedrooms",O781,0)</f>
        <v>0</v>
      </c>
      <c r="DF781" s="1354"/>
      <c r="DG781" s="1354"/>
      <c r="DH781" s="1354"/>
      <c r="DI781" s="1354"/>
      <c r="DJ781" s="1354">
        <f>IF(J781="4 Bedrooms",O781,0)</f>
        <v>0</v>
      </c>
      <c r="DK781" s="1354"/>
      <c r="DL781" s="1354"/>
      <c r="DM781" s="1354"/>
      <c r="DN781" s="1354"/>
      <c r="DO781" s="1354">
        <f>IF(J781="5 Bedrooms",O781,0)</f>
        <v>0</v>
      </c>
      <c r="DP781" s="1354"/>
      <c r="DQ781" s="1354"/>
      <c r="DR781" s="1354"/>
      <c r="DS781" s="1354"/>
      <c r="DT781" s="6"/>
      <c r="DU781" s="3"/>
      <c r="DV781" s="3"/>
    </row>
    <row r="782" spans="1:159" ht="12.95" customHeight="1">
      <c r="J782" s="1389"/>
      <c r="K782" s="1390"/>
      <c r="L782" s="1390"/>
      <c r="M782" s="1390"/>
      <c r="N782" s="1391"/>
      <c r="O782" s="1603"/>
      <c r="P782" s="1603"/>
      <c r="Q782" s="1603"/>
      <c r="R782" s="1603"/>
      <c r="S782" s="1603"/>
      <c r="T782" s="1349"/>
      <c r="U782" s="1350"/>
      <c r="V782" s="1350"/>
      <c r="W782" s="1351"/>
      <c r="X782" s="1377"/>
      <c r="Y782" s="1378"/>
      <c r="Z782" s="1378"/>
      <c r="AA782" s="1378"/>
      <c r="AB782" s="1379"/>
      <c r="AC782" s="1383">
        <f>X782*O782</f>
        <v>0</v>
      </c>
      <c r="AD782" s="1384"/>
      <c r="AE782" s="1384"/>
      <c r="AF782" s="1384"/>
      <c r="AG782" s="1385"/>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41">
        <f>IF(J782="SRO/Studio",O782,0)</f>
        <v>0</v>
      </c>
      <c r="CQ782" s="1342"/>
      <c r="CR782" s="1342"/>
      <c r="CS782" s="1342"/>
      <c r="CT782" s="1343"/>
      <c r="CU782" s="1354">
        <f>IF(J782="1 Bedroom",O782,0)</f>
        <v>0</v>
      </c>
      <c r="CV782" s="1354"/>
      <c r="CW782" s="1354"/>
      <c r="CX782" s="1354"/>
      <c r="CY782" s="1354"/>
      <c r="CZ782" s="1354">
        <f>IF(J782="2 Bedrooms",O782,0)</f>
        <v>0</v>
      </c>
      <c r="DA782" s="1354"/>
      <c r="DB782" s="1354"/>
      <c r="DC782" s="1354"/>
      <c r="DD782" s="1354"/>
      <c r="DE782" s="1354">
        <f>IF(J782="3 Bedrooms",O782,0)</f>
        <v>0</v>
      </c>
      <c r="DF782" s="1354"/>
      <c r="DG782" s="1354"/>
      <c r="DH782" s="1354"/>
      <c r="DI782" s="1354"/>
      <c r="DJ782" s="1354">
        <f>IF(J782="4 Bedrooms",O782,0)</f>
        <v>0</v>
      </c>
      <c r="DK782" s="1354"/>
      <c r="DL782" s="1354"/>
      <c r="DM782" s="1354"/>
      <c r="DN782" s="1354"/>
      <c r="DO782" s="1354">
        <f>IF(J782="5 Bedrooms",O782,0)</f>
        <v>0</v>
      </c>
      <c r="DP782" s="1354"/>
      <c r="DQ782" s="1354"/>
      <c r="DR782" s="1354"/>
      <c r="DS782" s="1354"/>
      <c r="DT782" s="6"/>
      <c r="DU782" s="3"/>
      <c r="DV782" s="3"/>
    </row>
    <row r="783" spans="1:159" ht="12.95" customHeight="1">
      <c r="J783" s="1389"/>
      <c r="K783" s="1390"/>
      <c r="L783" s="1390"/>
      <c r="M783" s="1390"/>
      <c r="N783" s="1391"/>
      <c r="O783" s="1603"/>
      <c r="P783" s="1603"/>
      <c r="Q783" s="1603"/>
      <c r="R783" s="1603"/>
      <c r="S783" s="1603"/>
      <c r="T783" s="1349"/>
      <c r="U783" s="1350"/>
      <c r="V783" s="1350"/>
      <c r="W783" s="1351"/>
      <c r="X783" s="1377"/>
      <c r="Y783" s="1378"/>
      <c r="Z783" s="1378"/>
      <c r="AA783" s="1378"/>
      <c r="AB783" s="1379"/>
      <c r="AC783" s="1383">
        <f>X783*O783</f>
        <v>0</v>
      </c>
      <c r="AD783" s="1384"/>
      <c r="AE783" s="1384"/>
      <c r="AF783" s="1384"/>
      <c r="AG783" s="1385"/>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41">
        <f>IF(J783="SRO/Studio",O783,0)</f>
        <v>0</v>
      </c>
      <c r="CQ783" s="1342"/>
      <c r="CR783" s="1342"/>
      <c r="CS783" s="1342"/>
      <c r="CT783" s="1343"/>
      <c r="CU783" s="1354">
        <f>IF(J783="1 Bedroom",O783,0)</f>
        <v>0</v>
      </c>
      <c r="CV783" s="1354"/>
      <c r="CW783" s="1354"/>
      <c r="CX783" s="1354"/>
      <c r="CY783" s="1354"/>
      <c r="CZ783" s="1354">
        <f>IF(J783="2 Bedrooms",O783,0)</f>
        <v>0</v>
      </c>
      <c r="DA783" s="1354"/>
      <c r="DB783" s="1354"/>
      <c r="DC783" s="1354"/>
      <c r="DD783" s="1354"/>
      <c r="DE783" s="1354">
        <f>IF(J783="3 Bedrooms",O783,0)</f>
        <v>0</v>
      </c>
      <c r="DF783" s="1354"/>
      <c r="DG783" s="1354"/>
      <c r="DH783" s="1354"/>
      <c r="DI783" s="1354"/>
      <c r="DJ783" s="1354">
        <f>IF(J783="4 Bedrooms",O783,0)</f>
        <v>0</v>
      </c>
      <c r="DK783" s="1354"/>
      <c r="DL783" s="1354"/>
      <c r="DM783" s="1354"/>
      <c r="DN783" s="1354"/>
      <c r="DO783" s="1354">
        <f>IF(J783="5 Bedrooms",O783,0)</f>
        <v>0</v>
      </c>
      <c r="DP783" s="1354"/>
      <c r="DQ783" s="1354"/>
      <c r="DR783" s="1354"/>
      <c r="DS783" s="1354"/>
      <c r="DT783" s="1007"/>
    </row>
    <row r="784" spans="1:159" ht="12.95" customHeight="1">
      <c r="J784" s="1389"/>
      <c r="K784" s="1390"/>
      <c r="L784" s="1390"/>
      <c r="M784" s="1390"/>
      <c r="N784" s="1391"/>
      <c r="O784" s="1603"/>
      <c r="P784" s="1603"/>
      <c r="Q784" s="1603"/>
      <c r="R784" s="1603"/>
      <c r="S784" s="1603"/>
      <c r="T784" s="1349"/>
      <c r="U784" s="1350"/>
      <c r="V784" s="1350"/>
      <c r="W784" s="1351"/>
      <c r="X784" s="1377"/>
      <c r="Y784" s="1378"/>
      <c r="Z784" s="1378"/>
      <c r="AA784" s="1378"/>
      <c r="AB784" s="1379"/>
      <c r="AC784" s="1383">
        <f>X784*O784</f>
        <v>0</v>
      </c>
      <c r="AD784" s="1384"/>
      <c r="AE784" s="1384"/>
      <c r="AF784" s="1384"/>
      <c r="AG784" s="1385"/>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41">
        <f>IF(J784="SRO/Studio",O784,0)</f>
        <v>0</v>
      </c>
      <c r="CQ784" s="1342"/>
      <c r="CR784" s="1342"/>
      <c r="CS784" s="1342"/>
      <c r="CT784" s="1343"/>
      <c r="CU784" s="1354">
        <f>IF(J784="1 Bedroom",O784,0)</f>
        <v>0</v>
      </c>
      <c r="CV784" s="1354"/>
      <c r="CW784" s="1354"/>
      <c r="CX784" s="1354"/>
      <c r="CY784" s="1354"/>
      <c r="CZ784" s="1354">
        <f>IF(J784="2 Bedrooms",O784,0)</f>
        <v>0</v>
      </c>
      <c r="DA784" s="1354"/>
      <c r="DB784" s="1354"/>
      <c r="DC784" s="1354"/>
      <c r="DD784" s="1354"/>
      <c r="DE784" s="1354">
        <f>IF(J784="3 Bedrooms",O784,0)</f>
        <v>0</v>
      </c>
      <c r="DF784" s="1354"/>
      <c r="DG784" s="1354"/>
      <c r="DH784" s="1354"/>
      <c r="DI784" s="1354"/>
      <c r="DJ784" s="1354">
        <f>IF(J784="4 Bedrooms",O784,0)</f>
        <v>0</v>
      </c>
      <c r="DK784" s="1354"/>
      <c r="DL784" s="1354"/>
      <c r="DM784" s="1354"/>
      <c r="DN784" s="1354"/>
      <c r="DO784" s="1354">
        <f>IF(J784="5 Bedrooms",O784,0)</f>
        <v>0</v>
      </c>
      <c r="DP784" s="1354"/>
      <c r="DQ784" s="1354"/>
      <c r="DR784" s="1354"/>
      <c r="DS784" s="1354"/>
    </row>
    <row r="785" spans="1:154" ht="12.95" customHeight="1">
      <c r="J785" s="1519" t="s">
        <v>125</v>
      </c>
      <c r="K785" s="1520"/>
      <c r="L785" s="1520"/>
      <c r="M785" s="1520"/>
      <c r="N785" s="1522"/>
      <c r="O785" s="1352">
        <f>SUM(O781:S784)</f>
        <v>1</v>
      </c>
      <c r="P785" s="1357"/>
      <c r="Q785" s="1357"/>
      <c r="R785" s="1357"/>
      <c r="S785" s="1353"/>
      <c r="X785" s="1519" t="s">
        <v>124</v>
      </c>
      <c r="Y785" s="1520"/>
      <c r="Z785" s="1520"/>
      <c r="AA785" s="1520"/>
      <c r="AB785" s="1522"/>
      <c r="AC785" s="1383">
        <f>SUM(AC781:AG784)</f>
        <v>0</v>
      </c>
      <c r="AD785" s="1384"/>
      <c r="AE785" s="1384"/>
      <c r="AF785" s="1384"/>
      <c r="AG785" s="1385"/>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52">
        <f>SUM(CP781:CT784)</f>
        <v>0</v>
      </c>
      <c r="CQ785" s="1357"/>
      <c r="CR785" s="1357"/>
      <c r="CS785" s="1357"/>
      <c r="CT785" s="1353"/>
      <c r="CU785" s="1369">
        <f>SUM(CU781:CY784)</f>
        <v>0</v>
      </c>
      <c r="CV785" s="1370"/>
      <c r="CW785" s="1370"/>
      <c r="CX785" s="1370"/>
      <c r="CY785" s="1371"/>
      <c r="CZ785" s="1369">
        <f>SUM(CZ781:DD784)</f>
        <v>1</v>
      </c>
      <c r="DA785" s="1370"/>
      <c r="DB785" s="1370"/>
      <c r="DC785" s="1370"/>
      <c r="DD785" s="1371"/>
      <c r="DE785" s="1369">
        <f>SUM(DE781:DI784)</f>
        <v>0</v>
      </c>
      <c r="DF785" s="1370"/>
      <c r="DG785" s="1370"/>
      <c r="DH785" s="1370"/>
      <c r="DI785" s="1371"/>
      <c r="DJ785" s="1369">
        <f>SUM(DJ781:DN784)</f>
        <v>0</v>
      </c>
      <c r="DK785" s="1370"/>
      <c r="DL785" s="1370"/>
      <c r="DM785" s="1370"/>
      <c r="DN785" s="1371"/>
      <c r="DO785" s="1369">
        <f>SUM(DO781:DS784)</f>
        <v>0</v>
      </c>
      <c r="DP785" s="1370"/>
      <c r="DQ785" s="1370"/>
      <c r="DR785" s="1370"/>
      <c r="DS785" s="1371"/>
      <c r="DU785" s="857">
        <f>CP785+CU785+CZ785+DE785+DJ785+DO785</f>
        <v>1</v>
      </c>
      <c r="DV785" s="57" t="s">
        <v>1834</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2</v>
      </c>
      <c r="DV786" s="57" t="s">
        <v>1836</v>
      </c>
    </row>
    <row r="787" spans="1:154" ht="12.95" customHeight="1">
      <c r="B787" s="56"/>
      <c r="C787" s="56"/>
      <c r="D787" s="56"/>
      <c r="E787" s="56"/>
      <c r="F787" s="56"/>
      <c r="G787" s="6"/>
      <c r="H787" s="6"/>
      <c r="I787" s="6"/>
      <c r="J787" s="1392" t="s">
        <v>669</v>
      </c>
      <c r="K787" s="1392"/>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2048</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614" t="s">
        <v>389</v>
      </c>
      <c r="K791" s="1498"/>
      <c r="L791" s="1498"/>
      <c r="M791" s="1498"/>
      <c r="N791" s="1499"/>
      <c r="O791" s="1643" t="s">
        <v>285</v>
      </c>
      <c r="P791" s="1643"/>
      <c r="Q791" s="1643"/>
      <c r="R791" s="1643"/>
      <c r="S791" s="1643"/>
      <c r="T791" s="1512" t="s">
        <v>1668</v>
      </c>
      <c r="U791" s="1513"/>
      <c r="V791" s="1513"/>
      <c r="W791" s="1514"/>
      <c r="X791" s="1614" t="s">
        <v>447</v>
      </c>
      <c r="Y791" s="1498"/>
      <c r="Z791" s="1498"/>
      <c r="AA791" s="1498"/>
      <c r="AB791" s="1499"/>
      <c r="AC791" s="1614" t="s">
        <v>286</v>
      </c>
      <c r="AD791" s="1498"/>
      <c r="AE791" s="1498"/>
      <c r="AF791" s="1498"/>
      <c r="AG791" s="1499"/>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500"/>
      <c r="K792" s="1501"/>
      <c r="L792" s="1501"/>
      <c r="M792" s="1501"/>
      <c r="N792" s="1502"/>
      <c r="O792" s="1643"/>
      <c r="P792" s="1643"/>
      <c r="Q792" s="1643"/>
      <c r="R792" s="1643"/>
      <c r="S792" s="1643"/>
      <c r="T792" s="1515"/>
      <c r="U792" s="1516"/>
      <c r="V792" s="1516"/>
      <c r="W792" s="1517"/>
      <c r="X792" s="1500"/>
      <c r="Y792" s="1501"/>
      <c r="Z792" s="1501"/>
      <c r="AA792" s="1501"/>
      <c r="AB792" s="1502"/>
      <c r="AC792" s="1500"/>
      <c r="AD792" s="1501"/>
      <c r="AE792" s="1501"/>
      <c r="AF792" s="1501"/>
      <c r="AG792" s="150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500"/>
      <c r="K793" s="1501"/>
      <c r="L793" s="1501"/>
      <c r="M793" s="1501"/>
      <c r="N793" s="1502"/>
      <c r="O793" s="1643"/>
      <c r="P793" s="1643"/>
      <c r="Q793" s="1643"/>
      <c r="R793" s="1643"/>
      <c r="S793" s="1643"/>
      <c r="T793" s="1515"/>
      <c r="U793" s="1516"/>
      <c r="V793" s="1516"/>
      <c r="W793" s="1517"/>
      <c r="X793" s="1500"/>
      <c r="Y793" s="1501"/>
      <c r="Z793" s="1501"/>
      <c r="AA793" s="1501"/>
      <c r="AB793" s="1502"/>
      <c r="AC793" s="1500"/>
      <c r="AD793" s="1501"/>
      <c r="AE793" s="1501"/>
      <c r="AF793" s="1501"/>
      <c r="AG793" s="1502"/>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503"/>
      <c r="K794" s="1504"/>
      <c r="L794" s="1504"/>
      <c r="M794" s="1504"/>
      <c r="N794" s="1505"/>
      <c r="O794" s="1643"/>
      <c r="P794" s="1643"/>
      <c r="Q794" s="1643"/>
      <c r="R794" s="1643"/>
      <c r="S794" s="1643"/>
      <c r="T794" s="1665"/>
      <c r="U794" s="1666"/>
      <c r="V794" s="1666"/>
      <c r="W794" s="1667"/>
      <c r="X794" s="1503"/>
      <c r="Y794" s="1504"/>
      <c r="Z794" s="1504"/>
      <c r="AA794" s="1504"/>
      <c r="AB794" s="1505"/>
      <c r="AC794" s="1503"/>
      <c r="AD794" s="1504"/>
      <c r="AE794" s="1504"/>
      <c r="AF794" s="1504"/>
      <c r="AG794" s="1505"/>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1841</v>
      </c>
      <c r="DV794" s="3"/>
      <c r="DW794" s="3"/>
      <c r="DX794" s="3"/>
      <c r="DY794" s="3"/>
      <c r="DZ794" s="3"/>
      <c r="EA794" s="3"/>
      <c r="EB794" s="3"/>
      <c r="EC794" s="3"/>
      <c r="ED794" s="3"/>
      <c r="EE794" s="3"/>
      <c r="EF794" s="3"/>
      <c r="EG794" s="3"/>
      <c r="EH794" s="3"/>
    </row>
    <row r="795" spans="1:154" ht="12.95" customHeight="1">
      <c r="J795" s="1389"/>
      <c r="K795" s="1390"/>
      <c r="L795" s="1390"/>
      <c r="M795" s="1390"/>
      <c r="N795" s="1391"/>
      <c r="O795" s="1603"/>
      <c r="P795" s="1603"/>
      <c r="Q795" s="1603"/>
      <c r="R795" s="1603"/>
      <c r="S795" s="1603"/>
      <c r="T795" s="1349"/>
      <c r="U795" s="1350"/>
      <c r="V795" s="1350"/>
      <c r="W795" s="1351"/>
      <c r="X795" s="1377"/>
      <c r="Y795" s="1378"/>
      <c r="Z795" s="1378"/>
      <c r="AA795" s="1378"/>
      <c r="AB795" s="1379"/>
      <c r="AC795" s="1383">
        <f t="shared" ref="AC795:AC804" si="42">X795*O795</f>
        <v>0</v>
      </c>
      <c r="AD795" s="1384"/>
      <c r="AE795" s="1384"/>
      <c r="AF795" s="1384"/>
      <c r="AG795" s="138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41">
        <f t="shared" ref="CP795:CP804" si="43">IF(J795="SRO/Studio",O795,0)</f>
        <v>0</v>
      </c>
      <c r="CQ795" s="1342"/>
      <c r="CR795" s="1342"/>
      <c r="CS795" s="1342"/>
      <c r="CT795" s="1343"/>
      <c r="CU795" s="1341">
        <f t="shared" ref="CU795:CU804" si="44">IF(J795="1 Bedroom",O795,0)</f>
        <v>0</v>
      </c>
      <c r="CV795" s="1342"/>
      <c r="CW795" s="1342"/>
      <c r="CX795" s="1342"/>
      <c r="CY795" s="1343"/>
      <c r="CZ795" s="1341">
        <f t="shared" ref="CZ795:CZ804" si="45">IF(J795="2 Bedrooms",O795,0)</f>
        <v>0</v>
      </c>
      <c r="DA795" s="1342"/>
      <c r="DB795" s="1342"/>
      <c r="DC795" s="1342"/>
      <c r="DD795" s="1343"/>
      <c r="DE795" s="1341">
        <f t="shared" ref="DE795:DE804" si="46">IF(J795="3 Bedrooms",O795,0)</f>
        <v>0</v>
      </c>
      <c r="DF795" s="1342"/>
      <c r="DG795" s="1342"/>
      <c r="DH795" s="1342"/>
      <c r="DI795" s="1343"/>
      <c r="DJ795" s="1341">
        <f t="shared" ref="DJ795:DJ804" si="47">IF(J795="4 Bedrooms",O795,0)</f>
        <v>0</v>
      </c>
      <c r="DK795" s="1342"/>
      <c r="DL795" s="1342"/>
      <c r="DM795" s="1342"/>
      <c r="DN795" s="1343"/>
      <c r="DO795" s="1341">
        <f t="shared" ref="DO795:DO804" si="48">IF(J795="5 Bedrooms",O795,0)</f>
        <v>0</v>
      </c>
      <c r="DP795" s="1342"/>
      <c r="DQ795" s="1342"/>
      <c r="DR795" s="1342"/>
      <c r="DS795" s="1343"/>
      <c r="DT795" s="6"/>
      <c r="DU795" s="1341">
        <f t="shared" ref="DU795:DU804" si="49">IF(AND(CP795&gt;=1,AH795&gt;=0.1,AH795&lt;=1),O795,0)</f>
        <v>0</v>
      </c>
      <c r="DV795" s="1342"/>
      <c r="DW795" s="1342"/>
      <c r="DX795" s="1342"/>
      <c r="DY795" s="1343"/>
      <c r="DZ795" s="1341">
        <f t="shared" ref="DZ795:DZ804" si="50">IF(AND(CU795&gt;=1,AH795&gt;=0.1,AH795&lt;=1),O795,0)</f>
        <v>0</v>
      </c>
      <c r="EA795" s="1342"/>
      <c r="EB795" s="1342"/>
      <c r="EC795" s="1342"/>
      <c r="ED795" s="1343"/>
      <c r="EE795" s="1341">
        <f t="shared" ref="EE795:EE804" si="51">IF(AND(CZ795&gt;=1,AH795&gt;=0.1,AH795&lt;=1),O795,0)</f>
        <v>0</v>
      </c>
      <c r="EF795" s="1342"/>
      <c r="EG795" s="1342"/>
      <c r="EH795" s="1342"/>
      <c r="EI795" s="1343"/>
      <c r="EJ795" s="1341">
        <f t="shared" ref="EJ795:EJ804" si="52">IF(AND(DE795&gt;=1,AH795&gt;=0.1,AH795&lt;=1),O795,0)</f>
        <v>0</v>
      </c>
      <c r="EK795" s="1342"/>
      <c r="EL795" s="1342"/>
      <c r="EM795" s="1342"/>
      <c r="EN795" s="1343"/>
      <c r="EO795" s="1341">
        <f t="shared" ref="EO795:EO804" si="53">IF(AND(DJ795&gt;=1,AH795&gt;=0.1,AH795&lt;=1),O795,0)</f>
        <v>0</v>
      </c>
      <c r="EP795" s="1342"/>
      <c r="EQ795" s="1342"/>
      <c r="ER795" s="1342"/>
      <c r="ES795" s="1343"/>
      <c r="ET795" s="1341">
        <f t="shared" ref="ET795:ET804" si="54">IF(AND(DO795&gt;=1,AH795&gt;=0.1,AH795&lt;=1),O795,0)</f>
        <v>0</v>
      </c>
      <c r="EU795" s="1342"/>
      <c r="EV795" s="1342"/>
      <c r="EW795" s="1342"/>
      <c r="EX795" s="1343"/>
    </row>
    <row r="796" spans="1:154" s="14" customFormat="1" ht="12.95" customHeight="1">
      <c r="A796"/>
      <c r="B796"/>
      <c r="C796"/>
      <c r="D796"/>
      <c r="E796"/>
      <c r="F796"/>
      <c r="G796"/>
      <c r="H796"/>
      <c r="I796"/>
      <c r="J796" s="1389"/>
      <c r="K796" s="1390"/>
      <c r="L796" s="1390"/>
      <c r="M796" s="1390"/>
      <c r="N796" s="1391"/>
      <c r="O796" s="1603"/>
      <c r="P796" s="1603"/>
      <c r="Q796" s="1603"/>
      <c r="R796" s="1603"/>
      <c r="S796" s="1603"/>
      <c r="T796" s="1349"/>
      <c r="U796" s="1350"/>
      <c r="V796" s="1350"/>
      <c r="W796" s="1351"/>
      <c r="X796" s="1377"/>
      <c r="Y796" s="1378"/>
      <c r="Z796" s="1378"/>
      <c r="AA796" s="1378"/>
      <c r="AB796" s="1379"/>
      <c r="AC796" s="1383">
        <f t="shared" si="42"/>
        <v>0</v>
      </c>
      <c r="AD796" s="1384"/>
      <c r="AE796" s="1384"/>
      <c r="AF796" s="1384"/>
      <c r="AG796" s="1385"/>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41">
        <f t="shared" si="43"/>
        <v>0</v>
      </c>
      <c r="CQ796" s="1342"/>
      <c r="CR796" s="1342"/>
      <c r="CS796" s="1342"/>
      <c r="CT796" s="1343"/>
      <c r="CU796" s="1341">
        <f t="shared" si="44"/>
        <v>0</v>
      </c>
      <c r="CV796" s="1342"/>
      <c r="CW796" s="1342"/>
      <c r="CX796" s="1342"/>
      <c r="CY796" s="1343"/>
      <c r="CZ796" s="1341">
        <f t="shared" si="45"/>
        <v>0</v>
      </c>
      <c r="DA796" s="1342"/>
      <c r="DB796" s="1342"/>
      <c r="DC796" s="1342"/>
      <c r="DD796" s="1343"/>
      <c r="DE796" s="1341">
        <f t="shared" si="46"/>
        <v>0</v>
      </c>
      <c r="DF796" s="1342"/>
      <c r="DG796" s="1342"/>
      <c r="DH796" s="1342"/>
      <c r="DI796" s="1343"/>
      <c r="DJ796" s="1341">
        <f t="shared" si="47"/>
        <v>0</v>
      </c>
      <c r="DK796" s="1342"/>
      <c r="DL796" s="1342"/>
      <c r="DM796" s="1342"/>
      <c r="DN796" s="1343"/>
      <c r="DO796" s="1341">
        <f t="shared" si="48"/>
        <v>0</v>
      </c>
      <c r="DP796" s="1342"/>
      <c r="DQ796" s="1342"/>
      <c r="DR796" s="1342"/>
      <c r="DS796" s="1343"/>
      <c r="DT796" s="6"/>
      <c r="DU796" s="1341">
        <f t="shared" si="49"/>
        <v>0</v>
      </c>
      <c r="DV796" s="1342"/>
      <c r="DW796" s="1342"/>
      <c r="DX796" s="1342"/>
      <c r="DY796" s="1343"/>
      <c r="DZ796" s="1341">
        <f t="shared" si="50"/>
        <v>0</v>
      </c>
      <c r="EA796" s="1342"/>
      <c r="EB796" s="1342"/>
      <c r="EC796" s="1342"/>
      <c r="ED796" s="1343"/>
      <c r="EE796" s="1341">
        <f t="shared" si="51"/>
        <v>0</v>
      </c>
      <c r="EF796" s="1342"/>
      <c r="EG796" s="1342"/>
      <c r="EH796" s="1342"/>
      <c r="EI796" s="1343"/>
      <c r="EJ796" s="1341">
        <f t="shared" si="52"/>
        <v>0</v>
      </c>
      <c r="EK796" s="1342"/>
      <c r="EL796" s="1342"/>
      <c r="EM796" s="1342"/>
      <c r="EN796" s="1343"/>
      <c r="EO796" s="1341">
        <f t="shared" si="53"/>
        <v>0</v>
      </c>
      <c r="EP796" s="1342"/>
      <c r="EQ796" s="1342"/>
      <c r="ER796" s="1342"/>
      <c r="ES796" s="1343"/>
      <c r="ET796" s="1341">
        <f t="shared" si="54"/>
        <v>0</v>
      </c>
      <c r="EU796" s="1342"/>
      <c r="EV796" s="1342"/>
      <c r="EW796" s="1342"/>
      <c r="EX796" s="1343"/>
    </row>
    <row r="797" spans="1:154" s="14" customFormat="1" ht="12.95" customHeight="1">
      <c r="A797"/>
      <c r="B797"/>
      <c r="C797"/>
      <c r="D797"/>
      <c r="E797"/>
      <c r="F797"/>
      <c r="G797"/>
      <c r="H797"/>
      <c r="I797"/>
      <c r="J797" s="1389"/>
      <c r="K797" s="1390"/>
      <c r="L797" s="1390"/>
      <c r="M797" s="1390"/>
      <c r="N797" s="1391"/>
      <c r="O797" s="1603"/>
      <c r="P797" s="1603"/>
      <c r="Q797" s="1603"/>
      <c r="R797" s="1603"/>
      <c r="S797" s="1603"/>
      <c r="T797" s="1349"/>
      <c r="U797" s="1350"/>
      <c r="V797" s="1350"/>
      <c r="W797" s="1351"/>
      <c r="X797" s="1377"/>
      <c r="Y797" s="1378"/>
      <c r="Z797" s="1378"/>
      <c r="AA797" s="1378"/>
      <c r="AB797" s="1379"/>
      <c r="AC797" s="1383">
        <f t="shared" si="42"/>
        <v>0</v>
      </c>
      <c r="AD797" s="1384"/>
      <c r="AE797" s="1384"/>
      <c r="AF797" s="1384"/>
      <c r="AG797" s="1385"/>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41">
        <f t="shared" si="43"/>
        <v>0</v>
      </c>
      <c r="CQ797" s="1342"/>
      <c r="CR797" s="1342"/>
      <c r="CS797" s="1342"/>
      <c r="CT797" s="1343"/>
      <c r="CU797" s="1341">
        <f t="shared" si="44"/>
        <v>0</v>
      </c>
      <c r="CV797" s="1342"/>
      <c r="CW797" s="1342"/>
      <c r="CX797" s="1342"/>
      <c r="CY797" s="1343"/>
      <c r="CZ797" s="1341">
        <f t="shared" si="45"/>
        <v>0</v>
      </c>
      <c r="DA797" s="1342"/>
      <c r="DB797" s="1342"/>
      <c r="DC797" s="1342"/>
      <c r="DD797" s="1343"/>
      <c r="DE797" s="1341">
        <f t="shared" si="46"/>
        <v>0</v>
      </c>
      <c r="DF797" s="1342"/>
      <c r="DG797" s="1342"/>
      <c r="DH797" s="1342"/>
      <c r="DI797" s="1343"/>
      <c r="DJ797" s="1341">
        <f t="shared" si="47"/>
        <v>0</v>
      </c>
      <c r="DK797" s="1342"/>
      <c r="DL797" s="1342"/>
      <c r="DM797" s="1342"/>
      <c r="DN797" s="1343"/>
      <c r="DO797" s="1341">
        <f t="shared" si="48"/>
        <v>0</v>
      </c>
      <c r="DP797" s="1342"/>
      <c r="DQ797" s="1342"/>
      <c r="DR797" s="1342"/>
      <c r="DS797" s="1343"/>
      <c r="DT797" s="6"/>
      <c r="DU797" s="1341">
        <f t="shared" si="49"/>
        <v>0</v>
      </c>
      <c r="DV797" s="1342"/>
      <c r="DW797" s="1342"/>
      <c r="DX797" s="1342"/>
      <c r="DY797" s="1343"/>
      <c r="DZ797" s="1341">
        <f t="shared" si="50"/>
        <v>0</v>
      </c>
      <c r="EA797" s="1342"/>
      <c r="EB797" s="1342"/>
      <c r="EC797" s="1342"/>
      <c r="ED797" s="1343"/>
      <c r="EE797" s="1341">
        <f t="shared" si="51"/>
        <v>0</v>
      </c>
      <c r="EF797" s="1342"/>
      <c r="EG797" s="1342"/>
      <c r="EH797" s="1342"/>
      <c r="EI797" s="1343"/>
      <c r="EJ797" s="1341">
        <f t="shared" si="52"/>
        <v>0</v>
      </c>
      <c r="EK797" s="1342"/>
      <c r="EL797" s="1342"/>
      <c r="EM797" s="1342"/>
      <c r="EN797" s="1343"/>
      <c r="EO797" s="1341">
        <f t="shared" si="53"/>
        <v>0</v>
      </c>
      <c r="EP797" s="1342"/>
      <c r="EQ797" s="1342"/>
      <c r="ER797" s="1342"/>
      <c r="ES797" s="1343"/>
      <c r="ET797" s="1341">
        <f t="shared" si="54"/>
        <v>0</v>
      </c>
      <c r="EU797" s="1342"/>
      <c r="EV797" s="1342"/>
      <c r="EW797" s="1342"/>
      <c r="EX797" s="1343"/>
    </row>
    <row r="798" spans="1:154" s="14" customFormat="1" ht="12.95" customHeight="1">
      <c r="A798"/>
      <c r="B798"/>
      <c r="C798"/>
      <c r="D798"/>
      <c r="E798"/>
      <c r="F798"/>
      <c r="G798"/>
      <c r="H798"/>
      <c r="I798"/>
      <c r="J798" s="1389"/>
      <c r="K798" s="1390"/>
      <c r="L798" s="1390"/>
      <c r="M798" s="1390"/>
      <c r="N798" s="1391"/>
      <c r="O798" s="1603"/>
      <c r="P798" s="1603"/>
      <c r="Q798" s="1603"/>
      <c r="R798" s="1603"/>
      <c r="S798" s="1603"/>
      <c r="T798" s="1349"/>
      <c r="U798" s="1350"/>
      <c r="V798" s="1350"/>
      <c r="W798" s="1351"/>
      <c r="X798" s="1377"/>
      <c r="Y798" s="1378"/>
      <c r="Z798" s="1378"/>
      <c r="AA798" s="1378"/>
      <c r="AB798" s="1379"/>
      <c r="AC798" s="1383">
        <f t="shared" si="42"/>
        <v>0</v>
      </c>
      <c r="AD798" s="1384"/>
      <c r="AE798" s="1384"/>
      <c r="AF798" s="1384"/>
      <c r="AG798" s="1385"/>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41">
        <f t="shared" si="43"/>
        <v>0</v>
      </c>
      <c r="CQ798" s="1342"/>
      <c r="CR798" s="1342"/>
      <c r="CS798" s="1342"/>
      <c r="CT798" s="1343"/>
      <c r="CU798" s="1341">
        <f t="shared" si="44"/>
        <v>0</v>
      </c>
      <c r="CV798" s="1342"/>
      <c r="CW798" s="1342"/>
      <c r="CX798" s="1342"/>
      <c r="CY798" s="1343"/>
      <c r="CZ798" s="1341">
        <f t="shared" si="45"/>
        <v>0</v>
      </c>
      <c r="DA798" s="1342"/>
      <c r="DB798" s="1342"/>
      <c r="DC798" s="1342"/>
      <c r="DD798" s="1343"/>
      <c r="DE798" s="1341">
        <f t="shared" si="46"/>
        <v>0</v>
      </c>
      <c r="DF798" s="1342"/>
      <c r="DG798" s="1342"/>
      <c r="DH798" s="1342"/>
      <c r="DI798" s="1343"/>
      <c r="DJ798" s="1341">
        <f t="shared" si="47"/>
        <v>0</v>
      </c>
      <c r="DK798" s="1342"/>
      <c r="DL798" s="1342"/>
      <c r="DM798" s="1342"/>
      <c r="DN798" s="1343"/>
      <c r="DO798" s="1341">
        <f t="shared" si="48"/>
        <v>0</v>
      </c>
      <c r="DP798" s="1342"/>
      <c r="DQ798" s="1342"/>
      <c r="DR798" s="1342"/>
      <c r="DS798" s="1343"/>
      <c r="DT798" s="6"/>
      <c r="DU798" s="1341">
        <f t="shared" si="49"/>
        <v>0</v>
      </c>
      <c r="DV798" s="1342"/>
      <c r="DW798" s="1342"/>
      <c r="DX798" s="1342"/>
      <c r="DY798" s="1343"/>
      <c r="DZ798" s="1341">
        <f t="shared" si="50"/>
        <v>0</v>
      </c>
      <c r="EA798" s="1342"/>
      <c r="EB798" s="1342"/>
      <c r="EC798" s="1342"/>
      <c r="ED798" s="1343"/>
      <c r="EE798" s="1341">
        <f t="shared" si="51"/>
        <v>0</v>
      </c>
      <c r="EF798" s="1342"/>
      <c r="EG798" s="1342"/>
      <c r="EH798" s="1342"/>
      <c r="EI798" s="1343"/>
      <c r="EJ798" s="1341">
        <f t="shared" si="52"/>
        <v>0</v>
      </c>
      <c r="EK798" s="1342"/>
      <c r="EL798" s="1342"/>
      <c r="EM798" s="1342"/>
      <c r="EN798" s="1343"/>
      <c r="EO798" s="1341">
        <f t="shared" si="53"/>
        <v>0</v>
      </c>
      <c r="EP798" s="1342"/>
      <c r="EQ798" s="1342"/>
      <c r="ER798" s="1342"/>
      <c r="ES798" s="1343"/>
      <c r="ET798" s="1341">
        <f t="shared" si="54"/>
        <v>0</v>
      </c>
      <c r="EU798" s="1342"/>
      <c r="EV798" s="1342"/>
      <c r="EW798" s="1342"/>
      <c r="EX798" s="1343"/>
    </row>
    <row r="799" spans="1:154" s="14" customFormat="1" ht="12.95" customHeight="1">
      <c r="A799"/>
      <c r="B799"/>
      <c r="C799"/>
      <c r="D799"/>
      <c r="E799"/>
      <c r="F799"/>
      <c r="G799"/>
      <c r="H799"/>
      <c r="I799"/>
      <c r="J799" s="1389"/>
      <c r="K799" s="1390"/>
      <c r="L799" s="1390"/>
      <c r="M799" s="1390"/>
      <c r="N799" s="1391"/>
      <c r="O799" s="1603"/>
      <c r="P799" s="1603"/>
      <c r="Q799" s="1603"/>
      <c r="R799" s="1603"/>
      <c r="S799" s="1603"/>
      <c r="T799" s="1349"/>
      <c r="U799" s="1350"/>
      <c r="V799" s="1350"/>
      <c r="W799" s="1351"/>
      <c r="X799" s="1377"/>
      <c r="Y799" s="1378"/>
      <c r="Z799" s="1378"/>
      <c r="AA799" s="1378"/>
      <c r="AB799" s="1379"/>
      <c r="AC799" s="1383">
        <f t="shared" si="42"/>
        <v>0</v>
      </c>
      <c r="AD799" s="1384"/>
      <c r="AE799" s="1384"/>
      <c r="AF799" s="1384"/>
      <c r="AG799" s="1385"/>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41">
        <f t="shared" si="43"/>
        <v>0</v>
      </c>
      <c r="CQ799" s="1342"/>
      <c r="CR799" s="1342"/>
      <c r="CS799" s="1342"/>
      <c r="CT799" s="1343"/>
      <c r="CU799" s="1341">
        <f t="shared" si="44"/>
        <v>0</v>
      </c>
      <c r="CV799" s="1342"/>
      <c r="CW799" s="1342"/>
      <c r="CX799" s="1342"/>
      <c r="CY799" s="1343"/>
      <c r="CZ799" s="1341">
        <f t="shared" si="45"/>
        <v>0</v>
      </c>
      <c r="DA799" s="1342"/>
      <c r="DB799" s="1342"/>
      <c r="DC799" s="1342"/>
      <c r="DD799" s="1343"/>
      <c r="DE799" s="1341">
        <f t="shared" si="46"/>
        <v>0</v>
      </c>
      <c r="DF799" s="1342"/>
      <c r="DG799" s="1342"/>
      <c r="DH799" s="1342"/>
      <c r="DI799" s="1343"/>
      <c r="DJ799" s="1341">
        <f t="shared" si="47"/>
        <v>0</v>
      </c>
      <c r="DK799" s="1342"/>
      <c r="DL799" s="1342"/>
      <c r="DM799" s="1342"/>
      <c r="DN799" s="1343"/>
      <c r="DO799" s="1341">
        <f t="shared" si="48"/>
        <v>0</v>
      </c>
      <c r="DP799" s="1342"/>
      <c r="DQ799" s="1342"/>
      <c r="DR799" s="1342"/>
      <c r="DS799" s="1343"/>
      <c r="DT799" s="6"/>
      <c r="DU799" s="1341">
        <f t="shared" si="49"/>
        <v>0</v>
      </c>
      <c r="DV799" s="1342"/>
      <c r="DW799" s="1342"/>
      <c r="DX799" s="1342"/>
      <c r="DY799" s="1343"/>
      <c r="DZ799" s="1341">
        <f t="shared" si="50"/>
        <v>0</v>
      </c>
      <c r="EA799" s="1342"/>
      <c r="EB799" s="1342"/>
      <c r="EC799" s="1342"/>
      <c r="ED799" s="1343"/>
      <c r="EE799" s="1341">
        <f t="shared" si="51"/>
        <v>0</v>
      </c>
      <c r="EF799" s="1342"/>
      <c r="EG799" s="1342"/>
      <c r="EH799" s="1342"/>
      <c r="EI799" s="1343"/>
      <c r="EJ799" s="1341">
        <f t="shared" si="52"/>
        <v>0</v>
      </c>
      <c r="EK799" s="1342"/>
      <c r="EL799" s="1342"/>
      <c r="EM799" s="1342"/>
      <c r="EN799" s="1343"/>
      <c r="EO799" s="1341">
        <f t="shared" si="53"/>
        <v>0</v>
      </c>
      <c r="EP799" s="1342"/>
      <c r="EQ799" s="1342"/>
      <c r="ER799" s="1342"/>
      <c r="ES799" s="1343"/>
      <c r="ET799" s="1341">
        <f t="shared" si="54"/>
        <v>0</v>
      </c>
      <c r="EU799" s="1342"/>
      <c r="EV799" s="1342"/>
      <c r="EW799" s="1342"/>
      <c r="EX799" s="1343"/>
    </row>
    <row r="800" spans="1:154" s="14" customFormat="1" ht="12.95" customHeight="1">
      <c r="A800"/>
      <c r="B800"/>
      <c r="C800"/>
      <c r="D800"/>
      <c r="E800"/>
      <c r="F800"/>
      <c r="G800"/>
      <c r="H800"/>
      <c r="I800"/>
      <c r="J800" s="1389"/>
      <c r="K800" s="1390"/>
      <c r="L800" s="1390"/>
      <c r="M800" s="1390"/>
      <c r="N800" s="1391"/>
      <c r="O800" s="1603"/>
      <c r="P800" s="1603"/>
      <c r="Q800" s="1603"/>
      <c r="R800" s="1603"/>
      <c r="S800" s="1603"/>
      <c r="T800" s="1349"/>
      <c r="U800" s="1350"/>
      <c r="V800" s="1350"/>
      <c r="W800" s="1351"/>
      <c r="X800" s="1377"/>
      <c r="Y800" s="1378"/>
      <c r="Z800" s="1378"/>
      <c r="AA800" s="1378"/>
      <c r="AB800" s="1379"/>
      <c r="AC800" s="1383">
        <f t="shared" si="42"/>
        <v>0</v>
      </c>
      <c r="AD800" s="1384"/>
      <c r="AE800" s="1384"/>
      <c r="AF800" s="1384"/>
      <c r="AG800" s="1385"/>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41">
        <f t="shared" si="43"/>
        <v>0</v>
      </c>
      <c r="CQ800" s="1342"/>
      <c r="CR800" s="1342"/>
      <c r="CS800" s="1342"/>
      <c r="CT800" s="1343"/>
      <c r="CU800" s="1341">
        <f t="shared" si="44"/>
        <v>0</v>
      </c>
      <c r="CV800" s="1342"/>
      <c r="CW800" s="1342"/>
      <c r="CX800" s="1342"/>
      <c r="CY800" s="1343"/>
      <c r="CZ800" s="1341">
        <f t="shared" si="45"/>
        <v>0</v>
      </c>
      <c r="DA800" s="1342"/>
      <c r="DB800" s="1342"/>
      <c r="DC800" s="1342"/>
      <c r="DD800" s="1343"/>
      <c r="DE800" s="1341">
        <f t="shared" si="46"/>
        <v>0</v>
      </c>
      <c r="DF800" s="1342"/>
      <c r="DG800" s="1342"/>
      <c r="DH800" s="1342"/>
      <c r="DI800" s="1343"/>
      <c r="DJ800" s="1341">
        <f t="shared" si="47"/>
        <v>0</v>
      </c>
      <c r="DK800" s="1342"/>
      <c r="DL800" s="1342"/>
      <c r="DM800" s="1342"/>
      <c r="DN800" s="1343"/>
      <c r="DO800" s="1341">
        <f t="shared" si="48"/>
        <v>0</v>
      </c>
      <c r="DP800" s="1342"/>
      <c r="DQ800" s="1342"/>
      <c r="DR800" s="1342"/>
      <c r="DS800" s="1343"/>
      <c r="DT800" s="6"/>
      <c r="DU800" s="1341">
        <f t="shared" si="49"/>
        <v>0</v>
      </c>
      <c r="DV800" s="1342"/>
      <c r="DW800" s="1342"/>
      <c r="DX800" s="1342"/>
      <c r="DY800" s="1343"/>
      <c r="DZ800" s="1341">
        <f t="shared" si="50"/>
        <v>0</v>
      </c>
      <c r="EA800" s="1342"/>
      <c r="EB800" s="1342"/>
      <c r="EC800" s="1342"/>
      <c r="ED800" s="1343"/>
      <c r="EE800" s="1341">
        <f t="shared" si="51"/>
        <v>0</v>
      </c>
      <c r="EF800" s="1342"/>
      <c r="EG800" s="1342"/>
      <c r="EH800" s="1342"/>
      <c r="EI800" s="1343"/>
      <c r="EJ800" s="1341">
        <f t="shared" si="52"/>
        <v>0</v>
      </c>
      <c r="EK800" s="1342"/>
      <c r="EL800" s="1342"/>
      <c r="EM800" s="1342"/>
      <c r="EN800" s="1343"/>
      <c r="EO800" s="1341">
        <f t="shared" si="53"/>
        <v>0</v>
      </c>
      <c r="EP800" s="1342"/>
      <c r="EQ800" s="1342"/>
      <c r="ER800" s="1342"/>
      <c r="ES800" s="1343"/>
      <c r="ET800" s="1341">
        <f t="shared" si="54"/>
        <v>0</v>
      </c>
      <c r="EU800" s="1342"/>
      <c r="EV800" s="1342"/>
      <c r="EW800" s="1342"/>
      <c r="EX800" s="1343"/>
    </row>
    <row r="801" spans="1:154" s="14" customFormat="1" ht="12.95" customHeight="1">
      <c r="A801"/>
      <c r="B801"/>
      <c r="C801"/>
      <c r="D801"/>
      <c r="E801"/>
      <c r="F801"/>
      <c r="G801"/>
      <c r="H801"/>
      <c r="I801"/>
      <c r="J801" s="1389"/>
      <c r="K801" s="1390"/>
      <c r="L801" s="1390"/>
      <c r="M801" s="1390"/>
      <c r="N801" s="1391"/>
      <c r="O801" s="1603"/>
      <c r="P801" s="1603"/>
      <c r="Q801" s="1603"/>
      <c r="R801" s="1603"/>
      <c r="S801" s="1603"/>
      <c r="T801" s="1349"/>
      <c r="U801" s="1350"/>
      <c r="V801" s="1350"/>
      <c r="W801" s="1351"/>
      <c r="X801" s="1377"/>
      <c r="Y801" s="1378"/>
      <c r="Z801" s="1378"/>
      <c r="AA801" s="1378"/>
      <c r="AB801" s="1379"/>
      <c r="AC801" s="1383">
        <f t="shared" si="42"/>
        <v>0</v>
      </c>
      <c r="AD801" s="1384"/>
      <c r="AE801" s="1384"/>
      <c r="AF801" s="1384"/>
      <c r="AG801" s="1385"/>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41">
        <f t="shared" si="43"/>
        <v>0</v>
      </c>
      <c r="CQ801" s="1342"/>
      <c r="CR801" s="1342"/>
      <c r="CS801" s="1342"/>
      <c r="CT801" s="1343"/>
      <c r="CU801" s="1341">
        <f t="shared" si="44"/>
        <v>0</v>
      </c>
      <c r="CV801" s="1342"/>
      <c r="CW801" s="1342"/>
      <c r="CX801" s="1342"/>
      <c r="CY801" s="1343"/>
      <c r="CZ801" s="1341">
        <f t="shared" si="45"/>
        <v>0</v>
      </c>
      <c r="DA801" s="1342"/>
      <c r="DB801" s="1342"/>
      <c r="DC801" s="1342"/>
      <c r="DD801" s="1343"/>
      <c r="DE801" s="1341">
        <f t="shared" si="46"/>
        <v>0</v>
      </c>
      <c r="DF801" s="1342"/>
      <c r="DG801" s="1342"/>
      <c r="DH801" s="1342"/>
      <c r="DI801" s="1343"/>
      <c r="DJ801" s="1341">
        <f t="shared" si="47"/>
        <v>0</v>
      </c>
      <c r="DK801" s="1342"/>
      <c r="DL801" s="1342"/>
      <c r="DM801" s="1342"/>
      <c r="DN801" s="1343"/>
      <c r="DO801" s="1341">
        <f t="shared" si="48"/>
        <v>0</v>
      </c>
      <c r="DP801" s="1342"/>
      <c r="DQ801" s="1342"/>
      <c r="DR801" s="1342"/>
      <c r="DS801" s="1343"/>
      <c r="DT801" s="6"/>
      <c r="DU801" s="1341">
        <f t="shared" si="49"/>
        <v>0</v>
      </c>
      <c r="DV801" s="1342"/>
      <c r="DW801" s="1342"/>
      <c r="DX801" s="1342"/>
      <c r="DY801" s="1343"/>
      <c r="DZ801" s="1341">
        <f t="shared" si="50"/>
        <v>0</v>
      </c>
      <c r="EA801" s="1342"/>
      <c r="EB801" s="1342"/>
      <c r="EC801" s="1342"/>
      <c r="ED801" s="1343"/>
      <c r="EE801" s="1341">
        <f t="shared" si="51"/>
        <v>0</v>
      </c>
      <c r="EF801" s="1342"/>
      <c r="EG801" s="1342"/>
      <c r="EH801" s="1342"/>
      <c r="EI801" s="1343"/>
      <c r="EJ801" s="1341">
        <f t="shared" si="52"/>
        <v>0</v>
      </c>
      <c r="EK801" s="1342"/>
      <c r="EL801" s="1342"/>
      <c r="EM801" s="1342"/>
      <c r="EN801" s="1343"/>
      <c r="EO801" s="1341">
        <f t="shared" si="53"/>
        <v>0</v>
      </c>
      <c r="EP801" s="1342"/>
      <c r="EQ801" s="1342"/>
      <c r="ER801" s="1342"/>
      <c r="ES801" s="1343"/>
      <c r="ET801" s="1341">
        <f t="shared" si="54"/>
        <v>0</v>
      </c>
      <c r="EU801" s="1342"/>
      <c r="EV801" s="1342"/>
      <c r="EW801" s="1342"/>
      <c r="EX801" s="1343"/>
    </row>
    <row r="802" spans="1:154" s="14" customFormat="1" ht="12.95" customHeight="1">
      <c r="A802"/>
      <c r="B802"/>
      <c r="C802"/>
      <c r="D802"/>
      <c r="E802"/>
      <c r="F802"/>
      <c r="G802"/>
      <c r="H802"/>
      <c r="I802"/>
      <c r="J802" s="1389"/>
      <c r="K802" s="1390"/>
      <c r="L802" s="1390"/>
      <c r="M802" s="1390"/>
      <c r="N802" s="1391"/>
      <c r="O802" s="1603"/>
      <c r="P802" s="1603"/>
      <c r="Q802" s="1603"/>
      <c r="R802" s="1603"/>
      <c r="S802" s="1603"/>
      <c r="T802" s="1349"/>
      <c r="U802" s="1350"/>
      <c r="V802" s="1350"/>
      <c r="W802" s="1351"/>
      <c r="X802" s="1377"/>
      <c r="Y802" s="1378"/>
      <c r="Z802" s="1378"/>
      <c r="AA802" s="1378"/>
      <c r="AB802" s="1379"/>
      <c r="AC802" s="1383">
        <f t="shared" si="42"/>
        <v>0</v>
      </c>
      <c r="AD802" s="1384"/>
      <c r="AE802" s="1384"/>
      <c r="AF802" s="1384"/>
      <c r="AG802" s="1385"/>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41">
        <f t="shared" si="43"/>
        <v>0</v>
      </c>
      <c r="CQ802" s="1342"/>
      <c r="CR802" s="1342"/>
      <c r="CS802" s="1342"/>
      <c r="CT802" s="1343"/>
      <c r="CU802" s="1341">
        <f t="shared" si="44"/>
        <v>0</v>
      </c>
      <c r="CV802" s="1342"/>
      <c r="CW802" s="1342"/>
      <c r="CX802" s="1342"/>
      <c r="CY802" s="1343"/>
      <c r="CZ802" s="1341">
        <f t="shared" si="45"/>
        <v>0</v>
      </c>
      <c r="DA802" s="1342"/>
      <c r="DB802" s="1342"/>
      <c r="DC802" s="1342"/>
      <c r="DD802" s="1343"/>
      <c r="DE802" s="1341">
        <f t="shared" si="46"/>
        <v>0</v>
      </c>
      <c r="DF802" s="1342"/>
      <c r="DG802" s="1342"/>
      <c r="DH802" s="1342"/>
      <c r="DI802" s="1343"/>
      <c r="DJ802" s="1341">
        <f t="shared" si="47"/>
        <v>0</v>
      </c>
      <c r="DK802" s="1342"/>
      <c r="DL802" s="1342"/>
      <c r="DM802" s="1342"/>
      <c r="DN802" s="1343"/>
      <c r="DO802" s="1341">
        <f t="shared" si="48"/>
        <v>0</v>
      </c>
      <c r="DP802" s="1342"/>
      <c r="DQ802" s="1342"/>
      <c r="DR802" s="1342"/>
      <c r="DS802" s="1343"/>
      <c r="DT802" s="6"/>
      <c r="DU802" s="1341">
        <f t="shared" si="49"/>
        <v>0</v>
      </c>
      <c r="DV802" s="1342"/>
      <c r="DW802" s="1342"/>
      <c r="DX802" s="1342"/>
      <c r="DY802" s="1343"/>
      <c r="DZ802" s="1341">
        <f t="shared" si="50"/>
        <v>0</v>
      </c>
      <c r="EA802" s="1342"/>
      <c r="EB802" s="1342"/>
      <c r="EC802" s="1342"/>
      <c r="ED802" s="1343"/>
      <c r="EE802" s="1341">
        <f t="shared" si="51"/>
        <v>0</v>
      </c>
      <c r="EF802" s="1342"/>
      <c r="EG802" s="1342"/>
      <c r="EH802" s="1342"/>
      <c r="EI802" s="1343"/>
      <c r="EJ802" s="1341">
        <f t="shared" si="52"/>
        <v>0</v>
      </c>
      <c r="EK802" s="1342"/>
      <c r="EL802" s="1342"/>
      <c r="EM802" s="1342"/>
      <c r="EN802" s="1343"/>
      <c r="EO802" s="1341">
        <f t="shared" si="53"/>
        <v>0</v>
      </c>
      <c r="EP802" s="1342"/>
      <c r="EQ802" s="1342"/>
      <c r="ER802" s="1342"/>
      <c r="ES802" s="1343"/>
      <c r="ET802" s="1341">
        <f t="shared" si="54"/>
        <v>0</v>
      </c>
      <c r="EU802" s="1342"/>
      <c r="EV802" s="1342"/>
      <c r="EW802" s="1342"/>
      <c r="EX802" s="1343"/>
    </row>
    <row r="803" spans="1:154" s="14" customFormat="1" ht="12.95" customHeight="1">
      <c r="A803"/>
      <c r="B803"/>
      <c r="C803"/>
      <c r="D803"/>
      <c r="E803"/>
      <c r="F803"/>
      <c r="G803"/>
      <c r="H803"/>
      <c r="I803"/>
      <c r="J803" s="1389"/>
      <c r="K803" s="1390"/>
      <c r="L803" s="1390"/>
      <c r="M803" s="1390"/>
      <c r="N803" s="1391"/>
      <c r="O803" s="1603"/>
      <c r="P803" s="1603"/>
      <c r="Q803" s="1603"/>
      <c r="R803" s="1603"/>
      <c r="S803" s="1603"/>
      <c r="T803" s="1349"/>
      <c r="U803" s="1350"/>
      <c r="V803" s="1350"/>
      <c r="W803" s="1351"/>
      <c r="X803" s="1377"/>
      <c r="Y803" s="1378"/>
      <c r="Z803" s="1378"/>
      <c r="AA803" s="1378"/>
      <c r="AB803" s="1379"/>
      <c r="AC803" s="1383">
        <f t="shared" si="42"/>
        <v>0</v>
      </c>
      <c r="AD803" s="1384"/>
      <c r="AE803" s="1384"/>
      <c r="AF803" s="1384"/>
      <c r="AG803" s="1385"/>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41">
        <f t="shared" si="43"/>
        <v>0</v>
      </c>
      <c r="CQ803" s="1342"/>
      <c r="CR803" s="1342"/>
      <c r="CS803" s="1342"/>
      <c r="CT803" s="1343"/>
      <c r="CU803" s="1341">
        <f t="shared" si="44"/>
        <v>0</v>
      </c>
      <c r="CV803" s="1342"/>
      <c r="CW803" s="1342"/>
      <c r="CX803" s="1342"/>
      <c r="CY803" s="1343"/>
      <c r="CZ803" s="1341">
        <f t="shared" si="45"/>
        <v>0</v>
      </c>
      <c r="DA803" s="1342"/>
      <c r="DB803" s="1342"/>
      <c r="DC803" s="1342"/>
      <c r="DD803" s="1343"/>
      <c r="DE803" s="1341">
        <f t="shared" si="46"/>
        <v>0</v>
      </c>
      <c r="DF803" s="1342"/>
      <c r="DG803" s="1342"/>
      <c r="DH803" s="1342"/>
      <c r="DI803" s="1343"/>
      <c r="DJ803" s="1341">
        <f t="shared" si="47"/>
        <v>0</v>
      </c>
      <c r="DK803" s="1342"/>
      <c r="DL803" s="1342"/>
      <c r="DM803" s="1342"/>
      <c r="DN803" s="1343"/>
      <c r="DO803" s="1341">
        <f t="shared" si="48"/>
        <v>0</v>
      </c>
      <c r="DP803" s="1342"/>
      <c r="DQ803" s="1342"/>
      <c r="DR803" s="1342"/>
      <c r="DS803" s="1343"/>
      <c r="DT803" s="6"/>
      <c r="DU803" s="1341">
        <f t="shared" si="49"/>
        <v>0</v>
      </c>
      <c r="DV803" s="1342"/>
      <c r="DW803" s="1342"/>
      <c r="DX803" s="1342"/>
      <c r="DY803" s="1343"/>
      <c r="DZ803" s="1341">
        <f t="shared" si="50"/>
        <v>0</v>
      </c>
      <c r="EA803" s="1342"/>
      <c r="EB803" s="1342"/>
      <c r="EC803" s="1342"/>
      <c r="ED803" s="1343"/>
      <c r="EE803" s="1341">
        <f t="shared" si="51"/>
        <v>0</v>
      </c>
      <c r="EF803" s="1342"/>
      <c r="EG803" s="1342"/>
      <c r="EH803" s="1342"/>
      <c r="EI803" s="1343"/>
      <c r="EJ803" s="1341">
        <f t="shared" si="52"/>
        <v>0</v>
      </c>
      <c r="EK803" s="1342"/>
      <c r="EL803" s="1342"/>
      <c r="EM803" s="1342"/>
      <c r="EN803" s="1343"/>
      <c r="EO803" s="1341">
        <f t="shared" si="53"/>
        <v>0</v>
      </c>
      <c r="EP803" s="1342"/>
      <c r="EQ803" s="1342"/>
      <c r="ER803" s="1342"/>
      <c r="ES803" s="1343"/>
      <c r="ET803" s="1341">
        <f t="shared" si="54"/>
        <v>0</v>
      </c>
      <c r="EU803" s="1342"/>
      <c r="EV803" s="1342"/>
      <c r="EW803" s="1342"/>
      <c r="EX803" s="1343"/>
    </row>
    <row r="804" spans="1:154" s="4" customFormat="1" ht="12.95" customHeight="1">
      <c r="A804"/>
      <c r="B804"/>
      <c r="C804"/>
      <c r="D804"/>
      <c r="E804"/>
      <c r="F804"/>
      <c r="G804"/>
      <c r="H804"/>
      <c r="I804"/>
      <c r="J804" s="1389"/>
      <c r="K804" s="1390"/>
      <c r="L804" s="1390"/>
      <c r="M804" s="1390"/>
      <c r="N804" s="1391"/>
      <c r="O804" s="1603"/>
      <c r="P804" s="1603"/>
      <c r="Q804" s="1603"/>
      <c r="R804" s="1603"/>
      <c r="S804" s="1603"/>
      <c r="T804" s="1349"/>
      <c r="U804" s="1350"/>
      <c r="V804" s="1350"/>
      <c r="W804" s="1351"/>
      <c r="X804" s="1377"/>
      <c r="Y804" s="1378"/>
      <c r="Z804" s="1378"/>
      <c r="AA804" s="1378"/>
      <c r="AB804" s="1379"/>
      <c r="AC804" s="1383">
        <f t="shared" si="42"/>
        <v>0</v>
      </c>
      <c r="AD804" s="1384"/>
      <c r="AE804" s="1384"/>
      <c r="AF804" s="1384"/>
      <c r="AG804" s="1385"/>
      <c r="AH804"/>
      <c r="AI804"/>
      <c r="AJ804"/>
      <c r="AK804"/>
      <c r="AL804"/>
      <c r="AM804"/>
      <c r="AN804"/>
      <c r="AO804"/>
      <c r="AP804"/>
      <c r="AQ804"/>
      <c r="AR804"/>
      <c r="AS804"/>
      <c r="AT804"/>
      <c r="AU804"/>
      <c r="AV804"/>
      <c r="AW804"/>
      <c r="AX804"/>
      <c r="AY804"/>
      <c r="AZ804" s="3"/>
      <c r="CP804" s="1341">
        <f t="shared" si="43"/>
        <v>0</v>
      </c>
      <c r="CQ804" s="1342"/>
      <c r="CR804" s="1342"/>
      <c r="CS804" s="1342"/>
      <c r="CT804" s="1343"/>
      <c r="CU804" s="1341">
        <f t="shared" si="44"/>
        <v>0</v>
      </c>
      <c r="CV804" s="1342"/>
      <c r="CW804" s="1342"/>
      <c r="CX804" s="1342"/>
      <c r="CY804" s="1343"/>
      <c r="CZ804" s="1341">
        <f t="shared" si="45"/>
        <v>0</v>
      </c>
      <c r="DA804" s="1342"/>
      <c r="DB804" s="1342"/>
      <c r="DC804" s="1342"/>
      <c r="DD804" s="1343"/>
      <c r="DE804" s="1341">
        <f t="shared" si="46"/>
        <v>0</v>
      </c>
      <c r="DF804" s="1342"/>
      <c r="DG804" s="1342"/>
      <c r="DH804" s="1342"/>
      <c r="DI804" s="1343"/>
      <c r="DJ804" s="1341">
        <f t="shared" si="47"/>
        <v>0</v>
      </c>
      <c r="DK804" s="1342"/>
      <c r="DL804" s="1342"/>
      <c r="DM804" s="1342"/>
      <c r="DN804" s="1343"/>
      <c r="DO804" s="1341">
        <f t="shared" si="48"/>
        <v>0</v>
      </c>
      <c r="DP804" s="1342"/>
      <c r="DQ804" s="1342"/>
      <c r="DR804" s="1342"/>
      <c r="DS804" s="1343"/>
      <c r="DT804" s="6"/>
      <c r="DU804" s="1341">
        <f t="shared" si="49"/>
        <v>0</v>
      </c>
      <c r="DV804" s="1342"/>
      <c r="DW804" s="1342"/>
      <c r="DX804" s="1342"/>
      <c r="DY804" s="1343"/>
      <c r="DZ804" s="1341">
        <f t="shared" si="50"/>
        <v>0</v>
      </c>
      <c r="EA804" s="1342"/>
      <c r="EB804" s="1342"/>
      <c r="EC804" s="1342"/>
      <c r="ED804" s="1343"/>
      <c r="EE804" s="1341">
        <f t="shared" si="51"/>
        <v>0</v>
      </c>
      <c r="EF804" s="1342"/>
      <c r="EG804" s="1342"/>
      <c r="EH804" s="1342"/>
      <c r="EI804" s="1343"/>
      <c r="EJ804" s="1341">
        <f t="shared" si="52"/>
        <v>0</v>
      </c>
      <c r="EK804" s="1342"/>
      <c r="EL804" s="1342"/>
      <c r="EM804" s="1342"/>
      <c r="EN804" s="1343"/>
      <c r="EO804" s="1341">
        <f t="shared" si="53"/>
        <v>0</v>
      </c>
      <c r="EP804" s="1342"/>
      <c r="EQ804" s="1342"/>
      <c r="ER804" s="1342"/>
      <c r="ES804" s="1343"/>
      <c r="ET804" s="1341">
        <f t="shared" si="54"/>
        <v>0</v>
      </c>
      <c r="EU804" s="1342"/>
      <c r="EV804" s="1342"/>
      <c r="EW804" s="1342"/>
      <c r="EX804" s="1343"/>
    </row>
    <row r="805" spans="1:154" s="4" customFormat="1" ht="12.95" customHeight="1">
      <c r="A805"/>
      <c r="B805"/>
      <c r="C805"/>
      <c r="D805"/>
      <c r="E805"/>
      <c r="F805"/>
      <c r="G805"/>
      <c r="H805"/>
      <c r="I805"/>
      <c r="J805" s="1519" t="s">
        <v>125</v>
      </c>
      <c r="K805" s="1520"/>
      <c r="L805" s="1520"/>
      <c r="M805" s="1520"/>
      <c r="N805" s="1522"/>
      <c r="O805" s="1712">
        <f>SUM(O795:S804)</f>
        <v>0</v>
      </c>
      <c r="P805" s="1712"/>
      <c r="Q805" s="1712"/>
      <c r="R805" s="1712"/>
      <c r="S805" s="1712"/>
      <c r="T805"/>
      <c r="U805"/>
      <c r="V805"/>
      <c r="W805"/>
      <c r="X805" s="898" t="s">
        <v>124</v>
      </c>
      <c r="Y805" s="11"/>
      <c r="Z805" s="11"/>
      <c r="AA805" s="11"/>
      <c r="AB805" s="905"/>
      <c r="AC805" s="1383">
        <f>SUM(AC795:AG804)</f>
        <v>0</v>
      </c>
      <c r="AD805" s="1384"/>
      <c r="AE805" s="1384"/>
      <c r="AF805" s="1384"/>
      <c r="AG805" s="1385"/>
      <c r="AH805"/>
      <c r="AI805"/>
      <c r="AJ805"/>
      <c r="AK805"/>
      <c r="AL805"/>
      <c r="AM805"/>
      <c r="AN805"/>
      <c r="AO805"/>
      <c r="AP805"/>
      <c r="AQ805"/>
      <c r="AR805"/>
      <c r="AS805"/>
      <c r="AT805"/>
      <c r="AU805"/>
      <c r="AV805"/>
      <c r="AW805"/>
      <c r="AX805"/>
      <c r="AY805"/>
      <c r="AZ805" s="3"/>
      <c r="BA805"/>
      <c r="CP805" s="1352">
        <f>SUM(CP795:CT804)</f>
        <v>0</v>
      </c>
      <c r="CQ805" s="1357"/>
      <c r="CR805" s="1357"/>
      <c r="CS805" s="1357"/>
      <c r="CT805" s="1353"/>
      <c r="CU805" s="1369">
        <f>SUM(CU795:CY804)</f>
        <v>0</v>
      </c>
      <c r="CV805" s="1370"/>
      <c r="CW805" s="1370"/>
      <c r="CX805" s="1370"/>
      <c r="CY805" s="1371"/>
      <c r="CZ805" s="1369">
        <f>SUM(CZ795:DD804)</f>
        <v>0</v>
      </c>
      <c r="DA805" s="1370"/>
      <c r="DB805" s="1370"/>
      <c r="DC805" s="1370"/>
      <c r="DD805" s="1371"/>
      <c r="DE805" s="1369">
        <f>SUM(DE795:DI804)</f>
        <v>0</v>
      </c>
      <c r="DF805" s="1370"/>
      <c r="DG805" s="1370"/>
      <c r="DH805" s="1370"/>
      <c r="DI805" s="1371"/>
      <c r="DJ805" s="1369">
        <f>SUM(DJ795:DN804)</f>
        <v>0</v>
      </c>
      <c r="DK805" s="1370"/>
      <c r="DL805" s="1370"/>
      <c r="DM805" s="1370"/>
      <c r="DN805" s="1371"/>
      <c r="DO805" s="1369">
        <f>SUM(DO795:DS804)</f>
        <v>0</v>
      </c>
      <c r="DP805" s="1370"/>
      <c r="DQ805" s="1370"/>
      <c r="DR805" s="1370"/>
      <c r="DS805" s="1371"/>
      <c r="DT805" s="1007"/>
      <c r="DU805" s="1352">
        <f>SUM(DU795:DY804)</f>
        <v>0</v>
      </c>
      <c r="DV805" s="1357"/>
      <c r="DW805" s="1357"/>
      <c r="DX805" s="1357"/>
      <c r="DY805" s="1353"/>
      <c r="DZ805" s="1352">
        <f>SUM(DZ795:ED804)</f>
        <v>0</v>
      </c>
      <c r="EA805" s="1357"/>
      <c r="EB805" s="1357"/>
      <c r="EC805" s="1357"/>
      <c r="ED805" s="1353"/>
      <c r="EE805" s="1352">
        <f>SUM(EE795:EI804)</f>
        <v>0</v>
      </c>
      <c r="EF805" s="1357"/>
      <c r="EG805" s="1357"/>
      <c r="EH805" s="1357"/>
      <c r="EI805" s="1353"/>
      <c r="EJ805" s="1352">
        <f>SUM(EJ795:EN804)</f>
        <v>0</v>
      </c>
      <c r="EK805" s="1357"/>
      <c r="EL805" s="1357"/>
      <c r="EM805" s="1357"/>
      <c r="EN805" s="1353"/>
      <c r="EO805" s="1352">
        <f>SUM(EO795:ES804)</f>
        <v>0</v>
      </c>
      <c r="EP805" s="1357"/>
      <c r="EQ805" s="1357"/>
      <c r="ER805" s="1357"/>
      <c r="ES805" s="1353"/>
      <c r="ET805" s="1352">
        <f>SUM(ET795:EX804)</f>
        <v>0</v>
      </c>
      <c r="EU805" s="1357"/>
      <c r="EV805" s="1357"/>
      <c r="EW805" s="1357"/>
      <c r="EX805" s="1353"/>
    </row>
    <row r="806" spans="1:154" s="4" customFormat="1" ht="12.95" customHeight="1">
      <c r="A806"/>
      <c r="B806"/>
      <c r="C806" s="1641" t="str">
        <f>IF(O805&lt;&gt;AG447,"! Total market rate units in the Unit Mix Table above does not match the number of  market rate units on row #"&amp;TEXT(ROW(D447),"#"),"")</f>
        <v/>
      </c>
      <c r="D806" s="1641"/>
      <c r="E806" s="1641"/>
      <c r="F806" s="1641"/>
      <c r="G806" s="1641"/>
      <c r="H806" s="1641"/>
      <c r="I806" s="1641"/>
      <c r="J806" s="1641"/>
      <c r="K806" s="1641"/>
      <c r="L806" s="1641"/>
      <c r="M806" s="1641"/>
      <c r="N806" s="1641"/>
      <c r="O806" s="1641"/>
      <c r="P806" s="1641"/>
      <c r="Q806" s="1641"/>
      <c r="R806" s="1641"/>
      <c r="S806" s="1641"/>
      <c r="T806" s="1641"/>
      <c r="U806" s="1641"/>
      <c r="V806" s="1641"/>
      <c r="W806" s="1641"/>
      <c r="X806" s="1641"/>
      <c r="Y806" s="1641"/>
      <c r="Z806" s="1641"/>
      <c r="AA806" s="1641"/>
      <c r="AB806" s="1641"/>
      <c r="AC806" s="1641"/>
      <c r="AD806" s="1641"/>
      <c r="AE806" s="1641"/>
      <c r="AF806" s="1641"/>
      <c r="AG806" s="1641"/>
      <c r="AH806" s="1641"/>
      <c r="AI806" s="1641"/>
      <c r="AJ806" s="1641"/>
      <c r="AK806" s="1641"/>
      <c r="AL806" s="1641"/>
      <c r="AM806" s="1641"/>
      <c r="AN806" s="1641"/>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641"/>
      <c r="D807" s="1641"/>
      <c r="E807" s="1641"/>
      <c r="F807" s="1641"/>
      <c r="G807" s="1641"/>
      <c r="H807" s="1641"/>
      <c r="I807" s="1641"/>
      <c r="J807" s="1641"/>
      <c r="K807" s="1641"/>
      <c r="L807" s="1641"/>
      <c r="M807" s="1641"/>
      <c r="N807" s="1641"/>
      <c r="O807" s="1641"/>
      <c r="P807" s="1641"/>
      <c r="Q807" s="1641"/>
      <c r="R807" s="1641"/>
      <c r="S807" s="1641"/>
      <c r="T807" s="1641"/>
      <c r="U807" s="1641"/>
      <c r="V807" s="1641"/>
      <c r="W807" s="1641"/>
      <c r="X807" s="1641"/>
      <c r="Y807" s="1641"/>
      <c r="Z807" s="1641"/>
      <c r="AA807" s="1641"/>
      <c r="AB807" s="1641"/>
      <c r="AC807" s="1641"/>
      <c r="AD807" s="1641"/>
      <c r="AE807" s="1641"/>
      <c r="AF807" s="1641"/>
      <c r="AG807" s="1641"/>
      <c r="AH807" s="1641"/>
      <c r="AI807" s="1641"/>
      <c r="AJ807" s="1641"/>
      <c r="AK807" s="1641"/>
      <c r="AL807" s="1641"/>
      <c r="AM807" s="1641"/>
      <c r="AN807" s="1641"/>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1833</v>
      </c>
      <c r="DW807" s="3"/>
      <c r="DX807" s="3"/>
      <c r="DY807" s="3"/>
      <c r="DZ807" s="3"/>
      <c r="EA807" s="3"/>
      <c r="EB807" s="3"/>
      <c r="EC807" s="3"/>
      <c r="ED807" s="3"/>
      <c r="EE807" s="3"/>
      <c r="EF807" s="3"/>
      <c r="EG807" s="3"/>
      <c r="EH807" s="3"/>
      <c r="EI807"/>
      <c r="EJ807"/>
      <c r="EK807"/>
      <c r="EL807"/>
      <c r="EM807"/>
      <c r="EN807"/>
      <c r="EO807"/>
      <c r="EP807"/>
      <c r="EQ807"/>
      <c r="ER807"/>
      <c r="ES807" s="56" t="s">
        <v>1842</v>
      </c>
      <c r="ET807" s="1366">
        <f>SUM(DU805:EX805)</f>
        <v>0</v>
      </c>
      <c r="EU807" s="1367"/>
      <c r="EV807" s="1367"/>
      <c r="EW807" s="1367"/>
      <c r="EX807" s="1368"/>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642">
        <f>O761+AC785+AC805</f>
        <v>89000</v>
      </c>
      <c r="Z808" s="1642"/>
      <c r="AA808" s="1642"/>
      <c r="AB808" s="1642"/>
      <c r="AC808" s="1642"/>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42">
        <f>(O761+AC785+AC805)*12</f>
        <v>1068000</v>
      </c>
      <c r="Z809" s="1642"/>
      <c r="AA809" s="1642"/>
      <c r="AB809" s="1642"/>
      <c r="AC809" s="1642"/>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369">
        <f>CP761+CP785+CP805</f>
        <v>0</v>
      </c>
      <c r="CQ810" s="1370"/>
      <c r="CR810" s="1370"/>
      <c r="CS810" s="1370"/>
      <c r="CT810" s="1371"/>
      <c r="CU810" s="1369">
        <f>CU761+CU785+CU805</f>
        <v>0</v>
      </c>
      <c r="CV810" s="1370"/>
      <c r="CW810" s="1370"/>
      <c r="CX810" s="1370"/>
      <c r="CY810" s="1371"/>
      <c r="CZ810" s="1369">
        <f>CZ761+CZ785+CZ805</f>
        <v>34</v>
      </c>
      <c r="DA810" s="1370"/>
      <c r="DB810" s="1370"/>
      <c r="DC810" s="1370"/>
      <c r="DD810" s="1371"/>
      <c r="DE810" s="1369">
        <f>DE761+DE785+DE805</f>
        <v>44</v>
      </c>
      <c r="DF810" s="1370"/>
      <c r="DG810" s="1370"/>
      <c r="DH810" s="1370"/>
      <c r="DI810" s="1371"/>
      <c r="DJ810" s="1369">
        <f>DJ761+DJ785+DJ805</f>
        <v>0</v>
      </c>
      <c r="DK810" s="1370"/>
      <c r="DL810" s="1370"/>
      <c r="DM810" s="1370"/>
      <c r="DN810" s="1371"/>
      <c r="DO810" s="1355">
        <f>DO805+DO785+DO761</f>
        <v>0</v>
      </c>
      <c r="DP810" s="1372"/>
      <c r="DQ810" s="1372"/>
      <c r="DR810" s="1372"/>
      <c r="DS810" s="1356"/>
      <c r="DT810" s="3"/>
      <c r="DU810" s="857">
        <f>DU763+DU808</f>
        <v>198</v>
      </c>
      <c r="DV810" s="57" t="s">
        <v>1838</v>
      </c>
    </row>
    <row r="811" spans="1:154" s="4" customFormat="1" ht="12.95"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740"/>
      <c r="AA814" s="1625"/>
      <c r="AB814" s="1625"/>
      <c r="AC814" s="1625"/>
      <c r="AD814" s="1625"/>
      <c r="AE814" s="1626"/>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624"/>
      <c r="AA815" s="1625"/>
      <c r="AB815" s="1625"/>
      <c r="AC815" s="1625"/>
      <c r="AD815" s="1625"/>
      <c r="AE815" s="1626"/>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68">
        <v>0</v>
      </c>
      <c r="AA816" s="1538"/>
      <c r="AB816" s="1538"/>
      <c r="AC816" s="1538"/>
      <c r="AD816" s="1538"/>
      <c r="AE816" s="1669"/>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75">
        <f>'Subsidy Contract Calculation'!J40</f>
        <v>0</v>
      </c>
      <c r="AA817" s="1476"/>
      <c r="AB817" s="1476"/>
      <c r="AC817" s="1476"/>
      <c r="AD817" s="1476"/>
      <c r="AE817" s="1477"/>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78">
        <v>1950</v>
      </c>
      <c r="AA821" s="1479"/>
      <c r="AB821" s="1479"/>
      <c r="AC821" s="1479"/>
      <c r="AD821" s="1479"/>
      <c r="AE821" s="1480"/>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78">
        <v>3120</v>
      </c>
      <c r="AA822" s="1479"/>
      <c r="AB822" s="1479"/>
      <c r="AC822" s="1479"/>
      <c r="AD822" s="1479"/>
      <c r="AE822" s="1480"/>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78"/>
      <c r="AA823" s="1479"/>
      <c r="AB823" s="1479"/>
      <c r="AC823" s="1479"/>
      <c r="AD823" s="1479"/>
      <c r="AE823" s="1480"/>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30" t="s">
        <v>334</v>
      </c>
      <c r="Q824" s="1631"/>
      <c r="R824" s="1631"/>
      <c r="S824" s="1631"/>
      <c r="T824" s="1631"/>
      <c r="U824" s="1631"/>
      <c r="V824" s="1631"/>
      <c r="W824" s="1631"/>
      <c r="X824" s="1631"/>
      <c r="Y824" s="1632"/>
      <c r="Z824" s="1478"/>
      <c r="AA824" s="1479"/>
      <c r="AB824" s="1479"/>
      <c r="AC824" s="1479"/>
      <c r="AD824" s="1479"/>
      <c r="AE824" s="1480"/>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75">
        <f>SUM(Z821:AE824)</f>
        <v>5070</v>
      </c>
      <c r="AA825" s="1476"/>
      <c r="AB825" s="1476"/>
      <c r="AC825" s="1476"/>
      <c r="AD825" s="1476"/>
      <c r="AE825" s="1477"/>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475">
        <f>Z825+Y809+Z817</f>
        <v>1073070</v>
      </c>
      <c r="AA826" s="1476"/>
      <c r="AB826" s="1476"/>
      <c r="AC826" s="1476"/>
      <c r="AD826" s="1476"/>
      <c r="AE826" s="1477"/>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735" t="s">
        <v>126</v>
      </c>
      <c r="N831" s="1735"/>
      <c r="O831" s="1735"/>
      <c r="P831" s="1736"/>
      <c r="Q831" s="1622" t="s">
        <v>290</v>
      </c>
      <c r="R831" s="1622"/>
      <c r="S831" s="1622"/>
      <c r="T831" s="1622"/>
      <c r="U831" s="1622" t="s">
        <v>291</v>
      </c>
      <c r="V831" s="1622"/>
      <c r="W831" s="1622"/>
      <c r="X831" s="1622"/>
      <c r="Y831" s="1622" t="s">
        <v>292</v>
      </c>
      <c r="Z831" s="1622"/>
      <c r="AA831" s="1622"/>
      <c r="AB831" s="1622"/>
      <c r="AC831" s="1622" t="s">
        <v>361</v>
      </c>
      <c r="AD831" s="1622"/>
      <c r="AE831" s="1622"/>
      <c r="AF831" s="1622"/>
      <c r="AG831" s="1711" t="s">
        <v>335</v>
      </c>
      <c r="AH831" s="1711"/>
      <c r="AI831" s="1711"/>
      <c r="AJ831" s="1711"/>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733"/>
      <c r="N832" s="1733"/>
      <c r="O832" s="1733"/>
      <c r="P832" s="1734"/>
      <c r="Q832" s="1622"/>
      <c r="R832" s="1622"/>
      <c r="S832" s="1622"/>
      <c r="T832" s="1622"/>
      <c r="U832" s="1622"/>
      <c r="V832" s="1622"/>
      <c r="W832" s="1622"/>
      <c r="X832" s="1622"/>
      <c r="Y832" s="1622"/>
      <c r="Z832" s="1622"/>
      <c r="AA832" s="1622"/>
      <c r="AB832" s="1622"/>
      <c r="AC832" s="1622"/>
      <c r="AD832" s="1622"/>
      <c r="AE832" s="1622"/>
      <c r="AF832" s="1622"/>
      <c r="AG832" s="1711"/>
      <c r="AH832" s="1711"/>
      <c r="AI832" s="1711"/>
      <c r="AJ832" s="1711"/>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623" t="s">
        <v>40</v>
      </c>
      <c r="D833" s="1518"/>
      <c r="E833" s="1518"/>
      <c r="F833" s="1518"/>
      <c r="G833" s="1518"/>
      <c r="H833" s="1518"/>
      <c r="I833" s="48"/>
      <c r="J833" s="48"/>
      <c r="K833" s="48"/>
      <c r="L833" s="49"/>
      <c r="M833" s="1620"/>
      <c r="N833" s="1620"/>
      <c r="O833" s="1620"/>
      <c r="P833" s="1620"/>
      <c r="Q833" s="1620"/>
      <c r="R833" s="1620"/>
      <c r="S833" s="1620"/>
      <c r="T833" s="1620"/>
      <c r="U833" s="1620">
        <v>80</v>
      </c>
      <c r="V833" s="1620"/>
      <c r="W833" s="1620"/>
      <c r="X833" s="1620"/>
      <c r="Y833" s="1620">
        <v>88</v>
      </c>
      <c r="Z833" s="1620"/>
      <c r="AA833" s="1620"/>
      <c r="AB833" s="1620"/>
      <c r="AC833" s="1506"/>
      <c r="AD833" s="1507"/>
      <c r="AE833" s="1507"/>
      <c r="AF833" s="1508"/>
      <c r="AG833" s="1506"/>
      <c r="AH833" s="1507"/>
      <c r="AI833" s="1507"/>
      <c r="AJ833" s="1508"/>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534" t="s">
        <v>41</v>
      </c>
      <c r="D834" s="1532"/>
      <c r="E834" s="1532"/>
      <c r="F834" s="1532"/>
      <c r="G834" s="1532"/>
      <c r="H834" s="1532"/>
      <c r="I834" s="5"/>
      <c r="J834" s="5"/>
      <c r="K834" s="5"/>
      <c r="L834" s="46"/>
      <c r="M834" s="1620"/>
      <c r="N834" s="1620"/>
      <c r="O834" s="1620"/>
      <c r="P834" s="1620"/>
      <c r="Q834" s="1620"/>
      <c r="R834" s="1620"/>
      <c r="S834" s="1620"/>
      <c r="T834" s="1620"/>
      <c r="U834" s="1620">
        <v>23</v>
      </c>
      <c r="V834" s="1620"/>
      <c r="W834" s="1620"/>
      <c r="X834" s="1620"/>
      <c r="Y834" s="1620">
        <v>28</v>
      </c>
      <c r="Z834" s="1620"/>
      <c r="AA834" s="1620"/>
      <c r="AB834" s="1620"/>
      <c r="AC834" s="1506"/>
      <c r="AD834" s="1507"/>
      <c r="AE834" s="1507"/>
      <c r="AF834" s="1508"/>
      <c r="AG834" s="1506"/>
      <c r="AH834" s="1507"/>
      <c r="AI834" s="1507"/>
      <c r="AJ834" s="1508"/>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534" t="s">
        <v>42</v>
      </c>
      <c r="D835" s="1532"/>
      <c r="E835" s="1532"/>
      <c r="F835" s="1532"/>
      <c r="G835" s="1532"/>
      <c r="H835" s="1532"/>
      <c r="I835" s="60"/>
      <c r="J835" s="60"/>
      <c r="K835" s="60"/>
      <c r="L835" s="61"/>
      <c r="M835" s="1620"/>
      <c r="N835" s="1620"/>
      <c r="O835" s="1620"/>
      <c r="P835" s="1620"/>
      <c r="Q835" s="1620"/>
      <c r="R835" s="1620"/>
      <c r="S835" s="1620"/>
      <c r="T835" s="1620"/>
      <c r="U835" s="1620">
        <v>12</v>
      </c>
      <c r="V835" s="1620"/>
      <c r="W835" s="1620"/>
      <c r="X835" s="1620"/>
      <c r="Y835" s="1620">
        <v>15</v>
      </c>
      <c r="Z835" s="1620"/>
      <c r="AA835" s="1620"/>
      <c r="AB835" s="1620"/>
      <c r="AC835" s="1506"/>
      <c r="AD835" s="1507"/>
      <c r="AE835" s="1507"/>
      <c r="AF835" s="1508"/>
      <c r="AG835" s="1506"/>
      <c r="AH835" s="1507"/>
      <c r="AI835" s="1507"/>
      <c r="AJ835" s="1508"/>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534" t="s">
        <v>762</v>
      </c>
      <c r="D836" s="1532"/>
      <c r="E836" s="1532"/>
      <c r="F836" s="1532"/>
      <c r="G836" s="1532"/>
      <c r="H836" s="1532"/>
      <c r="I836" s="60"/>
      <c r="J836" s="60"/>
      <c r="K836" s="60"/>
      <c r="L836" s="61"/>
      <c r="M836" s="1620"/>
      <c r="N836" s="1620"/>
      <c r="O836" s="1620"/>
      <c r="P836" s="1620"/>
      <c r="Q836" s="1620"/>
      <c r="R836" s="1620"/>
      <c r="S836" s="1620"/>
      <c r="T836" s="1620"/>
      <c r="U836" s="1620"/>
      <c r="V836" s="1620"/>
      <c r="W836" s="1620"/>
      <c r="X836" s="1620"/>
      <c r="Y836" s="1620"/>
      <c r="Z836" s="1620"/>
      <c r="AA836" s="1620"/>
      <c r="AB836" s="1620"/>
      <c r="AC836" s="1506"/>
      <c r="AD836" s="1507"/>
      <c r="AE836" s="1507"/>
      <c r="AF836" s="1508"/>
      <c r="AG836" s="1506"/>
      <c r="AH836" s="1507"/>
      <c r="AI836" s="1507"/>
      <c r="AJ836" s="1508"/>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534" t="s">
        <v>459</v>
      </c>
      <c r="D837" s="1532"/>
      <c r="E837" s="1532"/>
      <c r="F837" s="1532"/>
      <c r="G837" s="1532"/>
      <c r="H837" s="1532"/>
      <c r="I837" s="60"/>
      <c r="J837" s="60"/>
      <c r="K837" s="60"/>
      <c r="L837" s="61"/>
      <c r="M837" s="1620"/>
      <c r="N837" s="1620"/>
      <c r="O837" s="1620"/>
      <c r="P837" s="1620"/>
      <c r="Q837" s="1620"/>
      <c r="R837" s="1620"/>
      <c r="S837" s="1620"/>
      <c r="T837" s="1620"/>
      <c r="U837" s="1620">
        <v>40</v>
      </c>
      <c r="V837" s="1620"/>
      <c r="W837" s="1620"/>
      <c r="X837" s="1620"/>
      <c r="Y837" s="1620">
        <v>52</v>
      </c>
      <c r="Z837" s="1620"/>
      <c r="AA837" s="1620"/>
      <c r="AB837" s="1620"/>
      <c r="AC837" s="1506"/>
      <c r="AD837" s="1507"/>
      <c r="AE837" s="1507"/>
      <c r="AF837" s="1508"/>
      <c r="AG837" s="1506"/>
      <c r="AH837" s="1507"/>
      <c r="AI837" s="1507"/>
      <c r="AJ837" s="1508"/>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719" t="s">
        <v>783</v>
      </c>
      <c r="D838" s="1532"/>
      <c r="E838" s="1532"/>
      <c r="F838" s="1532"/>
      <c r="G838" s="1532"/>
      <c r="H838" s="1532"/>
      <c r="I838" s="60"/>
      <c r="J838" s="60"/>
      <c r="K838" s="60"/>
      <c r="L838" s="61"/>
      <c r="M838" s="1620"/>
      <c r="N838" s="1620"/>
      <c r="O838" s="1620"/>
      <c r="P838" s="1620"/>
      <c r="Q838" s="1620"/>
      <c r="R838" s="1620"/>
      <c r="S838" s="1620"/>
      <c r="T838" s="1620"/>
      <c r="U838" s="1620"/>
      <c r="V838" s="1620"/>
      <c r="W838" s="1620"/>
      <c r="X838" s="1620"/>
      <c r="Y838" s="1620"/>
      <c r="Z838" s="1620"/>
      <c r="AA838" s="1620"/>
      <c r="AB838" s="1620"/>
      <c r="AC838" s="1506"/>
      <c r="AD838" s="1507"/>
      <c r="AE838" s="1507"/>
      <c r="AF838" s="1508"/>
      <c r="AG838" s="1506"/>
      <c r="AH838" s="1507"/>
      <c r="AI838" s="1507"/>
      <c r="AJ838" s="1508"/>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630" t="s">
        <v>2735</v>
      </c>
      <c r="G839" s="1631"/>
      <c r="H839" s="1631"/>
      <c r="I839" s="1631"/>
      <c r="J839" s="1631"/>
      <c r="K839" s="1631"/>
      <c r="L839" s="1631"/>
      <c r="M839" s="1620"/>
      <c r="N839" s="1620"/>
      <c r="O839" s="1620"/>
      <c r="P839" s="1620"/>
      <c r="Q839" s="1620"/>
      <c r="R839" s="1620"/>
      <c r="S839" s="1620"/>
      <c r="T839" s="1620"/>
      <c r="U839" s="1620"/>
      <c r="V839" s="1620"/>
      <c r="W839" s="1620"/>
      <c r="X839" s="1620"/>
      <c r="Y839" s="1620"/>
      <c r="Z839" s="1620"/>
      <c r="AA839" s="1620"/>
      <c r="AB839" s="1620"/>
      <c r="AC839" s="1506"/>
      <c r="AD839" s="1507"/>
      <c r="AE839" s="1507"/>
      <c r="AF839" s="1508"/>
      <c r="AG839" s="1506"/>
      <c r="AH839" s="1507"/>
      <c r="AI839" s="1507"/>
      <c r="AJ839" s="1508"/>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519" t="s">
        <v>124</v>
      </c>
      <c r="D840" s="1520"/>
      <c r="E840" s="1520"/>
      <c r="F840" s="1520"/>
      <c r="G840" s="1520"/>
      <c r="H840" s="1520"/>
      <c r="I840" s="1520"/>
      <c r="J840" s="1520"/>
      <c r="K840" s="1520"/>
      <c r="L840" s="1522"/>
      <c r="M840" s="1648">
        <f>SUM(M833:P839)</f>
        <v>0</v>
      </c>
      <c r="N840" s="1648"/>
      <c r="O840" s="1648"/>
      <c r="P840" s="1648"/>
      <c r="Q840" s="1648">
        <f>SUM(Q833:T839)</f>
        <v>0</v>
      </c>
      <c r="R840" s="1648"/>
      <c r="S840" s="1648"/>
      <c r="T840" s="1648"/>
      <c r="U840" s="1648">
        <f>SUM(U833:X839)</f>
        <v>155</v>
      </c>
      <c r="V840" s="1648"/>
      <c r="W840" s="1648"/>
      <c r="X840" s="1648"/>
      <c r="Y840" s="1648">
        <f>SUM(Y833:AB839)</f>
        <v>183</v>
      </c>
      <c r="Z840" s="1648"/>
      <c r="AA840" s="1648"/>
      <c r="AB840" s="1648"/>
      <c r="AC840" s="1648">
        <f>SUM(AC833:AF839)</f>
        <v>0</v>
      </c>
      <c r="AD840" s="1648"/>
      <c r="AE840" s="1648"/>
      <c r="AF840" s="1648"/>
      <c r="AG840" s="1648">
        <f>SUM(AG833:AJ839)</f>
        <v>0</v>
      </c>
      <c r="AH840" s="1648"/>
      <c r="AI840" s="1648"/>
      <c r="AJ840" s="1648"/>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654" t="s">
        <v>2750</v>
      </c>
      <c r="D845" s="1655"/>
      <c r="E845" s="1655"/>
      <c r="F845" s="1655"/>
      <c r="G845" s="1655"/>
      <c r="H845" s="1655"/>
      <c r="I845" s="1655"/>
      <c r="J845" s="1655"/>
      <c r="K845" s="1655"/>
      <c r="L845" s="1655"/>
      <c r="M845" s="1655"/>
      <c r="N845" s="1655"/>
      <c r="O845" s="1655"/>
      <c r="P845" s="1655"/>
      <c r="Q845" s="1655"/>
      <c r="R845" s="1655"/>
      <c r="S845" s="1655"/>
      <c r="T845" s="1655"/>
      <c r="U845" s="1655"/>
      <c r="V845" s="1655"/>
      <c r="W845" s="1655"/>
      <c r="X845" s="1655"/>
      <c r="Y845" s="1655"/>
      <c r="Z845" s="1655"/>
      <c r="AA845" s="1655"/>
      <c r="AB845" s="1655"/>
      <c r="AC845" s="1655"/>
      <c r="AD845" s="1655"/>
      <c r="AE845" s="1655"/>
      <c r="AF845" s="1655"/>
      <c r="AG845" s="1655"/>
      <c r="AH845" s="1655"/>
      <c r="AI845" s="1655"/>
      <c r="AJ845" s="1656"/>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37"/>
      <c r="BJ849" s="1637"/>
      <c r="BK849" s="1637"/>
      <c r="BL849" s="1637"/>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613">
        <v>8000</v>
      </c>
      <c r="X850" s="1613"/>
      <c r="Y850" s="1613"/>
      <c r="Z850" s="1613"/>
      <c r="AA850" s="1613"/>
      <c r="AB850" s="1613"/>
      <c r="AC850" s="1613"/>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613">
        <v>6000</v>
      </c>
      <c r="X851" s="1613"/>
      <c r="Y851" s="1613"/>
      <c r="Z851" s="1613"/>
      <c r="AA851" s="1613"/>
      <c r="AB851" s="1613"/>
      <c r="AC851" s="1613"/>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613">
        <v>8000</v>
      </c>
      <c r="X852" s="1613"/>
      <c r="Y852" s="1613"/>
      <c r="Z852" s="1613"/>
      <c r="AA852" s="1613"/>
      <c r="AB852" s="1613"/>
      <c r="AC852" s="1613"/>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613"/>
      <c r="X853" s="1613"/>
      <c r="Y853" s="1613"/>
      <c r="Z853" s="1613"/>
      <c r="AA853" s="1613"/>
      <c r="AB853" s="1613"/>
      <c r="AC853" s="1613"/>
      <c r="AZ853" s="30"/>
      <c r="BA853" s="30"/>
      <c r="BB853" s="14"/>
      <c r="BC853" s="14"/>
      <c r="BD853" s="14"/>
      <c r="BE853" s="14"/>
      <c r="BF853" s="14"/>
      <c r="BG853" s="14"/>
      <c r="BH853" s="14"/>
      <c r="BI853" s="14"/>
      <c r="BJ853" s="14"/>
      <c r="BK853" s="14"/>
      <c r="BL853" s="14"/>
    </row>
    <row r="854" spans="1:64" ht="12.95" customHeight="1">
      <c r="J854" s="45" t="s">
        <v>170</v>
      </c>
      <c r="K854" s="5"/>
      <c r="L854" s="5"/>
      <c r="M854" s="1630" t="s">
        <v>2736</v>
      </c>
      <c r="N854" s="1631"/>
      <c r="O854" s="1631"/>
      <c r="P854" s="1631"/>
      <c r="Q854" s="1631"/>
      <c r="R854" s="1631"/>
      <c r="S854" s="1631"/>
      <c r="T854" s="1631"/>
      <c r="U854" s="1631"/>
      <c r="V854" s="1632"/>
      <c r="W854" s="1613">
        <v>19636</v>
      </c>
      <c r="X854" s="1613"/>
      <c r="Y854" s="1613"/>
      <c r="Z854" s="1613"/>
      <c r="AA854" s="1613"/>
      <c r="AB854" s="1613"/>
      <c r="AC854" s="1613"/>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475">
        <f>SUM(W850:W854)</f>
        <v>41636</v>
      </c>
      <c r="X855" s="1476"/>
      <c r="Y855" s="1476"/>
      <c r="Z855" s="1476"/>
      <c r="AA855" s="1476"/>
      <c r="AB855" s="1476"/>
      <c r="AC855" s="1477"/>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36"/>
      <c r="BH856" s="1636"/>
      <c r="BI856" s="1636"/>
      <c r="BJ856" s="1636"/>
      <c r="BK856" s="1636"/>
      <c r="BL856" s="1636"/>
    </row>
    <row r="857" spans="1:64" ht="12.95" customHeight="1">
      <c r="C857" s="2" t="s">
        <v>344</v>
      </c>
      <c r="J857" s="1519" t="s">
        <v>345</v>
      </c>
      <c r="K857" s="1520"/>
      <c r="L857" s="1520"/>
      <c r="M857" s="1520"/>
      <c r="N857" s="1520"/>
      <c r="O857" s="1520"/>
      <c r="P857" s="1520"/>
      <c r="Q857" s="1520"/>
      <c r="R857" s="1520"/>
      <c r="S857" s="1520"/>
      <c r="T857" s="1520"/>
      <c r="U857" s="1520"/>
      <c r="V857" s="1522"/>
      <c r="W857" s="1478">
        <v>49265</v>
      </c>
      <c r="X857" s="1479"/>
      <c r="Y857" s="1479"/>
      <c r="Z857" s="1479"/>
      <c r="AA857" s="1479"/>
      <c r="AB857" s="1479"/>
      <c r="AC857" s="1480"/>
      <c r="AD857" s="533"/>
      <c r="AZ857" s="30"/>
      <c r="BA857" s="30"/>
      <c r="BB857" s="14"/>
      <c r="BC857" s="14"/>
    </row>
    <row r="858" spans="1:64" ht="12.95" customHeight="1">
      <c r="AD858" s="533"/>
      <c r="AZ858" s="30"/>
      <c r="BA858" s="30"/>
      <c r="BB858" s="14"/>
      <c r="BC858" s="14"/>
    </row>
    <row r="859" spans="1:64" ht="12.95" customHeight="1">
      <c r="C859" s="2" t="s">
        <v>561</v>
      </c>
      <c r="J859" s="45" t="s">
        <v>352</v>
      </c>
      <c r="K859" s="5"/>
      <c r="L859" s="5"/>
      <c r="M859" s="5"/>
      <c r="N859" s="5"/>
      <c r="O859" s="5"/>
      <c r="P859" s="5"/>
      <c r="Q859" s="5"/>
      <c r="R859" s="5"/>
      <c r="S859" s="5"/>
      <c r="T859" s="5"/>
      <c r="U859" s="5"/>
      <c r="V859" s="46"/>
      <c r="W859" s="1649"/>
      <c r="X859" s="1649"/>
      <c r="Y859" s="1649"/>
      <c r="Z859" s="1649"/>
      <c r="AA859" s="1649"/>
      <c r="AB859" s="1649"/>
      <c r="AC859" s="1649"/>
      <c r="AZ859" s="1664"/>
      <c r="BA859" s="1664"/>
      <c r="BB859" s="14"/>
      <c r="BC859" s="14"/>
    </row>
    <row r="860" spans="1:64" ht="12.95" customHeight="1">
      <c r="J860" s="45" t="s">
        <v>351</v>
      </c>
      <c r="K860" s="5"/>
      <c r="L860" s="5"/>
      <c r="M860" s="5"/>
      <c r="N860" s="5"/>
      <c r="O860" s="5"/>
      <c r="P860" s="5"/>
      <c r="Q860" s="5"/>
      <c r="R860" s="5"/>
      <c r="S860" s="5"/>
      <c r="T860" s="5"/>
      <c r="U860" s="5"/>
      <c r="V860" s="46"/>
      <c r="W860" s="1649">
        <v>3838</v>
      </c>
      <c r="X860" s="1649"/>
      <c r="Y860" s="1649"/>
      <c r="Z860" s="1649"/>
      <c r="AA860" s="1649"/>
      <c r="AB860" s="1649"/>
      <c r="AC860" s="1649"/>
      <c r="AZ860" s="30"/>
      <c r="BA860" s="30"/>
      <c r="BB860" s="14"/>
      <c r="BC860" s="14"/>
    </row>
    <row r="861" spans="1:64" ht="12.95" customHeight="1">
      <c r="J861" s="45" t="s">
        <v>459</v>
      </c>
      <c r="K861" s="5"/>
      <c r="L861" s="5"/>
      <c r="M861" s="5"/>
      <c r="N861" s="5"/>
      <c r="O861" s="5"/>
      <c r="P861" s="5"/>
      <c r="Q861" s="5"/>
      <c r="R861" s="5"/>
      <c r="S861" s="5"/>
      <c r="T861" s="5"/>
      <c r="U861" s="5"/>
      <c r="V861" s="46"/>
      <c r="W861" s="1649">
        <v>8954</v>
      </c>
      <c r="X861" s="1649"/>
      <c r="Y861" s="1649"/>
      <c r="Z861" s="1649"/>
      <c r="AA861" s="1649"/>
      <c r="AB861" s="1649"/>
      <c r="AC861" s="1649"/>
      <c r="AZ861" s="30"/>
      <c r="BA861" s="30"/>
      <c r="BB861" s="14"/>
      <c r="BC861" s="14"/>
    </row>
    <row r="862" spans="1:64" ht="12.95" customHeight="1">
      <c r="J862" s="62" t="s">
        <v>620</v>
      </c>
      <c r="K862" s="5"/>
      <c r="L862" s="5"/>
      <c r="M862" s="5"/>
      <c r="N862" s="5"/>
      <c r="O862" s="5"/>
      <c r="P862" s="5"/>
      <c r="Q862" s="5"/>
      <c r="R862" s="5"/>
      <c r="S862" s="5"/>
      <c r="T862" s="5"/>
      <c r="U862" s="5"/>
      <c r="V862" s="46"/>
      <c r="W862" s="1649">
        <v>60138</v>
      </c>
      <c r="X862" s="1649"/>
      <c r="Y862" s="1649"/>
      <c r="Z862" s="1649"/>
      <c r="AA862" s="1649"/>
      <c r="AB862" s="1649"/>
      <c r="AC862" s="1649"/>
      <c r="AZ862" s="34"/>
      <c r="BA862" s="34"/>
      <c r="BB862" s="34"/>
      <c r="BC862" s="34"/>
    </row>
    <row r="863" spans="1:64" ht="12.95" customHeight="1">
      <c r="J863" s="63"/>
      <c r="K863" s="48"/>
      <c r="L863" s="48"/>
      <c r="M863" s="48"/>
      <c r="N863" s="48"/>
      <c r="O863" s="48"/>
      <c r="P863" s="48"/>
      <c r="Q863" s="48"/>
      <c r="R863" s="48"/>
      <c r="S863" s="48"/>
      <c r="T863" s="48"/>
      <c r="U863" s="48"/>
      <c r="V863" s="54" t="s">
        <v>272</v>
      </c>
      <c r="W863" s="1653">
        <f>SUM(W859:W862)</f>
        <v>72930</v>
      </c>
      <c r="X863" s="1653"/>
      <c r="Y863" s="1653"/>
      <c r="Z863" s="1653"/>
      <c r="AA863" s="1653"/>
      <c r="AB863" s="1653"/>
      <c r="AC863" s="1653"/>
      <c r="AZ863" s="34"/>
      <c r="BA863" s="34"/>
      <c r="BB863" s="34"/>
      <c r="BC863" s="34"/>
    </row>
    <row r="864" spans="1:64" ht="12.95" customHeight="1">
      <c r="AZ864" s="34"/>
      <c r="BA864" s="34"/>
      <c r="BB864" s="34"/>
      <c r="BC864" s="34"/>
    </row>
    <row r="865" spans="3:55" ht="12.95" customHeight="1">
      <c r="C865" s="2" t="s">
        <v>346</v>
      </c>
      <c r="J865" s="45" t="s">
        <v>619</v>
      </c>
      <c r="K865" s="5"/>
      <c r="L865" s="5"/>
      <c r="M865" s="5"/>
      <c r="N865" s="5"/>
      <c r="O865" s="5"/>
      <c r="P865" s="5"/>
      <c r="Q865" s="5"/>
      <c r="R865" s="5"/>
      <c r="S865" s="5"/>
      <c r="T865" s="5"/>
      <c r="U865" s="5"/>
      <c r="V865" s="46"/>
      <c r="W865" s="1650">
        <v>62400</v>
      </c>
      <c r="X865" s="1651"/>
      <c r="Y865" s="1651"/>
      <c r="Z865" s="1651"/>
      <c r="AA865" s="1651"/>
      <c r="AB865" s="1651"/>
      <c r="AC865" s="1652"/>
      <c r="AD865" s="528"/>
      <c r="AZ865" s="34"/>
      <c r="BA865" s="34"/>
      <c r="BB865" s="34"/>
      <c r="BC865" s="34"/>
    </row>
    <row r="866" spans="3:55" ht="12.95" customHeight="1">
      <c r="C866" s="2" t="s">
        <v>347</v>
      </c>
      <c r="J866" s="121" t="s">
        <v>1644</v>
      </c>
      <c r="K866" s="5"/>
      <c r="L866" s="5"/>
      <c r="M866" s="5"/>
      <c r="N866" s="5"/>
      <c r="O866" s="5"/>
      <c r="P866" s="5"/>
      <c r="Q866" s="5"/>
      <c r="R866" s="5"/>
      <c r="S866" s="5"/>
      <c r="T866" s="1633">
        <v>1</v>
      </c>
      <c r="U866" s="1612"/>
      <c r="V866" s="1634"/>
      <c r="W866" s="870"/>
      <c r="X866" s="871"/>
      <c r="Y866" s="871"/>
      <c r="Z866" s="871"/>
      <c r="AA866" s="871"/>
      <c r="AB866" s="871"/>
      <c r="AC866" s="872"/>
      <c r="AD866" s="528"/>
      <c r="AZ866" s="34"/>
      <c r="BA866" s="34"/>
      <c r="BB866" s="34"/>
      <c r="BC866" s="34"/>
    </row>
    <row r="867" spans="3:55" ht="12.95" customHeight="1">
      <c r="C867" s="2"/>
      <c r="J867" s="45" t="s">
        <v>618</v>
      </c>
      <c r="K867" s="5"/>
      <c r="L867" s="5"/>
      <c r="M867" s="5"/>
      <c r="N867" s="5"/>
      <c r="O867" s="5"/>
      <c r="P867" s="5"/>
      <c r="Q867" s="5"/>
      <c r="R867" s="5"/>
      <c r="S867" s="5"/>
      <c r="T867" s="5"/>
      <c r="U867" s="5"/>
      <c r="V867" s="46"/>
      <c r="W867" s="1650">
        <v>62400</v>
      </c>
      <c r="X867" s="1651"/>
      <c r="Y867" s="1651"/>
      <c r="Z867" s="1651"/>
      <c r="AA867" s="1651"/>
      <c r="AB867" s="1651"/>
      <c r="AC867" s="1652"/>
      <c r="AD867" s="533"/>
      <c r="AZ867" s="34"/>
      <c r="BA867" s="34"/>
      <c r="BB867" s="34"/>
      <c r="BC867" s="34"/>
    </row>
    <row r="868" spans="3:55" ht="12.95" customHeight="1">
      <c r="C868" s="2"/>
      <c r="J868" s="121" t="s">
        <v>1645</v>
      </c>
      <c r="K868" s="5"/>
      <c r="L868" s="5"/>
      <c r="M868" s="5"/>
      <c r="N868" s="5"/>
      <c r="O868" s="5"/>
      <c r="P868" s="5"/>
      <c r="Q868" s="5"/>
      <c r="R868" s="5"/>
      <c r="S868" s="5"/>
      <c r="T868" s="1633"/>
      <c r="U868" s="1612"/>
      <c r="V868" s="1634"/>
      <c r="W868" s="870"/>
      <c r="X868" s="871"/>
      <c r="Y868" s="871"/>
      <c r="Z868" s="871"/>
      <c r="AA868" s="871"/>
      <c r="AB868" s="871"/>
      <c r="AC868" s="872"/>
      <c r="AD868" s="533"/>
      <c r="AZ868" s="34"/>
      <c r="BA868" s="34"/>
      <c r="BB868" s="34"/>
      <c r="BC868" s="34"/>
    </row>
    <row r="869" spans="3:55" ht="12.95" customHeight="1">
      <c r="J869" s="45" t="s">
        <v>170</v>
      </c>
      <c r="K869" s="5"/>
      <c r="L869" s="5"/>
      <c r="M869" s="1630" t="s">
        <v>2737</v>
      </c>
      <c r="N869" s="1631"/>
      <c r="O869" s="1631"/>
      <c r="P869" s="1631"/>
      <c r="Q869" s="1631"/>
      <c r="R869" s="1631"/>
      <c r="S869" s="1631"/>
      <c r="T869" s="1631"/>
      <c r="U869" s="1631"/>
      <c r="V869" s="1632"/>
      <c r="W869" s="1650">
        <v>18720</v>
      </c>
      <c r="X869" s="1651"/>
      <c r="Y869" s="1651"/>
      <c r="Z869" s="1651"/>
      <c r="AA869" s="1651"/>
      <c r="AB869" s="1651"/>
      <c r="AC869" s="1652"/>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716">
        <f>SUM(W865:W869)</f>
        <v>143520</v>
      </c>
      <c r="X870" s="1717"/>
      <c r="Y870" s="1717"/>
      <c r="Z870" s="1717"/>
      <c r="AA870" s="1717"/>
      <c r="AB870" s="1717"/>
      <c r="AC870" s="1718"/>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650">
        <v>39000</v>
      </c>
      <c r="X872" s="1651"/>
      <c r="Y872" s="1651"/>
      <c r="Z872" s="1651"/>
      <c r="AA872" s="1651"/>
      <c r="AB872" s="1651"/>
      <c r="AC872" s="1652"/>
      <c r="AU872" s="14"/>
      <c r="AZ872" s="34"/>
      <c r="BA872" s="34"/>
      <c r="BB872" s="34"/>
      <c r="BC872" s="34"/>
    </row>
    <row r="873" spans="3:55" ht="12.95" customHeight="1">
      <c r="J873" s="512"/>
      <c r="AU873" s="14"/>
      <c r="AZ873" s="34"/>
      <c r="BA873" s="34"/>
      <c r="BB873" s="34"/>
      <c r="BC873" s="34"/>
    </row>
    <row r="874" spans="3:55" ht="12.95" customHeight="1">
      <c r="C874" s="2" t="s">
        <v>390</v>
      </c>
      <c r="J874" s="45" t="s">
        <v>617</v>
      </c>
      <c r="K874" s="5"/>
      <c r="L874" s="5"/>
      <c r="M874" s="5"/>
      <c r="N874" s="5"/>
      <c r="O874" s="5"/>
      <c r="P874" s="5"/>
      <c r="Q874" s="5"/>
      <c r="R874" s="5"/>
      <c r="S874" s="5"/>
      <c r="T874" s="5"/>
      <c r="U874" s="5"/>
      <c r="V874" s="46"/>
      <c r="W874" s="1613">
        <v>8000</v>
      </c>
      <c r="X874" s="1613"/>
      <c r="Y874" s="1613"/>
      <c r="Z874" s="1613"/>
      <c r="AA874" s="1613"/>
      <c r="AB874" s="1613"/>
      <c r="AC874" s="1613"/>
      <c r="AU874" s="14"/>
      <c r="AZ874" s="34"/>
      <c r="BA874" s="34"/>
      <c r="BB874" s="34"/>
      <c r="BC874" s="34"/>
    </row>
    <row r="875" spans="3:55" ht="12.95" customHeight="1">
      <c r="J875" s="45" t="s">
        <v>522</v>
      </c>
      <c r="K875" s="5"/>
      <c r="L875" s="5"/>
      <c r="M875" s="5"/>
      <c r="N875" s="5"/>
      <c r="O875" s="5"/>
      <c r="P875" s="5"/>
      <c r="Q875" s="5"/>
      <c r="R875" s="5"/>
      <c r="S875" s="5"/>
      <c r="T875" s="5"/>
      <c r="U875" s="5"/>
      <c r="V875" s="46"/>
      <c r="W875" s="1613">
        <v>20000</v>
      </c>
      <c r="X875" s="1613"/>
      <c r="Y875" s="1613"/>
      <c r="Z875" s="1613"/>
      <c r="AA875" s="1613"/>
      <c r="AB875" s="1613"/>
      <c r="AC875" s="1613"/>
      <c r="AU875" s="4"/>
      <c r="AZ875" s="34"/>
      <c r="BA875" s="34"/>
      <c r="BB875" s="34"/>
      <c r="BC875" s="34"/>
    </row>
    <row r="876" spans="3:55" ht="12.95" customHeight="1">
      <c r="J876" s="45" t="s">
        <v>521</v>
      </c>
      <c r="K876" s="5"/>
      <c r="L876" s="5"/>
      <c r="M876" s="5"/>
      <c r="N876" s="5"/>
      <c r="O876" s="5"/>
      <c r="P876" s="5"/>
      <c r="Q876" s="5"/>
      <c r="R876" s="5"/>
      <c r="S876" s="5"/>
      <c r="T876" s="5"/>
      <c r="U876" s="5"/>
      <c r="V876" s="46"/>
      <c r="W876" s="1613">
        <v>40092</v>
      </c>
      <c r="X876" s="1613"/>
      <c r="Y876" s="1613"/>
      <c r="Z876" s="1613"/>
      <c r="AA876" s="1613"/>
      <c r="AB876" s="1613"/>
      <c r="AC876" s="1613"/>
      <c r="AU876" s="4"/>
      <c r="AZ876" s="34"/>
      <c r="BA876" s="34"/>
      <c r="BB876" s="34"/>
      <c r="BC876" s="34"/>
    </row>
    <row r="877" spans="3:55" ht="12.95" customHeight="1">
      <c r="J877" s="45" t="s">
        <v>520</v>
      </c>
      <c r="K877" s="5"/>
      <c r="L877" s="5"/>
      <c r="M877" s="5"/>
      <c r="N877" s="5"/>
      <c r="O877" s="5"/>
      <c r="P877" s="5"/>
      <c r="Q877" s="5"/>
      <c r="R877" s="5"/>
      <c r="S877" s="5"/>
      <c r="T877" s="5"/>
      <c r="U877" s="5"/>
      <c r="V877" s="46"/>
      <c r="W877" s="1613">
        <v>6000</v>
      </c>
      <c r="X877" s="1613"/>
      <c r="Y877" s="1613"/>
      <c r="Z877" s="1613"/>
      <c r="AA877" s="1613"/>
      <c r="AB877" s="1613"/>
      <c r="AC877" s="1613"/>
      <c r="AU877" s="4"/>
      <c r="AZ877" s="34"/>
      <c r="BA877" s="34"/>
      <c r="BB877" s="34"/>
      <c r="BC877" s="34"/>
    </row>
    <row r="878" spans="3:55" ht="12.95" customHeight="1">
      <c r="J878" s="45" t="s">
        <v>519</v>
      </c>
      <c r="K878" s="5"/>
      <c r="L878" s="5"/>
      <c r="M878" s="5"/>
      <c r="N878" s="5"/>
      <c r="O878" s="5"/>
      <c r="P878" s="5"/>
      <c r="Q878" s="5"/>
      <c r="R878" s="5"/>
      <c r="S878" s="5"/>
      <c r="T878" s="5"/>
      <c r="U878" s="5"/>
      <c r="V878" s="46"/>
      <c r="W878" s="1613">
        <v>20000</v>
      </c>
      <c r="X878" s="1613"/>
      <c r="Y878" s="1613"/>
      <c r="Z878" s="1613"/>
      <c r="AA878" s="1613"/>
      <c r="AB878" s="1613"/>
      <c r="AC878" s="1613"/>
      <c r="AU878" s="4"/>
      <c r="AZ878" s="34"/>
      <c r="BA878" s="34"/>
      <c r="BB878" s="34"/>
      <c r="BC878" s="34"/>
    </row>
    <row r="879" spans="3:55" ht="12.95" customHeight="1">
      <c r="J879" s="45" t="s">
        <v>518</v>
      </c>
      <c r="K879" s="5"/>
      <c r="L879" s="5"/>
      <c r="M879" s="5"/>
      <c r="N879" s="5"/>
      <c r="O879" s="5"/>
      <c r="P879" s="5"/>
      <c r="Q879" s="5"/>
      <c r="R879" s="5"/>
      <c r="S879" s="5"/>
      <c r="T879" s="5"/>
      <c r="U879" s="5"/>
      <c r="V879" s="46"/>
      <c r="W879" s="1613"/>
      <c r="X879" s="1613"/>
      <c r="Y879" s="1613"/>
      <c r="Z879" s="1613"/>
      <c r="AA879" s="1613"/>
      <c r="AB879" s="1613"/>
      <c r="AC879" s="1613"/>
      <c r="AU879" s="4"/>
      <c r="AZ879" s="34"/>
      <c r="BA879" s="34"/>
      <c r="BB879" s="34"/>
      <c r="BC879" s="34"/>
    </row>
    <row r="880" spans="3:55" ht="12.95" customHeight="1">
      <c r="J880" s="45" t="s">
        <v>170</v>
      </c>
      <c r="K880" s="5"/>
      <c r="L880" s="5"/>
      <c r="M880" s="1630" t="s">
        <v>2738</v>
      </c>
      <c r="N880" s="1631"/>
      <c r="O880" s="1631"/>
      <c r="P880" s="1631"/>
      <c r="Q880" s="1631"/>
      <c r="R880" s="1631"/>
      <c r="S880" s="1631"/>
      <c r="T880" s="1631"/>
      <c r="U880" s="1631"/>
      <c r="V880" s="1632"/>
      <c r="W880" s="1613">
        <v>13130</v>
      </c>
      <c r="X880" s="1613"/>
      <c r="Y880" s="1613"/>
      <c r="Z880" s="1613"/>
      <c r="AA880" s="1613"/>
      <c r="AB880" s="1613"/>
      <c r="AC880" s="1613"/>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642">
        <f>SUM(W874:W880)</f>
        <v>107222</v>
      </c>
      <c r="X881" s="1642"/>
      <c r="Y881" s="1642"/>
      <c r="Z881" s="1642"/>
      <c r="AA881" s="1642"/>
      <c r="AB881" s="1642"/>
      <c r="AC881" s="1642"/>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1243</v>
      </c>
      <c r="J883" s="45" t="s">
        <v>170</v>
      </c>
      <c r="K883" s="5"/>
      <c r="L883" s="5"/>
      <c r="M883" s="1630" t="s">
        <v>334</v>
      </c>
      <c r="N883" s="1631"/>
      <c r="O883" s="1631"/>
      <c r="P883" s="1631"/>
      <c r="Q883" s="1631"/>
      <c r="R883" s="1631"/>
      <c r="S883" s="1631"/>
      <c r="T883" s="1631"/>
      <c r="U883" s="1631"/>
      <c r="V883" s="1632"/>
      <c r="W883" s="1478"/>
      <c r="X883" s="1479"/>
      <c r="Y883" s="1479"/>
      <c r="Z883" s="1479"/>
      <c r="AA883" s="1479"/>
      <c r="AB883" s="1479"/>
      <c r="AC883" s="1480"/>
      <c r="AD883" s="533"/>
      <c r="AV883" s="14"/>
      <c r="AW883" s="14"/>
      <c r="AX883" s="14"/>
      <c r="AY883" s="14"/>
      <c r="AZ883" s="34"/>
      <c r="BA883" s="34"/>
      <c r="BB883" s="34"/>
      <c r="BC883" s="34"/>
    </row>
    <row r="884" spans="3:55" ht="12.95" customHeight="1">
      <c r="C884" s="2" t="s">
        <v>1244</v>
      </c>
      <c r="J884" s="45" t="s">
        <v>170</v>
      </c>
      <c r="K884" s="5"/>
      <c r="L884" s="5"/>
      <c r="M884" s="1630" t="s">
        <v>334</v>
      </c>
      <c r="N884" s="1631"/>
      <c r="O884" s="1631"/>
      <c r="P884" s="1631"/>
      <c r="Q884" s="1631"/>
      <c r="R884" s="1631"/>
      <c r="S884" s="1631"/>
      <c r="T884" s="1631"/>
      <c r="U884" s="1631"/>
      <c r="V884" s="1632"/>
      <c r="W884" s="1478"/>
      <c r="X884" s="1479"/>
      <c r="Y884" s="1479"/>
      <c r="Z884" s="1479"/>
      <c r="AA884" s="1479"/>
      <c r="AB884" s="1479"/>
      <c r="AC884" s="1480"/>
      <c r="AD884" s="533"/>
      <c r="AV884" s="14"/>
      <c r="AW884" s="14"/>
      <c r="AX884" s="14"/>
      <c r="AY884" s="14"/>
      <c r="AZ884" s="34"/>
      <c r="BA884" s="34"/>
      <c r="BB884" s="34"/>
      <c r="BC884" s="34"/>
    </row>
    <row r="885" spans="3:55" ht="12.95" customHeight="1">
      <c r="J885" s="45" t="s">
        <v>170</v>
      </c>
      <c r="K885" s="5"/>
      <c r="L885" s="5"/>
      <c r="M885" s="1630" t="s">
        <v>334</v>
      </c>
      <c r="N885" s="1631"/>
      <c r="O885" s="1631"/>
      <c r="P885" s="1631"/>
      <c r="Q885" s="1631"/>
      <c r="R885" s="1631"/>
      <c r="S885" s="1631"/>
      <c r="T885" s="1631"/>
      <c r="U885" s="1631"/>
      <c r="V885" s="1632"/>
      <c r="W885" s="1478"/>
      <c r="X885" s="1479"/>
      <c r="Y885" s="1479"/>
      <c r="Z885" s="1479"/>
      <c r="AA885" s="1479"/>
      <c r="AB885" s="1479"/>
      <c r="AC885" s="1480"/>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630" t="s">
        <v>334</v>
      </c>
      <c r="N886" s="1631"/>
      <c r="O886" s="1631"/>
      <c r="P886" s="1631"/>
      <c r="Q886" s="1631"/>
      <c r="R886" s="1631"/>
      <c r="S886" s="1631"/>
      <c r="T886" s="1631"/>
      <c r="U886" s="1631"/>
      <c r="V886" s="1632"/>
      <c r="W886" s="1478"/>
      <c r="X886" s="1479"/>
      <c r="Y886" s="1479"/>
      <c r="Z886" s="1479"/>
      <c r="AA886" s="1479"/>
      <c r="AB886" s="1479"/>
      <c r="AC886" s="1480"/>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630" t="s">
        <v>334</v>
      </c>
      <c r="N887" s="1631"/>
      <c r="O887" s="1631"/>
      <c r="P887" s="1631"/>
      <c r="Q887" s="1631"/>
      <c r="R887" s="1631"/>
      <c r="S887" s="1631"/>
      <c r="T887" s="1631"/>
      <c r="U887" s="1631"/>
      <c r="V887" s="1632"/>
      <c r="W887" s="1478"/>
      <c r="X887" s="1479"/>
      <c r="Y887" s="1479"/>
      <c r="Z887" s="1479"/>
      <c r="AA887" s="1479"/>
      <c r="AB887" s="1479"/>
      <c r="AC887" s="1480"/>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475">
        <f>SUM(W883:W887)</f>
        <v>0</v>
      </c>
      <c r="X888" s="1476"/>
      <c r="Y888" s="1476"/>
      <c r="Z888" s="1476"/>
      <c r="AA888" s="1476"/>
      <c r="AB888" s="1476"/>
      <c r="AC888" s="1477"/>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76">
        <f>W855+W863+W870+W872+W881+W888+W857</f>
        <v>453573</v>
      </c>
      <c r="AD892" s="1476"/>
      <c r="AE892" s="1476"/>
      <c r="AF892" s="1476"/>
      <c r="AG892" s="1476"/>
      <c r="AH892" s="1477"/>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660">
        <f>O805+O785+G761</f>
        <v>78</v>
      </c>
      <c r="AD893" s="1660"/>
      <c r="AE893" s="1660"/>
      <c r="AF893" s="1660"/>
      <c r="AG893" s="1660"/>
      <c r="AH893" s="1661"/>
      <c r="AL893" s="4"/>
      <c r="AM893" s="4"/>
      <c r="AN893" s="4"/>
      <c r="AO893" s="4"/>
      <c r="AP893" s="4"/>
      <c r="AQ893" s="4"/>
      <c r="AR893" s="4"/>
      <c r="AS893" s="4"/>
      <c r="AT893" s="4"/>
      <c r="AZ893" s="34"/>
      <c r="BA893" s="34"/>
      <c r="BB893" s="34"/>
      <c r="BC893" s="34"/>
    </row>
    <row r="894" spans="3:55" ht="12.95" customHeight="1">
      <c r="C894" s="41"/>
      <c r="D894" s="42"/>
      <c r="E894" s="1763" t="s">
        <v>32</v>
      </c>
      <c r="F894" s="1763"/>
      <c r="G894" s="1763"/>
      <c r="H894" s="1763"/>
      <c r="I894" s="1763"/>
      <c r="J894" s="1763"/>
      <c r="K894" s="1763"/>
      <c r="L894" s="1763"/>
      <c r="M894" s="1763"/>
      <c r="N894" s="1763"/>
      <c r="O894" s="1763"/>
      <c r="P894" s="1763"/>
      <c r="Q894" s="1763"/>
      <c r="R894" s="1763"/>
      <c r="S894" s="1763"/>
      <c r="T894" s="1763"/>
      <c r="U894" s="1763"/>
      <c r="V894" s="1763"/>
      <c r="W894" s="1763"/>
      <c r="X894" s="1763"/>
      <c r="Y894" s="1763"/>
      <c r="Z894" s="1763"/>
      <c r="AA894" s="1763"/>
      <c r="AB894" s="1764"/>
      <c r="AC894" s="1642">
        <f>IF(ISERROR((ROUNDDOWN(AC892/AC893,0))),0,(ROUNDDOWN(AC892/AC893,0)))</f>
        <v>5815</v>
      </c>
      <c r="AD894" s="1642"/>
      <c r="AE894" s="1642"/>
      <c r="AF894" s="1642"/>
      <c r="AG894" s="1642"/>
      <c r="AH894" s="1642"/>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662">
        <v>302717</v>
      </c>
      <c r="AD895" s="1663"/>
      <c r="AE895" s="1663"/>
      <c r="AF895" s="1663"/>
      <c r="AG895" s="1663"/>
      <c r="AH895" s="1663"/>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480"/>
      <c r="AD896" s="1613"/>
      <c r="AE896" s="1613"/>
      <c r="AF896" s="1613"/>
      <c r="AG896" s="1613"/>
      <c r="AH896" s="1613"/>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479">
        <v>20000</v>
      </c>
      <c r="AD897" s="1479"/>
      <c r="AE897" s="1479"/>
      <c r="AF897" s="1479"/>
      <c r="AG897" s="1479"/>
      <c r="AH897" s="1480"/>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479">
        <v>23400</v>
      </c>
      <c r="AD898" s="1479"/>
      <c r="AE898" s="1479"/>
      <c r="AF898" s="1479"/>
      <c r="AG898" s="1479"/>
      <c r="AH898" s="1480"/>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506"/>
      <c r="AD899" s="1507"/>
      <c r="AE899" s="1507"/>
      <c r="AF899" s="1507"/>
      <c r="AG899" s="1507"/>
      <c r="AH899" s="1508"/>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479">
        <v>234</v>
      </c>
      <c r="AD900" s="1479"/>
      <c r="AE900" s="1479"/>
      <c r="AF900" s="1479"/>
      <c r="AG900" s="1479"/>
      <c r="AH900" s="1480"/>
      <c r="AZ900" s="34"/>
      <c r="BA900" s="34"/>
      <c r="BB900" s="34"/>
      <c r="BC900" s="34"/>
    </row>
    <row r="901" spans="1:58" ht="12.95" hidden="1" customHeight="1">
      <c r="C901" s="1519" t="s">
        <v>2188</v>
      </c>
      <c r="D901" s="1520"/>
      <c r="E901" s="1520"/>
      <c r="F901" s="1520"/>
      <c r="G901" s="1520"/>
      <c r="H901" s="1520"/>
      <c r="I901" s="1520"/>
      <c r="J901" s="1520"/>
      <c r="K901" s="1520"/>
      <c r="L901" s="1520"/>
      <c r="M901" s="1520"/>
      <c r="N901" s="1520"/>
      <c r="O901" s="1520"/>
      <c r="P901" s="1520"/>
      <c r="Q901" s="1520"/>
      <c r="R901" s="1520"/>
      <c r="S901" s="1520"/>
      <c r="T901" s="1520"/>
      <c r="U901" s="1520"/>
      <c r="V901" s="1520"/>
      <c r="W901" s="1520"/>
      <c r="X901" s="1520"/>
      <c r="Y901" s="1520"/>
      <c r="Z901" s="1520"/>
      <c r="AA901" s="1520"/>
      <c r="AB901" s="1522"/>
      <c r="AC901" s="1479"/>
      <c r="AD901" s="1479"/>
      <c r="AE901" s="1479"/>
      <c r="AF901" s="1479"/>
      <c r="AG901" s="1479"/>
      <c r="AH901" s="1480"/>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479"/>
      <c r="AD902" s="1479"/>
      <c r="AE902" s="1479"/>
      <c r="AF902" s="1479"/>
      <c r="AG902" s="1479"/>
      <c r="AH902" s="1480"/>
      <c r="AZ902" s="34"/>
      <c r="BA902" s="34"/>
      <c r="BB902" s="34"/>
      <c r="BC902" s="34"/>
    </row>
    <row r="903" spans="1:58" ht="12.95" customHeight="1">
      <c r="C903" s="1657" t="s">
        <v>956</v>
      </c>
      <c r="D903" s="1658"/>
      <c r="E903" s="1658"/>
      <c r="F903" s="1658"/>
      <c r="G903" s="1658"/>
      <c r="H903" s="1658"/>
      <c r="I903" s="1658"/>
      <c r="J903" s="1658"/>
      <c r="K903" s="1658"/>
      <c r="L903" s="1658"/>
      <c r="M903" s="1658"/>
      <c r="N903" s="1658"/>
      <c r="O903" s="1658"/>
      <c r="P903" s="1658"/>
      <c r="Q903" s="1658"/>
      <c r="R903" s="1658"/>
      <c r="S903" s="1658"/>
      <c r="T903" s="1658"/>
      <c r="U903" s="1658"/>
      <c r="V903" s="1658"/>
      <c r="W903" s="1658"/>
      <c r="X903" s="1658"/>
      <c r="Y903" s="1658"/>
      <c r="Z903" s="1658"/>
      <c r="AA903" s="1658"/>
      <c r="AB903" s="1659"/>
      <c r="AC903" s="1613"/>
      <c r="AD903" s="1613"/>
      <c r="AE903" s="1613"/>
      <c r="AF903" s="1613"/>
      <c r="AG903" s="1613"/>
      <c r="AH903" s="1613"/>
      <c r="AZ903" s="34"/>
      <c r="BA903" s="34"/>
      <c r="BB903" s="34"/>
      <c r="BC903" s="34"/>
    </row>
    <row r="904" spans="1:58" ht="12.95" customHeight="1">
      <c r="C904" s="1657" t="s">
        <v>956</v>
      </c>
      <c r="D904" s="1658"/>
      <c r="E904" s="1658"/>
      <c r="F904" s="1658"/>
      <c r="G904" s="1658"/>
      <c r="H904" s="1658"/>
      <c r="I904" s="1658"/>
      <c r="J904" s="1658"/>
      <c r="K904" s="1658"/>
      <c r="L904" s="1658"/>
      <c r="M904" s="1658"/>
      <c r="N904" s="1658"/>
      <c r="O904" s="1658"/>
      <c r="P904" s="1658"/>
      <c r="Q904" s="1658"/>
      <c r="R904" s="1658"/>
      <c r="S904" s="1658"/>
      <c r="T904" s="1658"/>
      <c r="U904" s="1658"/>
      <c r="V904" s="1658"/>
      <c r="W904" s="1658"/>
      <c r="X904" s="1658"/>
      <c r="Y904" s="1658"/>
      <c r="Z904" s="1658"/>
      <c r="AA904" s="1658"/>
      <c r="AB904" s="1659"/>
      <c r="AC904" s="1613"/>
      <c r="AD904" s="1613"/>
      <c r="AE904" s="1613"/>
      <c r="AF904" s="1613"/>
      <c r="AG904" s="1613"/>
      <c r="AH904" s="1613"/>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613</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478"/>
      <c r="AA908" s="1479"/>
      <c r="AB908" s="1479"/>
      <c r="AC908" s="1479"/>
      <c r="AD908" s="1479"/>
      <c r="AE908" s="1480"/>
      <c r="AF908" s="533"/>
      <c r="AZ908" s="34"/>
      <c r="BB908" s="30"/>
      <c r="BC908" s="812"/>
      <c r="BD908" s="1635"/>
      <c r="BE908" s="1635"/>
      <c r="BF908" s="14"/>
    </row>
    <row r="909" spans="1:58" ht="12.95" customHeight="1">
      <c r="H909" s="121" t="s">
        <v>239</v>
      </c>
      <c r="I909" s="5"/>
      <c r="J909" s="5"/>
      <c r="K909" s="5"/>
      <c r="L909" s="5"/>
      <c r="M909" s="5"/>
      <c r="N909" s="5"/>
      <c r="O909" s="5"/>
      <c r="P909" s="5"/>
      <c r="Q909" s="5"/>
      <c r="R909" s="5"/>
      <c r="S909" s="5"/>
      <c r="T909" s="5"/>
      <c r="U909" s="5"/>
      <c r="V909" s="5"/>
      <c r="W909" s="5"/>
      <c r="X909" s="5"/>
      <c r="Y909" s="5"/>
      <c r="Z909" s="1478"/>
      <c r="AA909" s="1479"/>
      <c r="AB909" s="1479"/>
      <c r="AC909" s="1479"/>
      <c r="AD909" s="1479"/>
      <c r="AE909" s="1480"/>
      <c r="AZ909" s="34"/>
      <c r="BB909" s="30"/>
      <c r="BC909" s="812"/>
      <c r="BD909" s="1635"/>
      <c r="BE909" s="1635"/>
      <c r="BF909" s="14"/>
    </row>
    <row r="910" spans="1:58" ht="12.95" customHeight="1">
      <c r="H910" s="121" t="s">
        <v>240</v>
      </c>
      <c r="I910" s="5"/>
      <c r="J910" s="5"/>
      <c r="K910" s="5"/>
      <c r="L910" s="5"/>
      <c r="M910" s="5"/>
      <c r="N910" s="5"/>
      <c r="O910" s="5"/>
      <c r="P910" s="5"/>
      <c r="Q910" s="5"/>
      <c r="R910" s="5"/>
      <c r="S910" s="5"/>
      <c r="T910" s="5"/>
      <c r="U910" s="5"/>
      <c r="V910" s="5"/>
      <c r="W910" s="5"/>
      <c r="X910" s="5"/>
      <c r="Y910" s="5"/>
      <c r="Z910" s="1478"/>
      <c r="AA910" s="1479"/>
      <c r="AB910" s="1479"/>
      <c r="AC910" s="1479"/>
      <c r="AD910" s="1479"/>
      <c r="AE910" s="1480"/>
      <c r="AZ910" s="34"/>
      <c r="BB910" s="30"/>
      <c r="BC910" s="812"/>
      <c r="BD910" s="1636"/>
      <c r="BE910" s="1636"/>
      <c r="BF910" s="14"/>
    </row>
    <row r="911" spans="1:58" ht="12.95" customHeight="1">
      <c r="H911" s="45"/>
      <c r="I911" s="5"/>
      <c r="J911" s="5"/>
      <c r="K911" s="5"/>
      <c r="L911" s="5"/>
      <c r="M911" s="5"/>
      <c r="N911" s="5"/>
      <c r="O911" s="5"/>
      <c r="P911" s="5"/>
      <c r="Q911" s="5"/>
      <c r="R911" s="5"/>
      <c r="S911" s="5"/>
      <c r="T911" s="5"/>
      <c r="U911" s="5"/>
      <c r="V911" s="5"/>
      <c r="W911" s="5"/>
      <c r="X911" s="5"/>
      <c r="Y911" s="181" t="s">
        <v>241</v>
      </c>
      <c r="Z911" s="1475">
        <f>Z908-(Z909+Z910)</f>
        <v>0</v>
      </c>
      <c r="AA911" s="1476"/>
      <c r="AB911" s="1476"/>
      <c r="AC911" s="1476"/>
      <c r="AD911" s="1476"/>
      <c r="AE911" s="1477"/>
      <c r="AZ911" s="34"/>
      <c r="BB911" s="30"/>
      <c r="BC911" s="812"/>
      <c r="BD911" s="1636"/>
      <c r="BE911" s="1636"/>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36"/>
      <c r="BE912" s="1636"/>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35"/>
      <c r="BE913" s="1636"/>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38"/>
      <c r="BE914" s="1638"/>
      <c r="BF914" s="1638"/>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37"/>
      <c r="BE915" s="1637"/>
      <c r="BF915" s="1637"/>
    </row>
    <row r="916" spans="1:58" ht="12.95"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36"/>
      <c r="BE916" s="1636"/>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35"/>
      <c r="BE917" s="1636"/>
      <c r="BF917" s="14"/>
    </row>
    <row r="918" spans="1:58" ht="12.95" customHeight="1">
      <c r="AZ918" s="34"/>
      <c r="BB918" s="30"/>
      <c r="BC918" s="812"/>
    </row>
    <row r="919" spans="1:58" ht="12.95" customHeight="1">
      <c r="A919" s="1548" t="s">
        <v>96</v>
      </c>
      <c r="B919" s="1548"/>
      <c r="C919" s="1548"/>
      <c r="D919" s="1548"/>
      <c r="E919" s="1548"/>
      <c r="F919" s="1548"/>
      <c r="G919" s="1548"/>
      <c r="H919" s="1548"/>
      <c r="I919" s="1548"/>
      <c r="J919" s="1548"/>
      <c r="K919" s="1548"/>
      <c r="L919" s="1548"/>
      <c r="M919" s="1548"/>
      <c r="N919" s="1548"/>
      <c r="O919" s="1548"/>
      <c r="P919" s="1548"/>
      <c r="Q919" s="1548"/>
      <c r="R919" s="1548"/>
      <c r="S919" s="1548"/>
      <c r="T919" s="1548"/>
      <c r="U919" s="1548"/>
      <c r="V919" s="1548"/>
      <c r="W919" s="1548"/>
      <c r="X919" s="1548"/>
      <c r="Y919" s="1548"/>
      <c r="Z919" s="1548"/>
      <c r="AA919" s="1548"/>
      <c r="AB919" s="1548"/>
      <c r="AC919" s="1548"/>
      <c r="AD919" s="1548"/>
      <c r="AE919" s="1548"/>
      <c r="AF919" s="1548"/>
      <c r="AG919" s="1548"/>
      <c r="AH919" s="1548"/>
      <c r="AI919" s="1548"/>
      <c r="AJ919" s="1548"/>
      <c r="AK919" s="1548"/>
      <c r="AL919" s="1548"/>
      <c r="AM919" s="1548"/>
      <c r="AN919" s="1548"/>
      <c r="AO919" s="1548"/>
      <c r="AP919" s="1548"/>
      <c r="AQ919" s="1548"/>
      <c r="AR919" s="1548"/>
      <c r="AS919" s="1548"/>
      <c r="AT919" s="1548"/>
      <c r="AZ919" s="34"/>
      <c r="BA919" s="34"/>
      <c r="BB919" s="30"/>
      <c r="BC919" s="30"/>
      <c r="BD919" s="1635"/>
      <c r="BE919" s="1636"/>
      <c r="BF919" s="907"/>
    </row>
    <row r="920" spans="1:58" ht="12.95" customHeight="1">
      <c r="A920" s="1548"/>
      <c r="B920" s="1548"/>
      <c r="C920" s="1548"/>
      <c r="D920" s="1548"/>
      <c r="E920" s="1548"/>
      <c r="F920" s="1548"/>
      <c r="G920" s="1548"/>
      <c r="H920" s="1548"/>
      <c r="I920" s="1548"/>
      <c r="J920" s="1548"/>
      <c r="K920" s="1548"/>
      <c r="L920" s="1548"/>
      <c r="M920" s="1548"/>
      <c r="N920" s="1548"/>
      <c r="O920" s="1548"/>
      <c r="P920" s="1548"/>
      <c r="Q920" s="1548"/>
      <c r="R920" s="1548"/>
      <c r="S920" s="1548"/>
      <c r="T920" s="1548"/>
      <c r="U920" s="1548"/>
      <c r="V920" s="1548"/>
      <c r="W920" s="1548"/>
      <c r="X920" s="1548"/>
      <c r="Y920" s="1548"/>
      <c r="Z920" s="1548"/>
      <c r="AA920" s="1548"/>
      <c r="AB920" s="1548"/>
      <c r="AC920" s="1548"/>
      <c r="AD920" s="1548"/>
      <c r="AE920" s="1548"/>
      <c r="AF920" s="1548"/>
      <c r="AG920" s="1548"/>
      <c r="AH920" s="1548"/>
      <c r="AI920" s="1548"/>
      <c r="AJ920" s="1548"/>
      <c r="AK920" s="1548"/>
      <c r="AL920" s="1548"/>
      <c r="AM920" s="1548"/>
      <c r="AN920" s="1548"/>
      <c r="AO920" s="1548"/>
      <c r="AP920" s="1548"/>
      <c r="AQ920" s="1548"/>
      <c r="AR920" s="1548"/>
      <c r="AS920" s="1548"/>
      <c r="AT920" s="1548"/>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723" t="s">
        <v>792</v>
      </c>
      <c r="G924" s="1724"/>
      <c r="H924" s="1724"/>
      <c r="I924" s="1724"/>
      <c r="J924" s="1724"/>
      <c r="K924" s="1724"/>
      <c r="L924" s="1724"/>
      <c r="M924" s="1724"/>
      <c r="N924" s="1724"/>
      <c r="O924" s="1724"/>
      <c r="P924" s="1724"/>
      <c r="Q924" s="1724"/>
      <c r="R924" s="1724"/>
      <c r="S924" s="1724"/>
      <c r="T924" s="1725"/>
      <c r="U924" s="1808" t="s">
        <v>31</v>
      </c>
      <c r="V924" s="1735"/>
      <c r="W924" s="1735"/>
      <c r="X924" s="1735"/>
      <c r="Y924" s="1735"/>
      <c r="Z924" s="1735"/>
      <c r="AA924" s="43"/>
      <c r="AB924" s="105"/>
      <c r="AC924" s="105"/>
      <c r="AD924" s="105"/>
      <c r="AE924" s="105"/>
      <c r="AF924" s="106"/>
      <c r="AZ924" s="34"/>
      <c r="BA924" s="34"/>
      <c r="BB924" s="34"/>
      <c r="BC924" s="34"/>
    </row>
    <row r="925" spans="1:58" ht="12.95" customHeight="1">
      <c r="B925" s="2"/>
      <c r="F925" s="1729" t="s">
        <v>818</v>
      </c>
      <c r="G925" s="1730"/>
      <c r="H925" s="1730"/>
      <c r="I925" s="1730"/>
      <c r="J925" s="1730"/>
      <c r="K925" s="1730"/>
      <c r="L925" s="1730"/>
      <c r="M925" s="1730"/>
      <c r="N925" s="1730"/>
      <c r="O925" s="1730"/>
      <c r="P925" s="1730"/>
      <c r="Q925" s="1730"/>
      <c r="R925" s="1730"/>
      <c r="S925" s="1730"/>
      <c r="T925" s="1731"/>
      <c r="U925" s="1729"/>
      <c r="V925" s="1730"/>
      <c r="W925" s="1730"/>
      <c r="X925" s="1730"/>
      <c r="Y925" s="1730"/>
      <c r="Z925" s="1730"/>
      <c r="AA925" s="44"/>
      <c r="AB925" s="4"/>
      <c r="AC925" s="4"/>
      <c r="AD925" s="4"/>
      <c r="AE925" s="4"/>
      <c r="AF925" s="107"/>
      <c r="AZ925" s="34"/>
      <c r="BA925" s="34"/>
      <c r="BB925" s="34"/>
      <c r="BC925" s="34"/>
    </row>
    <row r="926" spans="1:58" ht="12.95" customHeight="1">
      <c r="B926" s="2"/>
      <c r="F926" s="1732"/>
      <c r="G926" s="1733"/>
      <c r="H926" s="1733"/>
      <c r="I926" s="1733"/>
      <c r="J926" s="1733"/>
      <c r="K926" s="1733"/>
      <c r="L926" s="1733"/>
      <c r="M926" s="1733"/>
      <c r="N926" s="1733"/>
      <c r="O926" s="1733"/>
      <c r="P926" s="1733"/>
      <c r="Q926" s="1733"/>
      <c r="R926" s="1733"/>
      <c r="S926" s="1733"/>
      <c r="T926" s="1734"/>
      <c r="U926" s="1732"/>
      <c r="V926" s="1733"/>
      <c r="W926" s="1733"/>
      <c r="X926" s="1733"/>
      <c r="Y926" s="1733"/>
      <c r="Z926" s="1733"/>
      <c r="AA926" s="108"/>
      <c r="AB926" s="1466" t="s">
        <v>391</v>
      </c>
      <c r="AC926" s="1466"/>
      <c r="AD926" s="1466"/>
      <c r="AE926" s="1466"/>
      <c r="AF926" s="109"/>
      <c r="AZ926" s="34"/>
      <c r="BA926" s="34"/>
      <c r="BB926" s="34"/>
      <c r="BC926" s="34"/>
    </row>
    <row r="927" spans="1:58" ht="12.95" customHeight="1">
      <c r="B927" s="2"/>
      <c r="F927" s="45" t="s">
        <v>758</v>
      </c>
      <c r="G927" s="48"/>
      <c r="H927" s="48"/>
      <c r="I927" s="48"/>
      <c r="J927" s="48"/>
      <c r="K927" s="48"/>
      <c r="L927" s="48"/>
      <c r="M927" s="48"/>
      <c r="N927" s="48"/>
      <c r="O927" s="48"/>
      <c r="P927" s="48"/>
      <c r="Q927" s="48"/>
      <c r="R927" s="48"/>
      <c r="S927" s="48"/>
      <c r="T927" s="49"/>
      <c r="U927" s="1644" t="s">
        <v>545</v>
      </c>
      <c r="V927" s="1417"/>
      <c r="W927" s="1417"/>
      <c r="X927" s="1417"/>
      <c r="Y927" s="1417"/>
      <c r="Z927" s="1418"/>
      <c r="AA927" s="1639">
        <v>8700726</v>
      </c>
      <c r="AB927" s="1541"/>
      <c r="AC927" s="1541"/>
      <c r="AD927" s="1541"/>
      <c r="AE927" s="1541"/>
      <c r="AF927" s="1640"/>
      <c r="AG927" s="1191" t="str">
        <f>IF(NOT(AA927=AW927),"!","")</f>
        <v/>
      </c>
      <c r="AH927" s="3"/>
      <c r="AW927" s="1464">
        <f>SUMIF($M$562:$M$573,"Loan, Tax-Exempt",$AM$562:$AM$573)</f>
        <v>8700726</v>
      </c>
      <c r="AX927" s="1464"/>
      <c r="AY927" s="1464"/>
      <c r="AZ927" s="3" t="s">
        <v>2540</v>
      </c>
      <c r="BA927" s="34"/>
      <c r="BB927" s="34"/>
      <c r="BC927" s="34"/>
    </row>
    <row r="928" spans="1:58" ht="12.95" customHeight="1">
      <c r="B928" s="2"/>
      <c r="F928" s="66" t="s">
        <v>675</v>
      </c>
      <c r="G928" s="48"/>
      <c r="H928" s="48"/>
      <c r="I928" s="48"/>
      <c r="J928" s="48"/>
      <c r="K928" s="48"/>
      <c r="L928" s="48"/>
      <c r="M928" s="48"/>
      <c r="N928" s="48"/>
      <c r="O928" s="48"/>
      <c r="P928" s="48"/>
      <c r="Q928" s="48"/>
      <c r="R928" s="48"/>
      <c r="S928" s="48"/>
      <c r="T928" s="49"/>
      <c r="U928" s="1644" t="s">
        <v>545</v>
      </c>
      <c r="V928" s="1417"/>
      <c r="W928" s="1417"/>
      <c r="X928" s="1417"/>
      <c r="Y928" s="1417"/>
      <c r="Z928" s="1418"/>
      <c r="AA928" s="1639">
        <v>5335865</v>
      </c>
      <c r="AB928" s="1541"/>
      <c r="AC928" s="1541"/>
      <c r="AD928" s="1541"/>
      <c r="AE928" s="1541"/>
      <c r="AF928" s="1640"/>
      <c r="AZ928" s="34"/>
      <c r="BA928" s="34"/>
      <c r="BB928" s="34"/>
      <c r="BC928" s="34"/>
    </row>
    <row r="929" spans="6:55" ht="12.95" customHeight="1">
      <c r="F929" s="45" t="s">
        <v>801</v>
      </c>
      <c r="G929" s="5"/>
      <c r="H929" s="5"/>
      <c r="I929" s="5"/>
      <c r="J929" s="5"/>
      <c r="K929" s="5"/>
      <c r="L929" s="5"/>
      <c r="M929" s="5"/>
      <c r="N929" s="5"/>
      <c r="O929" s="5"/>
      <c r="P929" s="5"/>
      <c r="Q929" s="5"/>
      <c r="R929" s="5"/>
      <c r="S929" s="5"/>
      <c r="T929" s="46"/>
      <c r="U929" s="1644" t="s">
        <v>545</v>
      </c>
      <c r="V929" s="1417"/>
      <c r="W929" s="1417"/>
      <c r="X929" s="1417"/>
      <c r="Y929" s="1417"/>
      <c r="Z929" s="1418"/>
      <c r="AA929" s="1639">
        <v>6825000</v>
      </c>
      <c r="AB929" s="1541"/>
      <c r="AC929" s="1541"/>
      <c r="AD929" s="1541"/>
      <c r="AE929" s="1541"/>
      <c r="AF929" s="1640"/>
      <c r="AZ929" s="34"/>
      <c r="BA929" s="34"/>
      <c r="BB929" s="34"/>
      <c r="BC929" s="34"/>
    </row>
    <row r="930" spans="6:55" ht="12.95" customHeight="1">
      <c r="F930" s="45" t="s">
        <v>678</v>
      </c>
      <c r="G930" s="5"/>
      <c r="H930" s="5"/>
      <c r="I930" s="5"/>
      <c r="J930" s="5"/>
      <c r="K930" s="5"/>
      <c r="L930" s="5"/>
      <c r="M930" s="5"/>
      <c r="N930" s="5"/>
      <c r="O930" s="5"/>
      <c r="P930" s="5"/>
      <c r="Q930" s="5"/>
      <c r="R930" s="5"/>
      <c r="S930" s="5"/>
      <c r="T930" s="46"/>
      <c r="U930" s="1644" t="s">
        <v>591</v>
      </c>
      <c r="V930" s="1417"/>
      <c r="W930" s="1417"/>
      <c r="X930" s="1417"/>
      <c r="Y930" s="1417"/>
      <c r="Z930" s="1418"/>
      <c r="AA930" s="1639"/>
      <c r="AB930" s="1541"/>
      <c r="AC930" s="1541"/>
      <c r="AD930" s="1541"/>
      <c r="AE930" s="1541"/>
      <c r="AF930" s="1640"/>
      <c r="AZ930" s="34"/>
      <c r="BA930" s="34"/>
      <c r="BB930" s="34"/>
      <c r="BC930" s="34"/>
    </row>
    <row r="931" spans="6:55" ht="12.95" customHeight="1">
      <c r="F931" s="66" t="s">
        <v>786</v>
      </c>
      <c r="G931" s="5"/>
      <c r="H931" s="5"/>
      <c r="I931" s="5"/>
      <c r="J931" s="5"/>
      <c r="K931" s="5"/>
      <c r="L931" s="5"/>
      <c r="M931" s="5"/>
      <c r="N931" s="5"/>
      <c r="O931" s="5"/>
      <c r="P931" s="5"/>
      <c r="Q931" s="5"/>
      <c r="R931" s="5"/>
      <c r="S931" s="5"/>
      <c r="T931" s="46"/>
      <c r="U931" s="1644" t="s">
        <v>591</v>
      </c>
      <c r="V931" s="1417"/>
      <c r="W931" s="1417"/>
      <c r="X931" s="1417"/>
      <c r="Y931" s="1417"/>
      <c r="Z931" s="1418"/>
      <c r="AA931" s="1639"/>
      <c r="AB931" s="1541"/>
      <c r="AC931" s="1541"/>
      <c r="AD931" s="1541"/>
      <c r="AE931" s="1541"/>
      <c r="AF931" s="1640"/>
      <c r="AZ931" s="34"/>
      <c r="BA931" s="34"/>
      <c r="BB931" s="34"/>
      <c r="BC931" s="34"/>
    </row>
    <row r="932" spans="6:55" ht="12.95" customHeight="1">
      <c r="F932" s="66" t="s">
        <v>787</v>
      </c>
      <c r="G932" s="5"/>
      <c r="H932" s="5"/>
      <c r="I932" s="5"/>
      <c r="J932" s="5"/>
      <c r="K932" s="5"/>
      <c r="L932" s="5"/>
      <c r="M932" s="5"/>
      <c r="N932" s="5"/>
      <c r="O932" s="5"/>
      <c r="P932" s="5"/>
      <c r="Q932" s="5"/>
      <c r="R932" s="5"/>
      <c r="S932" s="5"/>
      <c r="T932" s="46"/>
      <c r="U932" s="1644" t="s">
        <v>591</v>
      </c>
      <c r="V932" s="1417"/>
      <c r="W932" s="1417"/>
      <c r="X932" s="1417"/>
      <c r="Y932" s="1417"/>
      <c r="Z932" s="1418"/>
      <c r="AA932" s="1639"/>
      <c r="AB932" s="1541"/>
      <c r="AC932" s="1541"/>
      <c r="AD932" s="1541"/>
      <c r="AE932" s="1541"/>
      <c r="AF932" s="1640"/>
      <c r="AZ932" s="34"/>
      <c r="BA932" s="34"/>
      <c r="BB932" s="34"/>
      <c r="BC932" s="34"/>
    </row>
    <row r="933" spans="6:55" ht="12.95" customHeight="1">
      <c r="F933" s="66" t="s">
        <v>788</v>
      </c>
      <c r="G933" s="5"/>
      <c r="H933" s="5"/>
      <c r="I933" s="5"/>
      <c r="J933" s="5"/>
      <c r="K933" s="5"/>
      <c r="L933" s="5"/>
      <c r="M933" s="5"/>
      <c r="N933" s="5"/>
      <c r="O933" s="5"/>
      <c r="P933" s="5"/>
      <c r="Q933" s="5"/>
      <c r="R933" s="5"/>
      <c r="S933" s="5"/>
      <c r="T933" s="46"/>
      <c r="U933" s="1644" t="s">
        <v>591</v>
      </c>
      <c r="V933" s="1417"/>
      <c r="W933" s="1417"/>
      <c r="X933" s="1417"/>
      <c r="Y933" s="1417"/>
      <c r="Z933" s="1418"/>
      <c r="AA933" s="1639"/>
      <c r="AB933" s="1541"/>
      <c r="AC933" s="1541"/>
      <c r="AD933" s="1541"/>
      <c r="AE933" s="1541"/>
      <c r="AF933" s="1640"/>
      <c r="AZ933" s="34"/>
      <c r="BA933" s="34"/>
      <c r="BB933" s="34"/>
      <c r="BC933" s="34"/>
    </row>
    <row r="934" spans="6:55" ht="12.95" customHeight="1">
      <c r="F934" s="45" t="s">
        <v>677</v>
      </c>
      <c r="G934" s="5"/>
      <c r="H934" s="5"/>
      <c r="I934" s="5"/>
      <c r="J934" s="5"/>
      <c r="K934" s="5"/>
      <c r="L934" s="5"/>
      <c r="M934" s="5"/>
      <c r="N934" s="5"/>
      <c r="O934" s="5"/>
      <c r="P934" s="5"/>
      <c r="Q934" s="5"/>
      <c r="R934" s="5"/>
      <c r="S934" s="5"/>
      <c r="T934" s="46"/>
      <c r="U934" s="1644" t="s">
        <v>591</v>
      </c>
      <c r="V934" s="1417"/>
      <c r="W934" s="1417"/>
      <c r="X934" s="1417"/>
      <c r="Y934" s="1417"/>
      <c r="Z934" s="1418"/>
      <c r="AA934" s="1639"/>
      <c r="AB934" s="1541"/>
      <c r="AC934" s="1541"/>
      <c r="AD934" s="1541"/>
      <c r="AE934" s="1541"/>
      <c r="AF934" s="1640"/>
      <c r="AZ934" s="34"/>
      <c r="BA934" s="34"/>
      <c r="BB934" s="34"/>
      <c r="BC934" s="34"/>
    </row>
    <row r="935" spans="6:55" ht="12.95" customHeight="1">
      <c r="F935" s="1645" t="s">
        <v>2148</v>
      </c>
      <c r="G935" s="1646"/>
      <c r="H935" s="1646"/>
      <c r="I935" s="1646"/>
      <c r="J935" s="1646"/>
      <c r="K935" s="1646"/>
      <c r="L935" s="1646"/>
      <c r="M935" s="1646"/>
      <c r="N935" s="1646"/>
      <c r="O935" s="1646"/>
      <c r="P935" s="1646"/>
      <c r="Q935" s="1646"/>
      <c r="R935" s="1646"/>
      <c r="S935" s="1646"/>
      <c r="T935" s="1647"/>
      <c r="U935" s="1644" t="s">
        <v>591</v>
      </c>
      <c r="V935" s="1417"/>
      <c r="W935" s="1417"/>
      <c r="X935" s="1417"/>
      <c r="Y935" s="1417"/>
      <c r="Z935" s="1418"/>
      <c r="AA935" s="1639"/>
      <c r="AB935" s="1541"/>
      <c r="AC935" s="1541"/>
      <c r="AD935" s="1541"/>
      <c r="AE935" s="1541"/>
      <c r="AF935" s="1640"/>
      <c r="AZ935" s="34"/>
      <c r="BA935" s="34"/>
      <c r="BB935" s="34"/>
      <c r="BC935" s="34"/>
    </row>
    <row r="936" spans="6:55" ht="12.95" customHeight="1">
      <c r="F936" s="1645" t="s">
        <v>679</v>
      </c>
      <c r="G936" s="1646"/>
      <c r="H936" s="1646"/>
      <c r="I936" s="1646"/>
      <c r="J936" s="1646"/>
      <c r="K936" s="1646"/>
      <c r="L936" s="1646"/>
      <c r="M936" s="1646"/>
      <c r="N936" s="1646"/>
      <c r="O936" s="1646"/>
      <c r="P936" s="1646"/>
      <c r="Q936" s="1646"/>
      <c r="R936" s="1646"/>
      <c r="S936" s="1646"/>
      <c r="T936" s="1647"/>
      <c r="U936" s="1644" t="s">
        <v>591</v>
      </c>
      <c r="V936" s="1417"/>
      <c r="W936" s="1417"/>
      <c r="X936" s="1417"/>
      <c r="Y936" s="1417"/>
      <c r="Z936" s="1418"/>
      <c r="AA936" s="1639"/>
      <c r="AB936" s="1541"/>
      <c r="AC936" s="1541"/>
      <c r="AD936" s="1541"/>
      <c r="AE936" s="1541"/>
      <c r="AF936" s="1640"/>
      <c r="AU936" s="2"/>
      <c r="AZ936" s="34"/>
      <c r="BA936" s="34"/>
      <c r="BB936" s="34"/>
      <c r="BC936" s="34"/>
    </row>
    <row r="937" spans="6:55" ht="12.95" customHeight="1">
      <c r="F937" s="1645" t="s">
        <v>2149</v>
      </c>
      <c r="G937" s="1646"/>
      <c r="H937" s="1646"/>
      <c r="I937" s="1646"/>
      <c r="J937" s="1646"/>
      <c r="K937" s="1646"/>
      <c r="L937" s="1646"/>
      <c r="M937" s="1646"/>
      <c r="N937" s="1646"/>
      <c r="O937" s="1646"/>
      <c r="P937" s="1646"/>
      <c r="Q937" s="1646"/>
      <c r="R937" s="1646"/>
      <c r="S937" s="1646"/>
      <c r="T937" s="1647"/>
      <c r="U937" s="1644" t="s">
        <v>591</v>
      </c>
      <c r="V937" s="1417"/>
      <c r="W937" s="1417"/>
      <c r="X937" s="1417"/>
      <c r="Y937" s="1417"/>
      <c r="Z937" s="1418"/>
      <c r="AA937" s="1639"/>
      <c r="AB937" s="1541"/>
      <c r="AC937" s="1541"/>
      <c r="AD937" s="1541"/>
      <c r="AE937" s="1541"/>
      <c r="AF937" s="1640"/>
      <c r="AU937" s="2"/>
      <c r="AZ937" s="34"/>
      <c r="BA937" s="34"/>
      <c r="BB937" s="34"/>
      <c r="BC937" s="34"/>
    </row>
    <row r="938" spans="6:55" ht="12.95" customHeight="1">
      <c r="F938" s="1645" t="s">
        <v>2150</v>
      </c>
      <c r="G938" s="1646"/>
      <c r="H938" s="1646"/>
      <c r="I938" s="1646"/>
      <c r="J938" s="1646"/>
      <c r="K938" s="1646"/>
      <c r="L938" s="1646"/>
      <c r="M938" s="1646"/>
      <c r="N938" s="1646"/>
      <c r="O938" s="1646"/>
      <c r="P938" s="1646"/>
      <c r="Q938" s="1646"/>
      <c r="R938" s="1646"/>
      <c r="S938" s="1646"/>
      <c r="T938" s="1647"/>
      <c r="U938" s="1644" t="s">
        <v>591</v>
      </c>
      <c r="V938" s="1417"/>
      <c r="W938" s="1417"/>
      <c r="X938" s="1417"/>
      <c r="Y938" s="1417"/>
      <c r="Z938" s="1418"/>
      <c r="AA938" s="1639"/>
      <c r="AB938" s="1541"/>
      <c r="AC938" s="1541"/>
      <c r="AD938" s="1541"/>
      <c r="AE938" s="1541"/>
      <c r="AF938" s="1640"/>
      <c r="AU938" s="2"/>
      <c r="AZ938" s="34"/>
      <c r="BA938" s="34"/>
      <c r="BB938" s="34"/>
      <c r="BC938" s="34"/>
    </row>
    <row r="939" spans="6:55" ht="12.95" customHeight="1">
      <c r="F939" s="1645" t="s">
        <v>2151</v>
      </c>
      <c r="G939" s="1646"/>
      <c r="H939" s="1646"/>
      <c r="I939" s="1646"/>
      <c r="J939" s="1646"/>
      <c r="K939" s="1646"/>
      <c r="L939" s="1646"/>
      <c r="M939" s="1646"/>
      <c r="N939" s="1646"/>
      <c r="O939" s="1646"/>
      <c r="P939" s="1646"/>
      <c r="Q939" s="1646"/>
      <c r="R939" s="1646"/>
      <c r="S939" s="1646"/>
      <c r="T939" s="1647"/>
      <c r="U939" s="1644" t="s">
        <v>591</v>
      </c>
      <c r="V939" s="1417"/>
      <c r="W939" s="1417"/>
      <c r="X939" s="1417"/>
      <c r="Y939" s="1417"/>
      <c r="Z939" s="1418"/>
      <c r="AA939" s="1639"/>
      <c r="AB939" s="1541"/>
      <c r="AC939" s="1541"/>
      <c r="AD939" s="1541"/>
      <c r="AE939" s="1541"/>
      <c r="AF939" s="1640"/>
      <c r="AU939" s="2"/>
      <c r="AZ939" s="34"/>
      <c r="BA939" s="34"/>
      <c r="BB939" s="34"/>
      <c r="BC939" s="34"/>
    </row>
    <row r="940" spans="6:55" ht="12.95" customHeight="1">
      <c r="F940" s="1645" t="s">
        <v>2152</v>
      </c>
      <c r="G940" s="1646"/>
      <c r="H940" s="1646"/>
      <c r="I940" s="1646"/>
      <c r="J940" s="1646"/>
      <c r="K940" s="1646"/>
      <c r="L940" s="1646"/>
      <c r="M940" s="1646"/>
      <c r="N940" s="1646"/>
      <c r="O940" s="1646"/>
      <c r="P940" s="1646"/>
      <c r="Q940" s="1646"/>
      <c r="R940" s="1646"/>
      <c r="S940" s="1646"/>
      <c r="T940" s="1647"/>
      <c r="U940" s="1644" t="s">
        <v>591</v>
      </c>
      <c r="V940" s="1417"/>
      <c r="W940" s="1417"/>
      <c r="X940" s="1417"/>
      <c r="Y940" s="1417"/>
      <c r="Z940" s="1418"/>
      <c r="AA940" s="1639"/>
      <c r="AB940" s="1541"/>
      <c r="AC940" s="1541"/>
      <c r="AD940" s="1541"/>
      <c r="AE940" s="1541"/>
      <c r="AF940" s="1640"/>
      <c r="AU940" s="2"/>
      <c r="AZ940" s="34"/>
      <c r="BA940" s="34"/>
      <c r="BB940" s="34"/>
      <c r="BC940" s="34"/>
    </row>
    <row r="941" spans="6:55" ht="12.95" customHeight="1">
      <c r="F941" s="1645" t="s">
        <v>2153</v>
      </c>
      <c r="G941" s="1646"/>
      <c r="H941" s="1646"/>
      <c r="I941" s="1646"/>
      <c r="J941" s="1646"/>
      <c r="K941" s="1646"/>
      <c r="L941" s="1646"/>
      <c r="M941" s="1646"/>
      <c r="N941" s="1646"/>
      <c r="O941" s="1646"/>
      <c r="P941" s="1646"/>
      <c r="Q941" s="1646"/>
      <c r="R941" s="1646"/>
      <c r="S941" s="1646"/>
      <c r="T941" s="1647"/>
      <c r="U941" s="1644" t="s">
        <v>591</v>
      </c>
      <c r="V941" s="1417"/>
      <c r="W941" s="1417"/>
      <c r="X941" s="1417"/>
      <c r="Y941" s="1417"/>
      <c r="Z941" s="1418"/>
      <c r="AA941" s="1639"/>
      <c r="AB941" s="1541"/>
      <c r="AC941" s="1541"/>
      <c r="AD941" s="1541"/>
      <c r="AE941" s="1541"/>
      <c r="AF941" s="1640"/>
      <c r="AZ941" s="30"/>
      <c r="BA941" s="30"/>
    </row>
    <row r="942" spans="6:55" ht="12.95" customHeight="1">
      <c r="F942" s="178" t="s">
        <v>676</v>
      </c>
      <c r="G942" s="5"/>
      <c r="H942" s="5"/>
      <c r="I942" s="5"/>
      <c r="J942" s="5"/>
      <c r="K942" s="5"/>
      <c r="L942" s="5"/>
      <c r="M942" s="5"/>
      <c r="N942" s="5"/>
      <c r="O942" s="5"/>
      <c r="P942" s="5"/>
      <c r="Q942" s="5"/>
      <c r="R942" s="5"/>
      <c r="S942" s="5"/>
      <c r="T942" s="46"/>
      <c r="U942" s="1644" t="s">
        <v>591</v>
      </c>
      <c r="V942" s="1417"/>
      <c r="W942" s="1417"/>
      <c r="X942" s="1417"/>
      <c r="Y942" s="1417"/>
      <c r="Z942" s="1418"/>
      <c r="AA942" s="1639"/>
      <c r="AB942" s="1541"/>
      <c r="AC942" s="1541"/>
      <c r="AD942" s="1541"/>
      <c r="AE942" s="1541"/>
      <c r="AF942" s="1640"/>
    </row>
    <row r="943" spans="6:55" ht="12.95" customHeight="1">
      <c r="F943" s="121" t="s">
        <v>1277</v>
      </c>
      <c r="G943" s="5"/>
      <c r="H943" s="5"/>
      <c r="I943" s="5"/>
      <c r="J943" s="5"/>
      <c r="K943" s="5"/>
      <c r="L943" s="5"/>
      <c r="M943" s="5"/>
      <c r="N943" s="5"/>
      <c r="O943" s="5"/>
      <c r="P943" s="5"/>
      <c r="Q943" s="5"/>
      <c r="R943" s="5"/>
      <c r="S943" s="5"/>
      <c r="T943" s="46"/>
      <c r="U943" s="1644" t="s">
        <v>591</v>
      </c>
      <c r="V943" s="1417"/>
      <c r="W943" s="1417"/>
      <c r="X943" s="1417"/>
      <c r="Y943" s="1417"/>
      <c r="Z943" s="1418"/>
      <c r="AA943" s="1639"/>
      <c r="AB943" s="1541"/>
      <c r="AC943" s="1541"/>
      <c r="AD943" s="1541"/>
      <c r="AE943" s="1541"/>
      <c r="AF943" s="1640"/>
      <c r="AZ943" s="30"/>
      <c r="BA943" s="14"/>
    </row>
    <row r="944" spans="6:55" ht="12.95" customHeight="1">
      <c r="F944" s="66" t="s">
        <v>802</v>
      </c>
      <c r="G944" s="5"/>
      <c r="H944" s="5"/>
      <c r="I944" s="5"/>
      <c r="J944" s="5"/>
      <c r="K944" s="5"/>
      <c r="L944" s="5"/>
      <c r="M944" s="5"/>
      <c r="N944" s="5"/>
      <c r="O944" s="5"/>
      <c r="P944" s="5"/>
      <c r="Q944" s="5"/>
      <c r="R944" s="5"/>
      <c r="S944" s="5"/>
      <c r="T944" s="46"/>
      <c r="U944" s="1644" t="s">
        <v>591</v>
      </c>
      <c r="V944" s="1417"/>
      <c r="W944" s="1417"/>
      <c r="X944" s="1417"/>
      <c r="Y944" s="1417"/>
      <c r="Z944" s="1418"/>
      <c r="AA944" s="1639"/>
      <c r="AB944" s="1541"/>
      <c r="AC944" s="1541"/>
      <c r="AD944" s="1541"/>
      <c r="AE944" s="1541"/>
      <c r="AF944" s="1640"/>
      <c r="AZ944" s="30"/>
      <c r="BA944" s="14"/>
    </row>
    <row r="945" spans="6:55" ht="12.95" customHeight="1">
      <c r="F945" s="1670" t="s">
        <v>2157</v>
      </c>
      <c r="G945" s="1671"/>
      <c r="H945" s="1671"/>
      <c r="I945" s="1671"/>
      <c r="J945" s="1671"/>
      <c r="K945" s="1671"/>
      <c r="L945" s="1671"/>
      <c r="M945" s="1671"/>
      <c r="N945" s="1671"/>
      <c r="O945" s="1671"/>
      <c r="P945" s="1671"/>
      <c r="Q945" s="1671"/>
      <c r="R945" s="1671"/>
      <c r="S945" s="1671"/>
      <c r="T945" s="1672"/>
      <c r="U945" s="1644" t="s">
        <v>591</v>
      </c>
      <c r="V945" s="1417"/>
      <c r="W945" s="1417"/>
      <c r="X945" s="1417"/>
      <c r="Y945" s="1417"/>
      <c r="Z945" s="1418"/>
      <c r="AA945" s="1639"/>
      <c r="AB945" s="1541"/>
      <c r="AC945" s="1541"/>
      <c r="AD945" s="1541"/>
      <c r="AE945" s="1541"/>
      <c r="AF945" s="1640"/>
      <c r="AZ945" s="30"/>
      <c r="BA945" s="14"/>
    </row>
    <row r="946" spans="6:55" ht="12.95" customHeight="1">
      <c r="F946" s="1670" t="s">
        <v>2158</v>
      </c>
      <c r="G946" s="1671"/>
      <c r="H946" s="1671"/>
      <c r="I946" s="1671"/>
      <c r="J946" s="1671"/>
      <c r="K946" s="1671"/>
      <c r="L946" s="1671"/>
      <c r="M946" s="1671"/>
      <c r="N946" s="1671"/>
      <c r="O946" s="1671"/>
      <c r="P946" s="1671"/>
      <c r="Q946" s="1671"/>
      <c r="R946" s="1671"/>
      <c r="S946" s="1671"/>
      <c r="T946" s="1672"/>
      <c r="U946" s="1644" t="s">
        <v>591</v>
      </c>
      <c r="V946" s="1417"/>
      <c r="W946" s="1417"/>
      <c r="X946" s="1417"/>
      <c r="Y946" s="1417"/>
      <c r="Z946" s="1418"/>
      <c r="AA946" s="1639"/>
      <c r="AB946" s="1541"/>
      <c r="AC946" s="1541"/>
      <c r="AD946" s="1541"/>
      <c r="AE946" s="1541"/>
      <c r="AF946" s="1640"/>
      <c r="AZ946" s="30"/>
      <c r="BA946" s="30"/>
    </row>
    <row r="947" spans="6:55" ht="12.95" customHeight="1">
      <c r="F947" s="1645" t="s">
        <v>2154</v>
      </c>
      <c r="G947" s="1646"/>
      <c r="H947" s="1646"/>
      <c r="I947" s="1646"/>
      <c r="J947" s="1646"/>
      <c r="K947" s="1646"/>
      <c r="L947" s="1646"/>
      <c r="M947" s="1646"/>
      <c r="N947" s="1646"/>
      <c r="O947" s="1646"/>
      <c r="P947" s="1646"/>
      <c r="Q947" s="1646"/>
      <c r="R947" s="1646"/>
      <c r="S947" s="1646"/>
      <c r="T947" s="1647"/>
      <c r="U947" s="1644" t="s">
        <v>591</v>
      </c>
      <c r="V947" s="1417"/>
      <c r="W947" s="1417"/>
      <c r="X947" s="1417"/>
      <c r="Y947" s="1417"/>
      <c r="Z947" s="1418"/>
      <c r="AA947" s="1639"/>
      <c r="AB947" s="1541"/>
      <c r="AC947" s="1541"/>
      <c r="AD947" s="1541"/>
      <c r="AE947" s="1541"/>
      <c r="AF947" s="1640"/>
      <c r="AZ947" s="30"/>
      <c r="BA947" s="30"/>
    </row>
    <row r="948" spans="6:55" ht="12.95" customHeight="1">
      <c r="F948" s="1645" t="s">
        <v>2155</v>
      </c>
      <c r="G948" s="1646"/>
      <c r="H948" s="1646"/>
      <c r="I948" s="1646"/>
      <c r="J948" s="1646"/>
      <c r="K948" s="1646"/>
      <c r="L948" s="1646"/>
      <c r="M948" s="1646"/>
      <c r="N948" s="1646"/>
      <c r="O948" s="1646"/>
      <c r="P948" s="1646"/>
      <c r="Q948" s="1646"/>
      <c r="R948" s="1646"/>
      <c r="S948" s="1646"/>
      <c r="T948" s="1647"/>
      <c r="U948" s="1644" t="s">
        <v>591</v>
      </c>
      <c r="V948" s="1417"/>
      <c r="W948" s="1417"/>
      <c r="X948" s="1417"/>
      <c r="Y948" s="1417"/>
      <c r="Z948" s="1418"/>
      <c r="AA948" s="1639"/>
      <c r="AB948" s="1541"/>
      <c r="AC948" s="1541"/>
      <c r="AD948" s="1541"/>
      <c r="AE948" s="1541"/>
      <c r="AF948" s="1640"/>
      <c r="AZ948" s="30"/>
      <c r="BA948" s="30"/>
    </row>
    <row r="949" spans="6:55" ht="12.95" customHeight="1">
      <c r="F949" s="1645" t="s">
        <v>2156</v>
      </c>
      <c r="G949" s="1646"/>
      <c r="H949" s="1646"/>
      <c r="I949" s="1646"/>
      <c r="J949" s="1646"/>
      <c r="K949" s="1646"/>
      <c r="L949" s="1646"/>
      <c r="M949" s="1646"/>
      <c r="N949" s="1646"/>
      <c r="O949" s="1646"/>
      <c r="P949" s="1646"/>
      <c r="Q949" s="1646"/>
      <c r="R949" s="1646"/>
      <c r="S949" s="1646"/>
      <c r="T949" s="1647"/>
      <c r="U949" s="1644" t="s">
        <v>591</v>
      </c>
      <c r="V949" s="1417"/>
      <c r="W949" s="1417"/>
      <c r="X949" s="1417"/>
      <c r="Y949" s="1417"/>
      <c r="Z949" s="1418"/>
      <c r="AA949" s="1639"/>
      <c r="AB949" s="1541"/>
      <c r="AC949" s="1541"/>
      <c r="AD949" s="1541"/>
      <c r="AE949" s="1541"/>
      <c r="AF949" s="1640"/>
      <c r="AZ949" s="34"/>
      <c r="BA949" s="34"/>
      <c r="BB949" s="14"/>
      <c r="BC949" s="14"/>
    </row>
    <row r="950" spans="6:55" ht="12.95" customHeight="1">
      <c r="F950" s="121" t="s">
        <v>1261</v>
      </c>
      <c r="G950" s="5"/>
      <c r="H950" s="5"/>
      <c r="I950" s="5"/>
      <c r="J950" s="5"/>
      <c r="K950" s="5"/>
      <c r="L950" s="5"/>
      <c r="M950" s="5"/>
      <c r="N950" s="5"/>
      <c r="O950" s="5"/>
      <c r="P950" s="5"/>
      <c r="Q950" s="5"/>
      <c r="R950" s="5"/>
      <c r="S950" s="5"/>
      <c r="T950" s="46"/>
      <c r="U950" s="1644" t="s">
        <v>591</v>
      </c>
      <c r="V950" s="1417"/>
      <c r="W950" s="1417"/>
      <c r="X950" s="1417"/>
      <c r="Y950" s="1417"/>
      <c r="Z950" s="1418"/>
      <c r="AA950" s="1639"/>
      <c r="AB950" s="1541"/>
      <c r="AC950" s="1541"/>
      <c r="AD950" s="1541"/>
      <c r="AE950" s="1541"/>
      <c r="AF950" s="1640"/>
      <c r="AZ950" s="34"/>
      <c r="BA950" s="34"/>
      <c r="BB950" s="14"/>
      <c r="BC950" s="14"/>
    </row>
    <row r="951" spans="6:55" ht="12.95" customHeight="1">
      <c r="F951" s="1670" t="s">
        <v>2159</v>
      </c>
      <c r="G951" s="1671"/>
      <c r="H951" s="1671"/>
      <c r="I951" s="1671"/>
      <c r="J951" s="1671"/>
      <c r="K951" s="1671"/>
      <c r="L951" s="1671"/>
      <c r="M951" s="1671"/>
      <c r="N951" s="1671"/>
      <c r="O951" s="1671"/>
      <c r="P951" s="1671"/>
      <c r="Q951" s="1671"/>
      <c r="R951" s="1671"/>
      <c r="S951" s="1671"/>
      <c r="T951" s="1672"/>
      <c r="U951" s="1644" t="s">
        <v>591</v>
      </c>
      <c r="V951" s="1417"/>
      <c r="W951" s="1417"/>
      <c r="X951" s="1417"/>
      <c r="Y951" s="1417"/>
      <c r="Z951" s="1418"/>
      <c r="AA951" s="1639"/>
      <c r="AB951" s="1541"/>
      <c r="AC951" s="1541"/>
      <c r="AD951" s="1541"/>
      <c r="AE951" s="1541"/>
      <c r="AF951" s="1640"/>
      <c r="AZ951" s="34"/>
      <c r="BA951" s="34"/>
      <c r="BB951" s="34"/>
      <c r="BC951" s="34"/>
    </row>
    <row r="952" spans="6:55" ht="12.95" customHeight="1">
      <c r="F952" s="121" t="s">
        <v>1262</v>
      </c>
      <c r="G952" s="5"/>
      <c r="H952" s="5"/>
      <c r="I952" s="5"/>
      <c r="J952" s="5"/>
      <c r="K952" s="5"/>
      <c r="L952" s="5"/>
      <c r="M952" s="5"/>
      <c r="N952" s="5"/>
      <c r="O952" s="5"/>
      <c r="P952" s="5"/>
      <c r="Q952" s="5"/>
      <c r="R952" s="5"/>
      <c r="S952" s="5"/>
      <c r="T952" s="46"/>
      <c r="U952" s="1644" t="s">
        <v>591</v>
      </c>
      <c r="V952" s="1417"/>
      <c r="W952" s="1417"/>
      <c r="X952" s="1417"/>
      <c r="Y952" s="1417"/>
      <c r="Z952" s="1418"/>
      <c r="AA952" s="1639"/>
      <c r="AB952" s="1541"/>
      <c r="AC952" s="1541"/>
      <c r="AD952" s="1541"/>
      <c r="AE952" s="1541"/>
      <c r="AF952" s="1640"/>
      <c r="AZ952" s="34"/>
      <c r="BA952" s="34"/>
      <c r="BB952" s="34"/>
      <c r="BC952" s="34"/>
    </row>
    <row r="953" spans="6:55" ht="12.95" customHeight="1">
      <c r="F953" s="1670" t="s">
        <v>2160</v>
      </c>
      <c r="G953" s="1671"/>
      <c r="H953" s="1671"/>
      <c r="I953" s="1671"/>
      <c r="J953" s="1671"/>
      <c r="K953" s="1671"/>
      <c r="L953" s="1671"/>
      <c r="M953" s="1671"/>
      <c r="N953" s="1671"/>
      <c r="O953" s="1671"/>
      <c r="P953" s="1671"/>
      <c r="Q953" s="1671"/>
      <c r="R953" s="1671"/>
      <c r="S953" s="1671"/>
      <c r="T953" s="1672"/>
      <c r="U953" s="1644" t="s">
        <v>591</v>
      </c>
      <c r="V953" s="1417"/>
      <c r="W953" s="1417"/>
      <c r="X953" s="1417"/>
      <c r="Y953" s="1417"/>
      <c r="Z953" s="1418"/>
      <c r="AA953" s="1639"/>
      <c r="AB953" s="1541"/>
      <c r="AC953" s="1541"/>
      <c r="AD953" s="1541"/>
      <c r="AE953" s="1541"/>
      <c r="AF953" s="1640"/>
      <c r="AZ953" s="34"/>
      <c r="BA953" s="34"/>
      <c r="BB953" s="34"/>
      <c r="BC953" s="34"/>
    </row>
    <row r="954" spans="6:55" ht="12.95" customHeight="1">
      <c r="F954" s="45" t="s">
        <v>806</v>
      </c>
      <c r="G954" s="5"/>
      <c r="H954" s="5"/>
      <c r="I954" s="5"/>
      <c r="J954" s="5"/>
      <c r="K954" s="5"/>
      <c r="L954" s="5"/>
      <c r="M954" s="5"/>
      <c r="N954" s="5"/>
      <c r="O954" s="5"/>
      <c r="P954" s="1644" t="s">
        <v>669</v>
      </c>
      <c r="Q954" s="1417"/>
      <c r="R954" s="1417"/>
      <c r="S954" s="1417"/>
      <c r="T954" s="1418"/>
      <c r="U954" s="1644" t="s">
        <v>591</v>
      </c>
      <c r="V954" s="1417"/>
      <c r="W954" s="1417"/>
      <c r="X954" s="1417"/>
      <c r="Y954" s="1417"/>
      <c r="Z954" s="1418"/>
      <c r="AA954" s="1639"/>
      <c r="AB954" s="1541"/>
      <c r="AC954" s="1541"/>
      <c r="AD954" s="1541"/>
      <c r="AE954" s="1541"/>
      <c r="AF954" s="1640"/>
      <c r="AZ954" s="34"/>
      <c r="BA954" s="34"/>
      <c r="BB954" s="34"/>
      <c r="BC954" s="34"/>
    </row>
    <row r="955" spans="6:55" ht="12.95" customHeight="1">
      <c r="F955" s="1645" t="s">
        <v>2147</v>
      </c>
      <c r="G955" s="1646"/>
      <c r="H955" s="1647"/>
      <c r="I955" s="1630" t="s">
        <v>334</v>
      </c>
      <c r="J955" s="1631"/>
      <c r="K955" s="1631"/>
      <c r="L955" s="1631"/>
      <c r="M955" s="1631"/>
      <c r="N955" s="1631"/>
      <c r="O955" s="1631"/>
      <c r="P955" s="1631"/>
      <c r="Q955" s="1631"/>
      <c r="R955" s="1631"/>
      <c r="S955" s="1631"/>
      <c r="T955" s="1632"/>
      <c r="U955" s="1644" t="s">
        <v>591</v>
      </c>
      <c r="V955" s="1417"/>
      <c r="W955" s="1417"/>
      <c r="X955" s="1417"/>
      <c r="Y955" s="1417"/>
      <c r="Z955" s="1418"/>
      <c r="AA955" s="1639"/>
      <c r="AB955" s="1541"/>
      <c r="AC955" s="1541"/>
      <c r="AD955" s="1541"/>
      <c r="AE955" s="1541"/>
      <c r="AF955" s="1640"/>
      <c r="AZ955" s="34"/>
      <c r="BA955" s="34"/>
      <c r="BB955" s="34"/>
      <c r="BC955" s="34"/>
    </row>
    <row r="956" spans="6:55" ht="12.95" customHeight="1">
      <c r="F956" s="45" t="s">
        <v>86</v>
      </c>
      <c r="G956" s="48"/>
      <c r="H956" s="48"/>
      <c r="I956" s="1630" t="s">
        <v>334</v>
      </c>
      <c r="J956" s="1631"/>
      <c r="K956" s="1631"/>
      <c r="L956" s="1631"/>
      <c r="M956" s="1631"/>
      <c r="N956" s="1631"/>
      <c r="O956" s="1631"/>
      <c r="P956" s="1631"/>
      <c r="Q956" s="1631"/>
      <c r="R956" s="1631"/>
      <c r="S956" s="1631"/>
      <c r="T956" s="1632"/>
      <c r="U956" s="1644" t="s">
        <v>591</v>
      </c>
      <c r="V956" s="1417"/>
      <c r="W956" s="1417"/>
      <c r="X956" s="1417"/>
      <c r="Y956" s="1417"/>
      <c r="Z956" s="1418"/>
      <c r="AA956" s="1639"/>
      <c r="AB956" s="1541"/>
      <c r="AC956" s="1541"/>
      <c r="AD956" s="1541"/>
      <c r="AE956" s="1541"/>
      <c r="AF956" s="1640"/>
      <c r="AZ956" s="34"/>
      <c r="BA956" s="34"/>
      <c r="BB956" s="34"/>
      <c r="BC956" s="34"/>
    </row>
    <row r="957" spans="6:55" ht="12.95" customHeight="1">
      <c r="F957" s="45" t="s">
        <v>10</v>
      </c>
      <c r="G957" s="48"/>
      <c r="H957" s="48"/>
      <c r="I957" s="1630" t="s">
        <v>2751</v>
      </c>
      <c r="J957" s="1721"/>
      <c r="K957" s="1721"/>
      <c r="L957" s="1721"/>
      <c r="M957" s="1721"/>
      <c r="N957" s="1721"/>
      <c r="O957" s="1721"/>
      <c r="P957" s="1721"/>
      <c r="Q957" s="1721"/>
      <c r="R957" s="1721"/>
      <c r="S957" s="1721"/>
      <c r="T957" s="1722"/>
      <c r="U957" s="1644" t="s">
        <v>545</v>
      </c>
      <c r="V957" s="1417"/>
      <c r="W957" s="1417"/>
      <c r="X957" s="1417"/>
      <c r="Y957" s="1417"/>
      <c r="Z957" s="1418"/>
      <c r="AA957" s="1639">
        <v>2000000</v>
      </c>
      <c r="AB957" s="1541"/>
      <c r="AC957" s="1541"/>
      <c r="AD957" s="1541"/>
      <c r="AE957" s="1541"/>
      <c r="AF957" s="1640"/>
      <c r="AV957" s="2"/>
      <c r="AW957" s="2"/>
      <c r="AX957" s="2"/>
      <c r="AY957" s="2"/>
      <c r="AZ957" s="34"/>
      <c r="BA957" s="34"/>
      <c r="BB957" s="34"/>
      <c r="BC957" s="34"/>
    </row>
    <row r="958" spans="6:55" ht="12.95" customHeight="1">
      <c r="F958" s="47" t="s">
        <v>170</v>
      </c>
      <c r="G958" s="48"/>
      <c r="H958" s="48"/>
      <c r="I958" s="1720" t="s">
        <v>334</v>
      </c>
      <c r="J958" s="1721"/>
      <c r="K958" s="1721"/>
      <c r="L958" s="1721"/>
      <c r="M958" s="1721"/>
      <c r="N958" s="1721"/>
      <c r="O958" s="1721"/>
      <c r="P958" s="1721"/>
      <c r="Q958" s="1721"/>
      <c r="R958" s="1721"/>
      <c r="S958" s="1721"/>
      <c r="T958" s="1722"/>
      <c r="U958" s="1644" t="s">
        <v>591</v>
      </c>
      <c r="V958" s="1417"/>
      <c r="W958" s="1417"/>
      <c r="X958" s="1417"/>
      <c r="Y958" s="1417"/>
      <c r="Z958" s="1418"/>
      <c r="AA958" s="1639"/>
      <c r="AB958" s="1541"/>
      <c r="AC958" s="1541"/>
      <c r="AD958" s="1541"/>
      <c r="AE958" s="1541"/>
      <c r="AF958" s="1640"/>
      <c r="AU958" s="2"/>
      <c r="AZ958" s="34"/>
      <c r="BA958" s="34"/>
      <c r="BB958" s="34"/>
      <c r="BC958" s="34"/>
    </row>
    <row r="959" spans="6:55" ht="12.95" customHeight="1">
      <c r="F959" s="47" t="s">
        <v>170</v>
      </c>
      <c r="G959" s="48"/>
      <c r="H959" s="48"/>
      <c r="I959" s="1720" t="s">
        <v>334</v>
      </c>
      <c r="J959" s="1721"/>
      <c r="K959" s="1721"/>
      <c r="L959" s="1721"/>
      <c r="M959" s="1721"/>
      <c r="N959" s="1721"/>
      <c r="O959" s="1721"/>
      <c r="P959" s="1721"/>
      <c r="Q959" s="1721"/>
      <c r="R959" s="1721"/>
      <c r="S959" s="1721"/>
      <c r="T959" s="1722"/>
      <c r="U959" s="1644" t="s">
        <v>591</v>
      </c>
      <c r="V959" s="1417"/>
      <c r="W959" s="1417"/>
      <c r="X959" s="1417"/>
      <c r="Y959" s="1417"/>
      <c r="Z959" s="1418"/>
      <c r="AA959" s="1639"/>
      <c r="AB959" s="1541"/>
      <c r="AC959" s="1541"/>
      <c r="AD959" s="1541"/>
      <c r="AE959" s="1541"/>
      <c r="AF959" s="1640"/>
      <c r="AU959" s="2"/>
      <c r="AZ959" s="34"/>
      <c r="BA959" s="34"/>
      <c r="BB959" s="34"/>
      <c r="BC959" s="34"/>
    </row>
    <row r="960" spans="6:55" ht="12.95" customHeight="1">
      <c r="AU960" s="2"/>
      <c r="AZ960" s="34"/>
      <c r="BA960" s="34"/>
      <c r="BB960" s="34"/>
      <c r="BC960" s="34"/>
    </row>
    <row r="961" spans="1:64" ht="12.95" customHeight="1">
      <c r="A961" s="2" t="s">
        <v>576</v>
      </c>
      <c r="C961" s="2" t="s">
        <v>751</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745"/>
      <c r="N964" s="1538"/>
      <c r="O964" s="1538"/>
      <c r="P964" s="1538"/>
      <c r="Q964" s="1538"/>
      <c r="R964" s="1538"/>
      <c r="S964" s="1669"/>
      <c r="U964" s="66" t="s">
        <v>11</v>
      </c>
      <c r="V964" s="5"/>
      <c r="W964" s="5"/>
      <c r="X964" s="5"/>
      <c r="Y964" s="5"/>
      <c r="Z964" s="5"/>
      <c r="AA964" s="5"/>
      <c r="AB964" s="5"/>
      <c r="AC964" s="5"/>
      <c r="AD964" s="46"/>
      <c r="AE964" s="1745"/>
      <c r="AF964" s="1538"/>
      <c r="AG964" s="1538"/>
      <c r="AH964" s="1538"/>
      <c r="AI964" s="1538"/>
      <c r="AJ964" s="1538"/>
      <c r="AK964" s="1669"/>
      <c r="AZ964" s="34"/>
      <c r="BA964" s="34"/>
      <c r="BB964" s="34"/>
      <c r="BC964" s="34"/>
    </row>
    <row r="965" spans="1:64" ht="12.95" customHeight="1">
      <c r="C965" s="66" t="s">
        <v>12</v>
      </c>
      <c r="D965" s="5"/>
      <c r="E965" s="5"/>
      <c r="F965" s="5"/>
      <c r="G965" s="5"/>
      <c r="H965" s="5"/>
      <c r="I965" s="5"/>
      <c r="J965" s="5"/>
      <c r="K965" s="5"/>
      <c r="L965" s="46"/>
      <c r="M965" s="1765"/>
      <c r="N965" s="1345"/>
      <c r="O965" s="1345"/>
      <c r="P965" s="1345"/>
      <c r="Q965" s="1345"/>
      <c r="R965" s="1345"/>
      <c r="S965" s="1766"/>
      <c r="U965" s="66" t="s">
        <v>12</v>
      </c>
      <c r="V965" s="5"/>
      <c r="W965" s="5"/>
      <c r="X965" s="5"/>
      <c r="Y965" s="5"/>
      <c r="Z965" s="5"/>
      <c r="AA965" s="5"/>
      <c r="AB965" s="5"/>
      <c r="AC965" s="5"/>
      <c r="AD965" s="46"/>
      <c r="AE965" s="1765"/>
      <c r="AF965" s="1345"/>
      <c r="AG965" s="1345"/>
      <c r="AH965" s="1345"/>
      <c r="AI965" s="1345"/>
      <c r="AJ965" s="1345"/>
      <c r="AK965" s="1766"/>
      <c r="AZ965" s="34"/>
      <c r="BA965" s="34"/>
      <c r="BB965" s="34"/>
      <c r="BC965" s="34"/>
    </row>
    <row r="966" spans="1:64" ht="12.95" customHeight="1">
      <c r="C966" s="66" t="s">
        <v>880</v>
      </c>
      <c r="D966" s="5"/>
      <c r="E966" s="5"/>
      <c r="J966" s="1756" t="s">
        <v>307</v>
      </c>
      <c r="K966" s="1757"/>
      <c r="L966" s="1757"/>
      <c r="M966" s="1757"/>
      <c r="N966" s="1757"/>
      <c r="O966" s="1757"/>
      <c r="P966" s="1757"/>
      <c r="Q966" s="1757"/>
      <c r="R966" s="1757"/>
      <c r="S966" s="1758"/>
      <c r="U966" s="66" t="s">
        <v>880</v>
      </c>
      <c r="V966" s="5"/>
      <c r="W966" s="5"/>
      <c r="AB966" s="1756" t="s">
        <v>307</v>
      </c>
      <c r="AC966" s="1757"/>
      <c r="AD966" s="1757"/>
      <c r="AE966" s="1757"/>
      <c r="AF966" s="1757"/>
      <c r="AG966" s="1757"/>
      <c r="AH966" s="1757"/>
      <c r="AI966" s="1757"/>
      <c r="AJ966" s="1757"/>
      <c r="AK966" s="1758"/>
      <c r="AZ966" s="34"/>
      <c r="BA966" s="34"/>
      <c r="BB966" s="34"/>
      <c r="BC966" s="34"/>
    </row>
    <row r="967" spans="1:64" ht="12.95" customHeight="1">
      <c r="C967" s="66" t="s">
        <v>13</v>
      </c>
      <c r="D967" s="5"/>
      <c r="E967" s="5"/>
      <c r="F967" s="5"/>
      <c r="G967" s="5"/>
      <c r="H967" s="5"/>
      <c r="I967" s="5"/>
      <c r="J967" s="5"/>
      <c r="K967" s="5"/>
      <c r="L967" s="46"/>
      <c r="M967" s="1741"/>
      <c r="N967" s="1727"/>
      <c r="O967" s="1727"/>
      <c r="P967" s="1727"/>
      <c r="Q967" s="1727"/>
      <c r="R967" s="1727"/>
      <c r="S967" s="1728"/>
      <c r="U967" s="66" t="s">
        <v>13</v>
      </c>
      <c r="V967" s="5"/>
      <c r="W967" s="5"/>
      <c r="X967" s="5"/>
      <c r="Y967" s="5"/>
      <c r="Z967" s="5"/>
      <c r="AA967" s="5"/>
      <c r="AB967" s="5"/>
      <c r="AC967" s="5"/>
      <c r="AD967" s="46"/>
      <c r="AE967" s="1726"/>
      <c r="AF967" s="1727"/>
      <c r="AG967" s="1727"/>
      <c r="AH967" s="1727"/>
      <c r="AI967" s="1727"/>
      <c r="AJ967" s="1727"/>
      <c r="AK967" s="1728"/>
      <c r="AZ967" s="34"/>
      <c r="BA967" s="34"/>
      <c r="BB967" s="34"/>
      <c r="BC967" s="34"/>
    </row>
    <row r="968" spans="1:64" ht="12.95" customHeight="1">
      <c r="C968" s="66" t="s">
        <v>14</v>
      </c>
      <c r="D968" s="5"/>
      <c r="E968" s="5"/>
      <c r="F968" s="5"/>
      <c r="G968" s="5"/>
      <c r="H968" s="5"/>
      <c r="I968" s="5"/>
      <c r="J968" s="5"/>
      <c r="K968" s="5"/>
      <c r="L968" s="46"/>
      <c r="M968" s="1740"/>
      <c r="N968" s="1625"/>
      <c r="O968" s="1625"/>
      <c r="P968" s="1625"/>
      <c r="Q968" s="1625"/>
      <c r="R968" s="1625"/>
      <c r="S968" s="1626"/>
      <c r="U968" s="66" t="s">
        <v>14</v>
      </c>
      <c r="V968" s="5"/>
      <c r="W968" s="5"/>
      <c r="X968" s="5"/>
      <c r="Y968" s="5"/>
      <c r="Z968" s="5"/>
      <c r="AA968" s="5"/>
      <c r="AB968" s="5"/>
      <c r="AC968" s="5"/>
      <c r="AD968" s="46"/>
      <c r="AE968" s="1740"/>
      <c r="AF968" s="1625"/>
      <c r="AG968" s="1625"/>
      <c r="AH968" s="1625"/>
      <c r="AI968" s="1625"/>
      <c r="AJ968" s="1625"/>
      <c r="AK968" s="1626"/>
      <c r="AV968" s="2"/>
      <c r="AW968" s="2"/>
      <c r="AX968" s="2"/>
      <c r="AY968" s="2"/>
      <c r="AZ968" s="34"/>
      <c r="BA968" s="34"/>
      <c r="BB968" s="34"/>
      <c r="BC968" s="34"/>
    </row>
    <row r="969" spans="1:64" ht="12.95" customHeight="1">
      <c r="C969" s="66" t="s">
        <v>15</v>
      </c>
      <c r="D969" s="5"/>
      <c r="E969" s="5"/>
      <c r="F969" s="5"/>
      <c r="G969" s="5"/>
      <c r="H969" s="5"/>
      <c r="I969" s="5"/>
      <c r="J969" s="5"/>
      <c r="K969" s="5"/>
      <c r="L969" s="46"/>
      <c r="M969" s="1639"/>
      <c r="N969" s="1541"/>
      <c r="O969" s="1541"/>
      <c r="P969" s="1541"/>
      <c r="Q969" s="1541"/>
      <c r="R969" s="1541"/>
      <c r="S969" s="1640"/>
      <c r="U969" s="66" t="s">
        <v>15</v>
      </c>
      <c r="V969" s="5"/>
      <c r="W969" s="5"/>
      <c r="X969" s="5"/>
      <c r="Y969" s="5"/>
      <c r="Z969" s="5"/>
      <c r="AA969" s="5"/>
      <c r="AB969" s="5"/>
      <c r="AC969" s="5"/>
      <c r="AD969" s="46"/>
      <c r="AE969" s="1639"/>
      <c r="AF969" s="1541"/>
      <c r="AG969" s="1541"/>
      <c r="AH969" s="1541"/>
      <c r="AI969" s="1541"/>
      <c r="AJ969" s="1541"/>
      <c r="AK969" s="1640"/>
      <c r="AV969" s="2"/>
      <c r="AW969" s="2"/>
      <c r="AX969" s="2"/>
      <c r="AY969" s="2"/>
      <c r="AZ969" s="34"/>
      <c r="BA969" s="34"/>
      <c r="BB969" s="34"/>
      <c r="BC969" s="34"/>
    </row>
    <row r="970" spans="1:64" ht="12.95" customHeight="1">
      <c r="C970" s="66" t="s">
        <v>16</v>
      </c>
      <c r="D970" s="5"/>
      <c r="E970" s="5"/>
      <c r="F970" s="5"/>
      <c r="G970" s="5"/>
      <c r="H970" s="5"/>
      <c r="I970" s="5"/>
      <c r="J970" s="5"/>
      <c r="K970" s="5"/>
      <c r="L970" s="46"/>
      <c r="M970" s="1639"/>
      <c r="N970" s="1541"/>
      <c r="O970" s="1541"/>
      <c r="P970" s="1541"/>
      <c r="Q970" s="1541"/>
      <c r="R970" s="1541"/>
      <c r="S970" s="1640"/>
      <c r="U970" s="66" t="s">
        <v>16</v>
      </c>
      <c r="V970" s="5"/>
      <c r="W970" s="5"/>
      <c r="X970" s="5"/>
      <c r="Y970" s="5"/>
      <c r="Z970" s="5"/>
      <c r="AA970" s="5"/>
      <c r="AB970" s="5"/>
      <c r="AC970" s="5"/>
      <c r="AD970" s="46"/>
      <c r="AE970" s="1639"/>
      <c r="AF970" s="1541"/>
      <c r="AG970" s="1541"/>
      <c r="AH970" s="1541"/>
      <c r="AI970" s="1541"/>
      <c r="AJ970" s="1541"/>
      <c r="AK970" s="1640"/>
      <c r="AV970" s="2"/>
      <c r="AW970" s="2"/>
      <c r="AX970" s="2"/>
      <c r="AY970" s="2"/>
      <c r="AZ970" s="34"/>
      <c r="BB970" s="34"/>
      <c r="BC970" s="34"/>
    </row>
    <row r="971" spans="1:64" ht="12.95" customHeight="1">
      <c r="C971" s="121" t="s">
        <v>1650</v>
      </c>
      <c r="D971" s="5"/>
      <c r="E971" s="5"/>
      <c r="F971" s="5"/>
      <c r="G971" s="5"/>
      <c r="H971" s="5"/>
      <c r="I971" s="5"/>
      <c r="J971" s="5"/>
      <c r="K971" s="5"/>
      <c r="L971" s="46"/>
      <c r="M971" s="1791"/>
      <c r="N971" s="1792"/>
      <c r="O971" s="1792"/>
      <c r="P971" s="1792"/>
      <c r="Q971" s="1792"/>
      <c r="R971" s="1792"/>
      <c r="S971" s="1793"/>
      <c r="U971" s="121" t="s">
        <v>1650</v>
      </c>
      <c r="V971" s="5"/>
      <c r="W971" s="5"/>
      <c r="X971" s="5"/>
      <c r="Y971" s="5"/>
      <c r="Z971" s="5"/>
      <c r="AA971" s="5"/>
      <c r="AB971" s="5"/>
      <c r="AC971" s="5"/>
      <c r="AD971" s="46"/>
      <c r="AE971" s="1791"/>
      <c r="AF971" s="1792"/>
      <c r="AG971" s="1792"/>
      <c r="AH971" s="1792"/>
      <c r="AI971" s="1792"/>
      <c r="AJ971" s="1792"/>
      <c r="AK971" s="1793"/>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571</v>
      </c>
      <c r="G976" s="5"/>
      <c r="H976" s="5"/>
      <c r="I976" s="5"/>
      <c r="J976" s="5"/>
      <c r="K976" s="5"/>
      <c r="L976" s="46"/>
      <c r="M976" s="1713"/>
      <c r="N976" s="1714"/>
      <c r="O976" s="1714"/>
      <c r="P976" s="1714"/>
      <c r="Q976" s="1714"/>
      <c r="R976" s="1714"/>
      <c r="S976" s="1715"/>
      <c r="T976" s="66" t="s">
        <v>790</v>
      </c>
      <c r="U976" s="5"/>
      <c r="V976" s="5"/>
      <c r="W976" s="5"/>
      <c r="X976" s="5"/>
      <c r="Y976" s="5"/>
      <c r="Z976" s="46"/>
      <c r="AA976" s="1713"/>
      <c r="AB976" s="1714"/>
      <c r="AC976" s="1714"/>
      <c r="AD976" s="1714"/>
      <c r="AE976" s="1714"/>
      <c r="AF976" s="1714"/>
      <c r="AG976" s="1715"/>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572</v>
      </c>
      <c r="G977" s="5"/>
      <c r="H977" s="5"/>
      <c r="I977" s="5"/>
      <c r="J977" s="5"/>
      <c r="K977" s="5"/>
      <c r="L977" s="46"/>
      <c r="M977" s="1713"/>
      <c r="N977" s="1714"/>
      <c r="O977" s="1714"/>
      <c r="P977" s="1714"/>
      <c r="Q977" s="1714"/>
      <c r="R977" s="1714"/>
      <c r="S977" s="1715"/>
      <c r="T977" s="66" t="s">
        <v>789</v>
      </c>
      <c r="U977" s="5"/>
      <c r="V977" s="5"/>
      <c r="W977" s="5"/>
      <c r="X977" s="5"/>
      <c r="Y977" s="5"/>
      <c r="Z977" s="46"/>
      <c r="AA977" s="1713"/>
      <c r="AB977" s="1714"/>
      <c r="AC977" s="1714"/>
      <c r="AD977" s="1714"/>
      <c r="AE977" s="1714"/>
      <c r="AF977" s="1714"/>
      <c r="AG977" s="1715"/>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901</v>
      </c>
      <c r="G978" s="5"/>
      <c r="H978" s="5"/>
      <c r="I978" s="5"/>
      <c r="J978" s="5"/>
      <c r="K978" s="5"/>
      <c r="L978" s="46"/>
      <c r="M978" s="1760" t="s">
        <v>591</v>
      </c>
      <c r="N978" s="1761"/>
      <c r="O978" s="1761"/>
      <c r="P978" s="1761"/>
      <c r="Q978" s="1761"/>
      <c r="R978" s="1761"/>
      <c r="S978" s="1762"/>
      <c r="T978" s="45" t="s">
        <v>337</v>
      </c>
      <c r="U978" s="5"/>
      <c r="V978" s="5"/>
      <c r="W978" s="5"/>
      <c r="X978" s="5"/>
      <c r="Y978" s="5"/>
      <c r="Z978" s="46"/>
      <c r="AA978" s="1713"/>
      <c r="AB978" s="1714"/>
      <c r="AC978" s="1714"/>
      <c r="AD978" s="1714"/>
      <c r="AE978" s="1714"/>
      <c r="AF978" s="1714"/>
      <c r="AG978" s="1715"/>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573</v>
      </c>
      <c r="G979" s="5"/>
      <c r="H979" s="5"/>
      <c r="I979" s="5"/>
      <c r="J979" s="5"/>
      <c r="K979" s="5"/>
      <c r="L979" s="46"/>
      <c r="M979" s="1713"/>
      <c r="N979" s="1714"/>
      <c r="O979" s="1714"/>
      <c r="P979" s="1714"/>
      <c r="Q979" s="1714"/>
      <c r="R979" s="1714"/>
      <c r="S979" s="1715"/>
      <c r="T979" s="45" t="s">
        <v>338</v>
      </c>
      <c r="U979" s="5"/>
      <c r="V979" s="5"/>
      <c r="W979" s="5"/>
      <c r="X979" s="5"/>
      <c r="Y979" s="5"/>
      <c r="Z979" s="46"/>
      <c r="AA979" s="1713"/>
      <c r="AB979" s="1714"/>
      <c r="AC979" s="1714"/>
      <c r="AD979" s="1714"/>
      <c r="AE979" s="1714"/>
      <c r="AF979" s="1714"/>
      <c r="AG979" s="1715"/>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464</v>
      </c>
      <c r="G980" s="5"/>
      <c r="H980" s="5"/>
      <c r="I980" s="5"/>
      <c r="J980" s="5"/>
      <c r="K980" s="5"/>
      <c r="L980" s="46"/>
      <c r="M980" s="1713"/>
      <c r="N980" s="1714"/>
      <c r="O980" s="1714"/>
      <c r="P980" s="1714"/>
      <c r="Q980" s="1714"/>
      <c r="R980" s="1714"/>
      <c r="S980" s="1715"/>
      <c r="T980" s="45" t="s">
        <v>376</v>
      </c>
      <c r="U980" s="5"/>
      <c r="V980" s="5"/>
      <c r="W980" s="5"/>
      <c r="X980" s="5"/>
      <c r="Y980" s="5"/>
      <c r="Z980" s="46"/>
      <c r="AA980" s="1713"/>
      <c r="AB980" s="1714"/>
      <c r="AC980" s="1714"/>
      <c r="AD980" s="1714"/>
      <c r="AE980" s="1714"/>
      <c r="AF980" s="1714"/>
      <c r="AG980" s="1715"/>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880</v>
      </c>
      <c r="G981" s="42"/>
      <c r="H981" s="42"/>
      <c r="I981" s="42"/>
      <c r="J981" s="42"/>
      <c r="K981" s="42"/>
      <c r="L981" s="58"/>
      <c r="M981" s="1756" t="s">
        <v>307</v>
      </c>
      <c r="N981" s="1757"/>
      <c r="O981" s="1757"/>
      <c r="P981" s="1757"/>
      <c r="Q981" s="1757"/>
      <c r="R981" s="1757"/>
      <c r="S981" s="1758"/>
      <c r="T981" s="1767"/>
      <c r="U981" s="1768"/>
      <c r="V981" s="1768"/>
      <c r="W981" s="1768"/>
      <c r="X981" s="1768"/>
      <c r="Y981" s="1768"/>
      <c r="Z981" s="1769"/>
      <c r="AA981" s="1713"/>
      <c r="AB981" s="1714"/>
      <c r="AC981" s="1714"/>
      <c r="AD981" s="1714"/>
      <c r="AE981" s="1714"/>
      <c r="AF981" s="1714"/>
      <c r="AG981" s="1715"/>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465</v>
      </c>
      <c r="G982" s="42"/>
      <c r="H982" s="42"/>
      <c r="I982" s="42"/>
      <c r="J982" s="42"/>
      <c r="K982" s="42"/>
      <c r="L982" s="58"/>
      <c r="M982" s="1713"/>
      <c r="N982" s="1714"/>
      <c r="O982" s="1714"/>
      <c r="P982" s="1714"/>
      <c r="Q982" s="1714"/>
      <c r="R982" s="1714"/>
      <c r="S982" s="1715"/>
      <c r="T982" s="1767"/>
      <c r="U982" s="1768"/>
      <c r="V982" s="1768"/>
      <c r="W982" s="1768"/>
      <c r="X982" s="1768"/>
      <c r="Y982" s="1768"/>
      <c r="Z982" s="1769"/>
      <c r="AA982" s="1713"/>
      <c r="AB982" s="1714"/>
      <c r="AC982" s="1714"/>
      <c r="AD982" s="1714"/>
      <c r="AE982" s="1714"/>
      <c r="AF982" s="1714"/>
      <c r="AG982" s="1715"/>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458" t="s">
        <v>669</v>
      </c>
      <c r="P983" s="1459"/>
      <c r="Q983" s="92"/>
      <c r="R983" s="92"/>
      <c r="S983" s="93"/>
      <c r="T983" s="41" t="s">
        <v>170</v>
      </c>
      <c r="U983" s="42"/>
      <c r="V983" s="42"/>
      <c r="W983" s="1839" t="s">
        <v>334</v>
      </c>
      <c r="X983" s="1840"/>
      <c r="Y983" s="1840"/>
      <c r="Z983" s="1840"/>
      <c r="AA983" s="1840"/>
      <c r="AB983" s="1840"/>
      <c r="AC983" s="1840"/>
      <c r="AD983" s="1840"/>
      <c r="AE983" s="1840"/>
      <c r="AF983" s="1840"/>
      <c r="AG983" s="1841"/>
      <c r="AU983" s="68"/>
      <c r="AV983" s="95"/>
      <c r="AW983" s="95"/>
      <c r="AX983" s="95"/>
      <c r="AY983" s="95"/>
      <c r="AZ983" s="34"/>
      <c r="BB983" s="34"/>
      <c r="BC983" s="34"/>
      <c r="BD983" s="34"/>
      <c r="BE983" s="34"/>
      <c r="BF983" s="34"/>
      <c r="BG983" s="34"/>
      <c r="BH983" s="34"/>
      <c r="BI983" s="34"/>
      <c r="BJ983" s="34"/>
      <c r="BK983" s="34"/>
      <c r="BL983" s="34"/>
    </row>
    <row r="984" spans="1:64" ht="12.95" customHeight="1">
      <c r="F984" s="1623" t="s">
        <v>33</v>
      </c>
      <c r="G984" s="1518"/>
      <c r="H984" s="1518"/>
      <c r="I984" s="1518"/>
      <c r="J984" s="1518"/>
      <c r="K984" s="1518"/>
      <c r="L984" s="1518"/>
      <c r="M984" s="1713"/>
      <c r="N984" s="1714"/>
      <c r="O984" s="1714"/>
      <c r="P984" s="1714"/>
      <c r="Q984" s="1714"/>
      <c r="R984" s="1714"/>
      <c r="S984" s="1715"/>
      <c r="T984" s="47"/>
      <c r="U984" s="48"/>
      <c r="V984" s="48"/>
      <c r="W984" s="48"/>
      <c r="X984" s="48"/>
      <c r="Y984" s="48"/>
      <c r="Z984" s="124" t="s">
        <v>134</v>
      </c>
      <c r="AA984" s="1809"/>
      <c r="AB984" s="1810"/>
      <c r="AC984" s="1810"/>
      <c r="AD984" s="1810"/>
      <c r="AE984" s="1810"/>
      <c r="AF984" s="1810"/>
      <c r="AG984" s="1811"/>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36"/>
      <c r="BH985" s="1636"/>
      <c r="BI985" s="1636"/>
      <c r="BJ985" s="1636"/>
      <c r="BK985" s="1636"/>
      <c r="BL985" s="1636"/>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548" t="s">
        <v>548</v>
      </c>
      <c r="B988" s="1548"/>
      <c r="C988" s="1548"/>
      <c r="D988" s="1548"/>
      <c r="E988" s="1548"/>
      <c r="F988" s="1548"/>
      <c r="G988" s="1548"/>
      <c r="H988" s="1548"/>
      <c r="I988" s="1548"/>
      <c r="J988" s="1548"/>
      <c r="K988" s="1548"/>
      <c r="L988" s="1548"/>
      <c r="M988" s="1548"/>
      <c r="N988" s="1548"/>
      <c r="O988" s="1548"/>
      <c r="P988" s="1548"/>
      <c r="Q988" s="1548"/>
      <c r="R988" s="1548"/>
      <c r="S988" s="1548"/>
      <c r="T988" s="1548"/>
      <c r="U988" s="1548"/>
      <c r="V988" s="1548"/>
      <c r="W988" s="1548"/>
      <c r="X988" s="1548"/>
      <c r="Y988" s="1548"/>
      <c r="Z988" s="1548"/>
      <c r="AA988" s="1548"/>
      <c r="AB988" s="1548"/>
      <c r="AC988" s="1548"/>
      <c r="AD988" s="1548"/>
      <c r="AE988" s="1548"/>
      <c r="AF988" s="1548"/>
      <c r="AG988" s="1548"/>
      <c r="AH988" s="1548"/>
      <c r="AI988" s="1548"/>
      <c r="AJ988" s="1548"/>
      <c r="AK988" s="1548"/>
      <c r="AL988" s="1548"/>
      <c r="AM988" s="1548"/>
      <c r="AN988" s="1548"/>
      <c r="AO988" s="1548"/>
      <c r="AP988" s="1548"/>
      <c r="AQ988" s="1548"/>
      <c r="AR988" s="1548"/>
      <c r="AS988" s="1548"/>
      <c r="AT988" s="1548"/>
      <c r="AU988" s="68"/>
      <c r="AV988" s="68"/>
      <c r="AW988" s="68"/>
      <c r="AX988" s="68"/>
      <c r="AY988" s="68"/>
      <c r="AZ988" s="14"/>
      <c r="BA988" s="14"/>
      <c r="BB988" s="908"/>
      <c r="BC988" s="908"/>
    </row>
    <row r="989" spans="1:64" ht="12.95" customHeight="1">
      <c r="A989" s="1548"/>
      <c r="B989" s="1548"/>
      <c r="C989" s="1548"/>
      <c r="D989" s="1548"/>
      <c r="E989" s="1548"/>
      <c r="F989" s="1548"/>
      <c r="G989" s="1548"/>
      <c r="H989" s="1548"/>
      <c r="I989" s="1548"/>
      <c r="J989" s="1548"/>
      <c r="K989" s="1548"/>
      <c r="L989" s="1548"/>
      <c r="M989" s="1548"/>
      <c r="N989" s="1548"/>
      <c r="O989" s="1548"/>
      <c r="P989" s="1548"/>
      <c r="Q989" s="1548"/>
      <c r="R989" s="1548"/>
      <c r="S989" s="1548"/>
      <c r="T989" s="1548"/>
      <c r="U989" s="1548"/>
      <c r="V989" s="1548"/>
      <c r="W989" s="1548"/>
      <c r="X989" s="1548"/>
      <c r="Y989" s="1548"/>
      <c r="Z989" s="1548"/>
      <c r="AA989" s="1548"/>
      <c r="AB989" s="1548"/>
      <c r="AC989" s="1548"/>
      <c r="AD989" s="1548"/>
      <c r="AE989" s="1548"/>
      <c r="AF989" s="1548"/>
      <c r="AG989" s="1548"/>
      <c r="AH989" s="1548"/>
      <c r="AI989" s="1548"/>
      <c r="AJ989" s="1548"/>
      <c r="AK989" s="1548"/>
      <c r="AL989" s="1548"/>
      <c r="AM989" s="1548"/>
      <c r="AN989" s="1548"/>
      <c r="AO989" s="1548"/>
      <c r="AP989" s="1548"/>
      <c r="AQ989" s="1548"/>
      <c r="AR989" s="1548"/>
      <c r="AS989" s="1548"/>
      <c r="AT989" s="1548"/>
      <c r="AU989" s="68"/>
      <c r="AV989" s="68"/>
      <c r="AW989" s="68"/>
      <c r="AX989" s="68"/>
      <c r="AY989" s="68"/>
      <c r="AZ989" s="30"/>
      <c r="BA989" s="14"/>
      <c r="BB989" s="14"/>
      <c r="BC989" s="14"/>
    </row>
    <row r="990" spans="1:64" ht="12.95" customHeight="1">
      <c r="A990" s="1548"/>
      <c r="B990" s="1548"/>
      <c r="C990" s="1548"/>
      <c r="D990" s="1548"/>
      <c r="E990" s="1548"/>
      <c r="F990" s="1548"/>
      <c r="G990" s="1548"/>
      <c r="H990" s="1548"/>
      <c r="I990" s="1548"/>
      <c r="J990" s="1548"/>
      <c r="K990" s="1548"/>
      <c r="L990" s="1548"/>
      <c r="M990" s="1548"/>
      <c r="N990" s="1548"/>
      <c r="O990" s="1548"/>
      <c r="P990" s="1548"/>
      <c r="Q990" s="1548"/>
      <c r="R990" s="1548"/>
      <c r="S990" s="1548"/>
      <c r="T990" s="1548"/>
      <c r="U990" s="1548"/>
      <c r="V990" s="1548"/>
      <c r="W990" s="1548"/>
      <c r="X990" s="1548"/>
      <c r="Y990" s="1548"/>
      <c r="Z990" s="1548"/>
      <c r="AA990" s="1548"/>
      <c r="AB990" s="1548"/>
      <c r="AC990" s="1548"/>
      <c r="AD990" s="1548"/>
      <c r="AE990" s="1548"/>
      <c r="AF990" s="1548"/>
      <c r="AG990" s="1548"/>
      <c r="AH990" s="1548"/>
      <c r="AI990" s="1548"/>
      <c r="AJ990" s="1548"/>
      <c r="AK990" s="1548"/>
      <c r="AL990" s="1548"/>
      <c r="AM990" s="1548"/>
      <c r="AN990" s="1548"/>
      <c r="AO990" s="1548"/>
      <c r="AP990" s="1548"/>
      <c r="AQ990" s="1548"/>
      <c r="AR990" s="1548"/>
      <c r="AS990" s="1548"/>
      <c r="AT990" s="1548"/>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835" t="s">
        <v>638</v>
      </c>
      <c r="E994" s="1836"/>
      <c r="F994" s="1836"/>
      <c r="G994" s="1836"/>
      <c r="H994" s="1836"/>
      <c r="I994" s="1836"/>
      <c r="J994" s="1836"/>
      <c r="K994" s="1836"/>
      <c r="L994" s="1836"/>
      <c r="M994" s="1836"/>
      <c r="N994" s="1836"/>
      <c r="O994" s="1836"/>
      <c r="P994" s="1836"/>
      <c r="Q994" s="1837"/>
      <c r="R994" s="1835" t="s">
        <v>639</v>
      </c>
      <c r="S994" s="1836"/>
      <c r="T994" s="1836"/>
      <c r="U994" s="1836"/>
      <c r="V994" s="1836"/>
      <c r="W994" s="1836"/>
      <c r="X994" s="1836"/>
      <c r="Y994" s="1836"/>
      <c r="Z994" s="1836"/>
      <c r="AA994" s="1837"/>
      <c r="AB994" s="1835" t="s">
        <v>640</v>
      </c>
      <c r="AC994" s="1836"/>
      <c r="AD994" s="1836"/>
      <c r="AE994" s="1836"/>
      <c r="AF994" s="1836"/>
      <c r="AG994" s="1836"/>
      <c r="AH994" s="1836"/>
      <c r="AI994" s="1837"/>
      <c r="AJ994" s="1835" t="s">
        <v>641</v>
      </c>
      <c r="AK994" s="1836"/>
      <c r="AL994" s="1836"/>
      <c r="AM994" s="1836"/>
      <c r="AN994" s="1836"/>
      <c r="AO994" s="1836"/>
      <c r="AP994" s="1836"/>
      <c r="AQ994" s="1837"/>
      <c r="AR994" s="68"/>
      <c r="AS994" s="68"/>
      <c r="AT994" s="68"/>
      <c r="AU994" s="68"/>
      <c r="AV994" s="68"/>
      <c r="AW994" s="68"/>
      <c r="AX994" s="68"/>
      <c r="AY994" s="68"/>
      <c r="AZ994" s="30"/>
      <c r="BB994" s="14"/>
      <c r="BC994" s="14"/>
    </row>
    <row r="995" spans="1:55" ht="12.95" customHeight="1">
      <c r="A995" s="14"/>
      <c r="B995" s="73"/>
      <c r="C995" s="925"/>
      <c r="D995" s="1703" t="s">
        <v>633</v>
      </c>
      <c r="E995" s="1704"/>
      <c r="F995" s="1704"/>
      <c r="G995" s="1704"/>
      <c r="H995" s="1704"/>
      <c r="I995" s="1704"/>
      <c r="J995" s="1704"/>
      <c r="K995" s="1704"/>
      <c r="L995" s="1704"/>
      <c r="M995" s="1704"/>
      <c r="N995" s="1704"/>
      <c r="O995" s="1704"/>
      <c r="P995" s="1704"/>
      <c r="Q995" s="1705"/>
      <c r="R995" s="1755">
        <f>IF(ISNA(IF($CU$122="4%",(INDEX($CS$160:$CW$217,MATCH($DG$122,$CR$160:$CR$217,0),MATCH(D995,$CS$159:$CW$159,0))),(INDEX($CZ$160:$DD$217,MATCH($DG$122,$CY$160:$CY$217,0),MATCH(D995,$CZ$159:$DD$159,0))))),0,IF($CU$122="4%",(INDEX($CS$160:$CW$217,MATCH($DG$122,$CR$160:$CR$217,0),MATCH(D995,$CS$159:$CW$159,0))),(INDEX($CZ$160:$DD$217,MATCH($DG$122,$CY$160:$CY$217,0),MATCH(D995,$CZ$159:$DD$159,0)))))</f>
        <v>402640</v>
      </c>
      <c r="S995" s="1755"/>
      <c r="T995" s="1755"/>
      <c r="U995" s="1755"/>
      <c r="V995" s="1755"/>
      <c r="W995" s="1755"/>
      <c r="X995" s="1755"/>
      <c r="Y995" s="1755"/>
      <c r="Z995" s="1755"/>
      <c r="AA995" s="1755"/>
      <c r="AB995" s="1823">
        <f>CP810</f>
        <v>0</v>
      </c>
      <c r="AC995" s="1824"/>
      <c r="AD995" s="1824"/>
      <c r="AE995" s="1824"/>
      <c r="AF995" s="1824"/>
      <c r="AG995" s="1824"/>
      <c r="AH995" s="1824"/>
      <c r="AI995" s="1825"/>
      <c r="AJ995" s="1737">
        <f>IF(ISERROR((R995*AB995)),0,(R995*AB995))</f>
        <v>0</v>
      </c>
      <c r="AK995" s="1738"/>
      <c r="AL995" s="1738"/>
      <c r="AM995" s="1738"/>
      <c r="AN995" s="1738"/>
      <c r="AO995" s="1738"/>
      <c r="AP995" s="1738"/>
      <c r="AQ995" s="1739"/>
      <c r="AR995" s="68"/>
      <c r="AS995" s="68"/>
      <c r="AT995" s="68"/>
      <c r="AU995" s="68"/>
      <c r="AV995" s="68"/>
      <c r="AW995" s="68"/>
      <c r="AX995" s="68"/>
      <c r="AY995" s="68"/>
      <c r="AZ995" s="30"/>
      <c r="BB995" s="14"/>
      <c r="BC995" s="14"/>
    </row>
    <row r="996" spans="1:55" ht="12.95" customHeight="1">
      <c r="A996" s="14"/>
      <c r="B996" s="73"/>
      <c r="C996" s="83"/>
      <c r="D996" s="1703" t="s">
        <v>325</v>
      </c>
      <c r="E996" s="1704"/>
      <c r="F996" s="1704"/>
      <c r="G996" s="1704"/>
      <c r="H996" s="1704"/>
      <c r="I996" s="1704"/>
      <c r="J996" s="1704"/>
      <c r="K996" s="1704"/>
      <c r="L996" s="1704"/>
      <c r="M996" s="1704"/>
      <c r="N996" s="1704"/>
      <c r="O996" s="1704"/>
      <c r="P996" s="1704"/>
      <c r="Q996" s="1705"/>
      <c r="R996" s="1755">
        <f>IF(ISNA(IF($CU$122="4%",(INDEX($CS$160:$CW$217,MATCH($DG$122,$CR$160:$CR$217,0),MATCH(D996,$CS$159:$CW$159,0))),(INDEX($CZ$160:$DD$217,MATCH($DG$122,$CY$160:$CY$217,0),MATCH(D996,$CZ$159:$DD$159,0))))),0,IF($CU$122="4%",(INDEX($CS$160:$CW$217,MATCH($DG$122,$CR$160:$CR$217,0),MATCH(D996,$CS$159:$CW$159,0))),(INDEX($CZ$160:$DD$217,MATCH($DG$122,$CY$160:$CY$217,0),MATCH(D996,$CZ$159:$DD$159,0)))))</f>
        <v>464240</v>
      </c>
      <c r="S996" s="1755"/>
      <c r="T996" s="1755"/>
      <c r="U996" s="1755"/>
      <c r="V996" s="1755"/>
      <c r="W996" s="1755"/>
      <c r="X996" s="1755"/>
      <c r="Y996" s="1755"/>
      <c r="Z996" s="1755"/>
      <c r="AA996" s="1755"/>
      <c r="AB996" s="1823">
        <f>CU810</f>
        <v>0</v>
      </c>
      <c r="AC996" s="1824"/>
      <c r="AD996" s="1824"/>
      <c r="AE996" s="1824"/>
      <c r="AF996" s="1824"/>
      <c r="AG996" s="1824"/>
      <c r="AH996" s="1824"/>
      <c r="AI996" s="1825"/>
      <c r="AJ996" s="1737">
        <f>IF(ISERROR((R996*AB996)),0,(R996*AB996))</f>
        <v>0</v>
      </c>
      <c r="AK996" s="1738"/>
      <c r="AL996" s="1738"/>
      <c r="AM996" s="1738"/>
      <c r="AN996" s="1738"/>
      <c r="AO996" s="1738"/>
      <c r="AP996" s="1738"/>
      <c r="AQ996" s="1739"/>
      <c r="AR996" s="68"/>
      <c r="AS996" s="68"/>
      <c r="AT996" s="68"/>
      <c r="AU996" s="68"/>
      <c r="AV996" s="68"/>
      <c r="AW996" s="68"/>
      <c r="AX996" s="68"/>
      <c r="AY996" s="68"/>
      <c r="AZ996" s="30"/>
      <c r="BB996" s="14"/>
      <c r="BC996" s="14"/>
    </row>
    <row r="997" spans="1:55" ht="12.95" customHeight="1">
      <c r="A997" s="14"/>
      <c r="B997" s="73"/>
      <c r="C997" s="83"/>
      <c r="D997" s="1703" t="s">
        <v>163</v>
      </c>
      <c r="E997" s="1704"/>
      <c r="F997" s="1704"/>
      <c r="G997" s="1704"/>
      <c r="H997" s="1704"/>
      <c r="I997" s="1704"/>
      <c r="J997" s="1704"/>
      <c r="K997" s="1704"/>
      <c r="L997" s="1704"/>
      <c r="M997" s="1704"/>
      <c r="N997" s="1704"/>
      <c r="O997" s="1704"/>
      <c r="P997" s="1704"/>
      <c r="Q997" s="1705"/>
      <c r="R997" s="1755">
        <f>IF(ISNA(IF($CU$122="4%",(INDEX($CS$160:$CW$217,MATCH($DG$122,$CR$160:$CR$217,0),MATCH(D997,$CS$159:$CW$159,0))),(INDEX($CZ$160:$DD$217,MATCH($DG$122,$CY$160:$CY$217,0),MATCH(D997,$CZ$159:$DD$159,0))))),0,IF($CU$122="4%",(INDEX($CS$160:$CW$217,MATCH($DG$122,$CR$160:$CR$217,0),MATCH(D997,$CS$159:$CW$159,0))),(INDEX($CZ$160:$DD$217,MATCH($DG$122,$CY$160:$CY$217,0),MATCH(D997,$CZ$159:$DD$159,0)))))</f>
        <v>560000</v>
      </c>
      <c r="S997" s="1755"/>
      <c r="T997" s="1755"/>
      <c r="U997" s="1755"/>
      <c r="V997" s="1755"/>
      <c r="W997" s="1755"/>
      <c r="X997" s="1755"/>
      <c r="Y997" s="1755"/>
      <c r="Z997" s="1755"/>
      <c r="AA997" s="1755"/>
      <c r="AB997" s="1823">
        <f>CZ810</f>
        <v>34</v>
      </c>
      <c r="AC997" s="1824"/>
      <c r="AD997" s="1824"/>
      <c r="AE997" s="1824"/>
      <c r="AF997" s="1824"/>
      <c r="AG997" s="1824"/>
      <c r="AH997" s="1824"/>
      <c r="AI997" s="1825"/>
      <c r="AJ997" s="1737">
        <f>IF(ISERROR((R997*AB997)),0,(R997*AB997))</f>
        <v>19040000</v>
      </c>
      <c r="AK997" s="1738"/>
      <c r="AL997" s="1738"/>
      <c r="AM997" s="1738"/>
      <c r="AN997" s="1738"/>
      <c r="AO997" s="1738"/>
      <c r="AP997" s="1738"/>
      <c r="AQ997" s="1739"/>
      <c r="AR997" s="68"/>
      <c r="AS997" s="68"/>
      <c r="AT997" s="68"/>
      <c r="AU997" s="68"/>
      <c r="AV997" s="68"/>
      <c r="AW997" s="68"/>
      <c r="AX997" s="68"/>
      <c r="AY997" s="68"/>
      <c r="AZ997" s="30"/>
      <c r="BB997" s="14"/>
      <c r="BC997" s="14"/>
    </row>
    <row r="998" spans="1:55" ht="12.95" customHeight="1">
      <c r="A998" s="14"/>
      <c r="B998" s="73"/>
      <c r="C998" s="83"/>
      <c r="D998" s="1703" t="s">
        <v>164</v>
      </c>
      <c r="E998" s="1704"/>
      <c r="F998" s="1704"/>
      <c r="G998" s="1704"/>
      <c r="H998" s="1704"/>
      <c r="I998" s="1704"/>
      <c r="J998" s="1704"/>
      <c r="K998" s="1704"/>
      <c r="L998" s="1704"/>
      <c r="M998" s="1704"/>
      <c r="N998" s="1704"/>
      <c r="O998" s="1704"/>
      <c r="P998" s="1704"/>
      <c r="Q998" s="1705"/>
      <c r="R998" s="1755">
        <f>IF(ISNA(IF($CU$122="4%",(INDEX($CS$160:$CW$217,MATCH($DG$122,$CR$160:$CR$217,0),MATCH(D998,$CS$159:$CW$159,0))),(INDEX($CZ$160:$DD$217,MATCH($DG$122,$CY$160:$CY$217,0),MATCH(D998,$CZ$159:$DD$159,0))))),0,IF($CU$122="4%",(INDEX($CS$160:$CW$217,MATCH($DG$122,$CR$160:$CR$217,0),MATCH(D998,$CS$159:$CW$159,0))),(INDEX($CZ$160:$DD$217,MATCH($DG$122,$CY$160:$CY$217,0),MATCH(D998,$CZ$159:$DD$159,0)))))</f>
        <v>716800</v>
      </c>
      <c r="S998" s="1755"/>
      <c r="T998" s="1755"/>
      <c r="U998" s="1755"/>
      <c r="V998" s="1755"/>
      <c r="W998" s="1755"/>
      <c r="X998" s="1755"/>
      <c r="Y998" s="1755"/>
      <c r="Z998" s="1755"/>
      <c r="AA998" s="1755"/>
      <c r="AB998" s="1823">
        <f>DE810</f>
        <v>44</v>
      </c>
      <c r="AC998" s="1824"/>
      <c r="AD998" s="1824"/>
      <c r="AE998" s="1824"/>
      <c r="AF998" s="1824"/>
      <c r="AG998" s="1824"/>
      <c r="AH998" s="1824"/>
      <c r="AI998" s="1825"/>
      <c r="AJ998" s="1737">
        <f>IF(ISERROR((R998*AB998)),0,(R998*AB998))</f>
        <v>31539200</v>
      </c>
      <c r="AK998" s="1738"/>
      <c r="AL998" s="1738"/>
      <c r="AM998" s="1738"/>
      <c r="AN998" s="1738"/>
      <c r="AO998" s="1738"/>
      <c r="AP998" s="1738"/>
      <c r="AQ998" s="1739"/>
      <c r="AR998" s="68"/>
      <c r="AS998" s="68"/>
      <c r="AT998" s="68"/>
      <c r="AU998" s="68"/>
      <c r="AV998" s="68"/>
      <c r="AW998" s="68"/>
      <c r="AX998" s="68"/>
      <c r="AY998" s="68"/>
      <c r="AZ998" s="30"/>
      <c r="BA998" s="34"/>
      <c r="BB998" s="14"/>
      <c r="BC998" s="14"/>
    </row>
    <row r="999" spans="1:55" ht="12.95" customHeight="1">
      <c r="A999" s="14"/>
      <c r="B999" s="47"/>
      <c r="C999" s="78"/>
      <c r="D999" s="1703" t="s">
        <v>460</v>
      </c>
      <c r="E999" s="1704"/>
      <c r="F999" s="1704"/>
      <c r="G999" s="1704"/>
      <c r="H999" s="1704"/>
      <c r="I999" s="1704"/>
      <c r="J999" s="1704"/>
      <c r="K999" s="1704"/>
      <c r="L999" s="1704"/>
      <c r="M999" s="1704"/>
      <c r="N999" s="1704"/>
      <c r="O999" s="1704"/>
      <c r="P999" s="1704"/>
      <c r="Q999" s="1705"/>
      <c r="R999" s="1755">
        <f>IF(ISNA(IF($CU$122="4%",(INDEX($CS$160:$CW$217,MATCH($DG$122,$CR$160:$CR$217,0),MATCH(D999,$CS$159:$CW$159,0))),(INDEX($CZ$160:$DD$217,MATCH($DG$122,$CY$160:$CY$217,0),MATCH(D999,$CZ$159:$DD$159,0))))),0,IF($CU$122="4%",(INDEX($CS$160:$CW$217,MATCH($DG$122,$CR$160:$CR$217,0),MATCH(D999,$CS$159:$CW$159,0))),(INDEX($CZ$160:$DD$217,MATCH($DG$122,$CY$160:$CY$217,0),MATCH(D999,$CZ$159:$DD$159,0)))))</f>
        <v>798560</v>
      </c>
      <c r="S999" s="1755"/>
      <c r="T999" s="1755"/>
      <c r="U999" s="1755"/>
      <c r="V999" s="1755"/>
      <c r="W999" s="1755"/>
      <c r="X999" s="1755"/>
      <c r="Y999" s="1755"/>
      <c r="Z999" s="1755"/>
      <c r="AA999" s="1755"/>
      <c r="AB999" s="1823">
        <f>DO810+DJ810</f>
        <v>0</v>
      </c>
      <c r="AC999" s="1824"/>
      <c r="AD999" s="1824"/>
      <c r="AE999" s="1824"/>
      <c r="AF999" s="1824"/>
      <c r="AG999" s="1824"/>
      <c r="AH999" s="1824"/>
      <c r="AI999" s="1825"/>
      <c r="AJ999" s="1737">
        <f>IF(ISERROR((R999*AB999)),0,(R999*AB999))</f>
        <v>0</v>
      </c>
      <c r="AK999" s="1738"/>
      <c r="AL999" s="1738"/>
      <c r="AM999" s="1738"/>
      <c r="AN999" s="1738"/>
      <c r="AO999" s="1738"/>
      <c r="AP999" s="1738"/>
      <c r="AQ999" s="1739"/>
      <c r="AR999" s="68"/>
      <c r="AS999" s="68"/>
      <c r="AT999" s="68"/>
      <c r="AU999" s="68"/>
      <c r="AV999" s="68"/>
      <c r="AW999" s="68"/>
      <c r="AX999" s="68"/>
      <c r="AY999" s="68"/>
      <c r="AZ999" s="30"/>
      <c r="BB999" s="14"/>
      <c r="BC999" s="14"/>
    </row>
    <row r="1000" spans="1:55" ht="12.95" customHeight="1">
      <c r="A1000" s="14"/>
      <c r="B1000" s="1794" t="s">
        <v>791</v>
      </c>
      <c r="C1000" s="1795"/>
      <c r="D1000" s="1795"/>
      <c r="E1000" s="1795"/>
      <c r="F1000" s="1795"/>
      <c r="G1000" s="1795"/>
      <c r="H1000" s="1795"/>
      <c r="I1000" s="1795"/>
      <c r="J1000" s="1795"/>
      <c r="K1000" s="1795"/>
      <c r="L1000" s="1795"/>
      <c r="M1000" s="1795"/>
      <c r="N1000" s="1795"/>
      <c r="O1000" s="1795"/>
      <c r="P1000" s="1795"/>
      <c r="Q1000" s="1795"/>
      <c r="R1000" s="1795"/>
      <c r="S1000" s="1795"/>
      <c r="T1000" s="1795"/>
      <c r="U1000" s="1795"/>
      <c r="V1000" s="1795"/>
      <c r="W1000" s="1795"/>
      <c r="X1000" s="1795"/>
      <c r="Y1000" s="1795"/>
      <c r="Z1000" s="1795"/>
      <c r="AA1000" s="1796"/>
      <c r="AB1000" s="1823">
        <f>SUM(AB995:AI999)</f>
        <v>78</v>
      </c>
      <c r="AC1000" s="1824"/>
      <c r="AD1000" s="1824"/>
      <c r="AE1000" s="1824"/>
      <c r="AF1000" s="1824"/>
      <c r="AG1000" s="1824"/>
      <c r="AH1000" s="1824"/>
      <c r="AI1000" s="1825"/>
      <c r="AJ1000" s="1737"/>
      <c r="AK1000" s="1738"/>
      <c r="AL1000" s="1738"/>
      <c r="AM1000" s="1738"/>
      <c r="AN1000" s="1738"/>
      <c r="AO1000" s="1738"/>
      <c r="AP1000" s="1738"/>
      <c r="AQ1000" s="1739"/>
      <c r="AR1000" s="68"/>
      <c r="AS1000" s="68"/>
      <c r="AT1000" s="68"/>
      <c r="AU1000" s="68"/>
      <c r="AV1000" s="68"/>
      <c r="AW1000" s="68"/>
      <c r="AX1000" s="68"/>
      <c r="AY1000" s="68"/>
      <c r="AZ1000" s="34"/>
      <c r="BA1000" s="34"/>
      <c r="BB1000" s="14"/>
      <c r="BC1000" s="14"/>
    </row>
    <row r="1001" spans="1:55" ht="12.95" customHeight="1">
      <c r="A1001" s="14"/>
      <c r="B1001" s="1742" t="s">
        <v>512</v>
      </c>
      <c r="C1001" s="1743"/>
      <c r="D1001" s="1743"/>
      <c r="E1001" s="1743"/>
      <c r="F1001" s="1743"/>
      <c r="G1001" s="1743"/>
      <c r="H1001" s="1743"/>
      <c r="I1001" s="1743"/>
      <c r="J1001" s="1743"/>
      <c r="K1001" s="1743"/>
      <c r="L1001" s="1743"/>
      <c r="M1001" s="1743"/>
      <c r="N1001" s="1743"/>
      <c r="O1001" s="1743"/>
      <c r="P1001" s="1743"/>
      <c r="Q1001" s="1743"/>
      <c r="R1001" s="1743"/>
      <c r="S1001" s="1743"/>
      <c r="T1001" s="1743"/>
      <c r="U1001" s="1743"/>
      <c r="V1001" s="1743"/>
      <c r="W1001" s="1743"/>
      <c r="X1001" s="1743"/>
      <c r="Y1001" s="1743"/>
      <c r="Z1001" s="1743"/>
      <c r="AA1001" s="1743"/>
      <c r="AB1001" s="1743"/>
      <c r="AC1001" s="1743"/>
      <c r="AD1001" s="1743"/>
      <c r="AE1001" s="1743"/>
      <c r="AF1001" s="1743"/>
      <c r="AG1001" s="1743"/>
      <c r="AH1001" s="1743"/>
      <c r="AI1001" s="1744"/>
      <c r="AJ1001" s="1737">
        <f>SUM(AJ995:AQ999)</f>
        <v>50579200</v>
      </c>
      <c r="AK1001" s="1738"/>
      <c r="AL1001" s="1738"/>
      <c r="AM1001" s="1738"/>
      <c r="AN1001" s="1738"/>
      <c r="AO1001" s="1738"/>
      <c r="AP1001" s="1738"/>
      <c r="AQ1001" s="1739"/>
      <c r="AR1001" s="68"/>
      <c r="AS1001" s="68"/>
      <c r="AT1001" s="68"/>
      <c r="AU1001" s="68"/>
      <c r="AV1001" s="68"/>
      <c r="AW1001" s="68"/>
      <c r="AX1001" s="68"/>
      <c r="AY1001" s="68"/>
      <c r="AZ1001" s="34"/>
      <c r="BB1001" s="34"/>
      <c r="BC1001" s="34"/>
    </row>
    <row r="1002" spans="1:55" ht="12.95" customHeight="1">
      <c r="A1002" s="14"/>
      <c r="B1002" s="1788"/>
      <c r="C1002" s="1789"/>
      <c r="D1002" s="1789"/>
      <c r="E1002" s="1789"/>
      <c r="F1002" s="1789"/>
      <c r="G1002" s="1789"/>
      <c r="H1002" s="1789"/>
      <c r="I1002" s="1789"/>
      <c r="J1002" s="1789"/>
      <c r="K1002" s="1789"/>
      <c r="L1002" s="1789"/>
      <c r="M1002" s="1789"/>
      <c r="N1002" s="1789"/>
      <c r="O1002" s="1789"/>
      <c r="P1002" s="1789"/>
      <c r="Q1002" s="1789"/>
      <c r="R1002" s="1789"/>
      <c r="S1002" s="1789"/>
      <c r="T1002" s="1789"/>
      <c r="U1002" s="1789"/>
      <c r="V1002" s="1789"/>
      <c r="W1002" s="1789"/>
      <c r="X1002" s="1789"/>
      <c r="Y1002" s="1789"/>
      <c r="Z1002" s="1789"/>
      <c r="AA1002" s="1789"/>
      <c r="AB1002" s="1789"/>
      <c r="AC1002" s="1789"/>
      <c r="AD1002" s="1789"/>
      <c r="AE1002" s="1790"/>
      <c r="AF1002" s="1812" t="s">
        <v>666</v>
      </c>
      <c r="AG1002" s="1813"/>
      <c r="AH1002" s="1813"/>
      <c r="AI1002" s="1814"/>
      <c r="AJ1002" s="1788"/>
      <c r="AK1002" s="1789"/>
      <c r="AL1002" s="1789"/>
      <c r="AM1002" s="1789"/>
      <c r="AN1002" s="1789"/>
      <c r="AO1002" s="1789"/>
      <c r="AP1002" s="1789"/>
      <c r="AQ1002" s="1790"/>
      <c r="AR1002" s="68"/>
      <c r="AS1002" s="68"/>
      <c r="AT1002" s="68"/>
      <c r="AU1002" s="68"/>
      <c r="AV1002" s="68"/>
      <c r="AW1002" s="68"/>
      <c r="AX1002" s="68"/>
      <c r="AY1002" s="68"/>
      <c r="AZ1002" s="34"/>
      <c r="BA1002" s="34"/>
      <c r="BB1002" s="34"/>
      <c r="BC1002" s="34"/>
    </row>
    <row r="1003" spans="1:55" ht="12.95" customHeight="1">
      <c r="A1003" s="14"/>
      <c r="B1003" s="73"/>
      <c r="C1003" s="923" t="s">
        <v>668</v>
      </c>
      <c r="D1003" s="1749" t="s">
        <v>1220</v>
      </c>
      <c r="E1003" s="1750"/>
      <c r="F1003" s="1750"/>
      <c r="G1003" s="1750"/>
      <c r="H1003" s="1750"/>
      <c r="I1003" s="1750"/>
      <c r="J1003" s="1750"/>
      <c r="K1003" s="1750"/>
      <c r="L1003" s="1750"/>
      <c r="M1003" s="1750"/>
      <c r="N1003" s="1750"/>
      <c r="O1003" s="1750"/>
      <c r="P1003" s="1750"/>
      <c r="Q1003" s="1750"/>
      <c r="R1003" s="1750"/>
      <c r="S1003" s="1750"/>
      <c r="T1003" s="1750"/>
      <c r="U1003" s="1750"/>
      <c r="V1003" s="1750"/>
      <c r="W1003" s="1750"/>
      <c r="X1003" s="1750"/>
      <c r="Y1003" s="1750"/>
      <c r="Z1003" s="1750"/>
      <c r="AA1003" s="1750"/>
      <c r="AB1003" s="1750"/>
      <c r="AC1003" s="1750"/>
      <c r="AD1003" s="1750"/>
      <c r="AE1003" s="1751"/>
      <c r="AF1003" s="79"/>
      <c r="AG1003" s="1815" t="s">
        <v>669</v>
      </c>
      <c r="AH1003" s="1816"/>
      <c r="AI1003" s="87"/>
      <c r="AJ1003" s="1770">
        <f>ROUND(IF(AND(AG1003="yes",D1009&gt;0),AJ1001*0.2,0),0)</f>
        <v>0</v>
      </c>
      <c r="AK1003" s="1771"/>
      <c r="AL1003" s="1771"/>
      <c r="AM1003" s="1771"/>
      <c r="AN1003" s="1771"/>
      <c r="AO1003" s="1771"/>
      <c r="AP1003" s="1771"/>
      <c r="AQ1003" s="1772"/>
      <c r="AR1003" s="68"/>
      <c r="AS1003" s="68"/>
      <c r="AT1003" s="68"/>
      <c r="AU1003" s="68"/>
      <c r="AV1003" s="68"/>
      <c r="AW1003" s="68"/>
      <c r="AX1003" s="68"/>
      <c r="AY1003" s="68"/>
      <c r="AZ1003" s="34"/>
      <c r="BA1003" s="34"/>
      <c r="BB1003" s="34"/>
      <c r="BC1003" s="34"/>
    </row>
    <row r="1004" spans="1:55" ht="12.95" customHeight="1">
      <c r="A1004" s="14"/>
      <c r="B1004" s="257"/>
      <c r="C1004" s="256"/>
      <c r="D1004" s="1746" t="s">
        <v>2190</v>
      </c>
      <c r="E1004" s="1747"/>
      <c r="F1004" s="1747"/>
      <c r="G1004" s="1747"/>
      <c r="H1004" s="1747"/>
      <c r="I1004" s="1747"/>
      <c r="J1004" s="1747"/>
      <c r="K1004" s="1747"/>
      <c r="L1004" s="1747"/>
      <c r="M1004" s="1747"/>
      <c r="N1004" s="1747"/>
      <c r="O1004" s="1747"/>
      <c r="P1004" s="1747"/>
      <c r="Q1004" s="1747"/>
      <c r="R1004" s="1747"/>
      <c r="S1004" s="1747"/>
      <c r="T1004" s="1747"/>
      <c r="U1004" s="1747"/>
      <c r="V1004" s="1747"/>
      <c r="W1004" s="1747"/>
      <c r="X1004" s="1747"/>
      <c r="Y1004" s="1747"/>
      <c r="Z1004" s="1747"/>
      <c r="AA1004" s="1747"/>
      <c r="AB1004" s="1747"/>
      <c r="AC1004" s="1747"/>
      <c r="AD1004" s="1747"/>
      <c r="AE1004" s="1748"/>
      <c r="AF1004" s="73"/>
      <c r="AG1004" s="14"/>
      <c r="AH1004" s="14"/>
      <c r="AI1004" s="83"/>
      <c r="AJ1004" s="1773"/>
      <c r="AK1004" s="1774"/>
      <c r="AL1004" s="1774"/>
      <c r="AM1004" s="1774"/>
      <c r="AN1004" s="1774"/>
      <c r="AO1004" s="1774"/>
      <c r="AP1004" s="1774"/>
      <c r="AQ1004" s="1775"/>
      <c r="AR1004" s="68"/>
      <c r="AS1004" s="68"/>
      <c r="AT1004" s="68"/>
      <c r="AU1004" s="68"/>
      <c r="AV1004" s="68"/>
      <c r="AW1004" s="68"/>
      <c r="AX1004" s="68"/>
      <c r="AY1004" s="68"/>
      <c r="AZ1004" s="34"/>
      <c r="BA1004" s="34"/>
      <c r="BB1004" s="34"/>
      <c r="BC1004" s="34"/>
    </row>
    <row r="1005" spans="1:55" ht="12.95" customHeight="1">
      <c r="A1005" s="14"/>
      <c r="B1005" s="257"/>
      <c r="C1005" s="256"/>
      <c r="D1005" s="1746"/>
      <c r="E1005" s="1747"/>
      <c r="F1005" s="1747"/>
      <c r="G1005" s="1747"/>
      <c r="H1005" s="1747"/>
      <c r="I1005" s="1747"/>
      <c r="J1005" s="1747"/>
      <c r="K1005" s="1747"/>
      <c r="L1005" s="1747"/>
      <c r="M1005" s="1747"/>
      <c r="N1005" s="1747"/>
      <c r="O1005" s="1747"/>
      <c r="P1005" s="1747"/>
      <c r="Q1005" s="1747"/>
      <c r="R1005" s="1747"/>
      <c r="S1005" s="1747"/>
      <c r="T1005" s="1747"/>
      <c r="U1005" s="1747"/>
      <c r="V1005" s="1747"/>
      <c r="W1005" s="1747"/>
      <c r="X1005" s="1747"/>
      <c r="Y1005" s="1747"/>
      <c r="Z1005" s="1747"/>
      <c r="AA1005" s="1747"/>
      <c r="AB1005" s="1747"/>
      <c r="AC1005" s="1747"/>
      <c r="AD1005" s="1747"/>
      <c r="AE1005" s="1748"/>
      <c r="AF1005" s="73"/>
      <c r="AG1005" s="14"/>
      <c r="AH1005" s="14"/>
      <c r="AI1005" s="83"/>
      <c r="AJ1005" s="1773"/>
      <c r="AK1005" s="1774"/>
      <c r="AL1005" s="1774"/>
      <c r="AM1005" s="1774"/>
      <c r="AN1005" s="1774"/>
      <c r="AO1005" s="1774"/>
      <c r="AP1005" s="1774"/>
      <c r="AQ1005" s="1775"/>
      <c r="AR1005" s="68"/>
      <c r="AS1005" s="68"/>
      <c r="AT1005" s="68"/>
      <c r="AU1005" s="68"/>
      <c r="AV1005" s="68"/>
      <c r="AW1005" s="68"/>
      <c r="AX1005" s="68"/>
      <c r="AY1005" s="68"/>
      <c r="AZ1005" s="34"/>
      <c r="BA1005" s="34"/>
      <c r="BB1005" s="34"/>
      <c r="BC1005" s="34"/>
    </row>
    <row r="1006" spans="1:55" ht="12.95" customHeight="1">
      <c r="A1006" s="14"/>
      <c r="B1006" s="257"/>
      <c r="C1006" s="256"/>
      <c r="D1006" s="1746"/>
      <c r="E1006" s="1747"/>
      <c r="F1006" s="1747"/>
      <c r="G1006" s="1747"/>
      <c r="H1006" s="1747"/>
      <c r="I1006" s="1747"/>
      <c r="J1006" s="1747"/>
      <c r="K1006" s="1747"/>
      <c r="L1006" s="1747"/>
      <c r="M1006" s="1747"/>
      <c r="N1006" s="1747"/>
      <c r="O1006" s="1747"/>
      <c r="P1006" s="1747"/>
      <c r="Q1006" s="1747"/>
      <c r="R1006" s="1747"/>
      <c r="S1006" s="1747"/>
      <c r="T1006" s="1747"/>
      <c r="U1006" s="1747"/>
      <c r="V1006" s="1747"/>
      <c r="W1006" s="1747"/>
      <c r="X1006" s="1747"/>
      <c r="Y1006" s="1747"/>
      <c r="Z1006" s="1747"/>
      <c r="AA1006" s="1747"/>
      <c r="AB1006" s="1747"/>
      <c r="AC1006" s="1747"/>
      <c r="AD1006" s="1747"/>
      <c r="AE1006" s="1748"/>
      <c r="AF1006" s="73"/>
      <c r="AG1006" s="14"/>
      <c r="AH1006" s="14"/>
      <c r="AI1006" s="83"/>
      <c r="AJ1006" s="1773"/>
      <c r="AK1006" s="1774"/>
      <c r="AL1006" s="1774"/>
      <c r="AM1006" s="1774"/>
      <c r="AN1006" s="1774"/>
      <c r="AO1006" s="1774"/>
      <c r="AP1006" s="1774"/>
      <c r="AQ1006" s="1775"/>
      <c r="AR1006" s="68"/>
      <c r="AS1006" s="68"/>
      <c r="AT1006" s="68"/>
      <c r="AU1006" s="68"/>
      <c r="AV1006" s="68"/>
      <c r="AW1006" s="68"/>
      <c r="AX1006" s="68"/>
      <c r="AY1006" s="68"/>
      <c r="AZ1006" s="34"/>
      <c r="BA1006" s="34"/>
      <c r="BB1006" s="34"/>
      <c r="BC1006" s="34"/>
    </row>
    <row r="1007" spans="1:55" ht="12.95" customHeight="1">
      <c r="A1007" s="14"/>
      <c r="B1007" s="257"/>
      <c r="C1007" s="256"/>
      <c r="D1007" s="1746"/>
      <c r="E1007" s="1747"/>
      <c r="F1007" s="1747"/>
      <c r="G1007" s="1747"/>
      <c r="H1007" s="1747"/>
      <c r="I1007" s="1747"/>
      <c r="J1007" s="1747"/>
      <c r="K1007" s="1747"/>
      <c r="L1007" s="1747"/>
      <c r="M1007" s="1747"/>
      <c r="N1007" s="1747"/>
      <c r="O1007" s="1747"/>
      <c r="P1007" s="1747"/>
      <c r="Q1007" s="1747"/>
      <c r="R1007" s="1747"/>
      <c r="S1007" s="1747"/>
      <c r="T1007" s="1747"/>
      <c r="U1007" s="1747"/>
      <c r="V1007" s="1747"/>
      <c r="W1007" s="1747"/>
      <c r="X1007" s="1747"/>
      <c r="Y1007" s="1747"/>
      <c r="Z1007" s="1747"/>
      <c r="AA1007" s="1747"/>
      <c r="AB1007" s="1747"/>
      <c r="AC1007" s="1747"/>
      <c r="AD1007" s="1747"/>
      <c r="AE1007" s="1748"/>
      <c r="AF1007" s="73"/>
      <c r="AG1007" s="14"/>
      <c r="AH1007" s="14"/>
      <c r="AI1007" s="83"/>
      <c r="AJ1007" s="1773"/>
      <c r="AK1007" s="1774"/>
      <c r="AL1007" s="1774"/>
      <c r="AM1007" s="1774"/>
      <c r="AN1007" s="1774"/>
      <c r="AO1007" s="1774"/>
      <c r="AP1007" s="1774"/>
      <c r="AQ1007" s="1775"/>
      <c r="AR1007" s="68"/>
      <c r="AS1007" s="68"/>
      <c r="AT1007" s="68"/>
      <c r="AU1007" s="68"/>
      <c r="AV1007" s="68"/>
      <c r="AW1007" s="68"/>
      <c r="AX1007" s="68"/>
      <c r="AY1007" s="68"/>
      <c r="AZ1007" s="34"/>
      <c r="BA1007" s="34"/>
      <c r="BB1007" s="34"/>
      <c r="BC1007" s="34"/>
    </row>
    <row r="1008" spans="1:55" ht="12.95" customHeight="1">
      <c r="A1008" s="14"/>
      <c r="B1008" s="257"/>
      <c r="C1008" s="256"/>
      <c r="D1008" s="1860" t="s">
        <v>2161</v>
      </c>
      <c r="E1008" s="1861"/>
      <c r="F1008" s="1861"/>
      <c r="G1008" s="1861"/>
      <c r="H1008" s="1861"/>
      <c r="I1008" s="1861"/>
      <c r="J1008" s="1861"/>
      <c r="K1008" s="1861"/>
      <c r="L1008" s="1861"/>
      <c r="M1008" s="1861"/>
      <c r="N1008" s="1861"/>
      <c r="O1008" s="1861"/>
      <c r="P1008" s="1861"/>
      <c r="Q1008" s="1861"/>
      <c r="R1008" s="1861"/>
      <c r="S1008" s="1861"/>
      <c r="T1008" s="1861"/>
      <c r="U1008" s="1861"/>
      <c r="V1008" s="1861"/>
      <c r="W1008" s="1861"/>
      <c r="X1008" s="1861"/>
      <c r="Y1008" s="1861"/>
      <c r="Z1008" s="1861"/>
      <c r="AA1008" s="1861"/>
      <c r="AB1008" s="1861"/>
      <c r="AC1008" s="1861"/>
      <c r="AD1008" s="1861"/>
      <c r="AE1008" s="1862"/>
      <c r="AF1008" s="73"/>
      <c r="AG1008" s="14"/>
      <c r="AH1008" s="14"/>
      <c r="AI1008" s="83"/>
      <c r="AJ1008" s="1773"/>
      <c r="AK1008" s="1774"/>
      <c r="AL1008" s="1774"/>
      <c r="AM1008" s="1774"/>
      <c r="AN1008" s="1774"/>
      <c r="AO1008" s="1774"/>
      <c r="AP1008" s="1774"/>
      <c r="AQ1008" s="1775"/>
      <c r="AR1008" s="68"/>
      <c r="AS1008" s="68"/>
      <c r="AT1008" s="68"/>
      <c r="AU1008" s="68"/>
      <c r="AV1008" s="68"/>
      <c r="AW1008" s="68"/>
      <c r="AX1008" s="68"/>
      <c r="AY1008" s="68"/>
      <c r="AZ1008" s="34"/>
      <c r="BA1008" s="34"/>
      <c r="BB1008" s="34"/>
      <c r="BC1008" s="34"/>
    </row>
    <row r="1009" spans="1:55" ht="12.95" customHeight="1">
      <c r="A1009" s="14"/>
      <c r="B1009" s="257"/>
      <c r="C1009" s="256"/>
      <c r="D1009" s="1752"/>
      <c r="E1009" s="1753"/>
      <c r="F1009" s="1753"/>
      <c r="G1009" s="1753"/>
      <c r="H1009" s="1753"/>
      <c r="I1009" s="1753"/>
      <c r="J1009" s="1753"/>
      <c r="K1009" s="1753"/>
      <c r="L1009" s="1753"/>
      <c r="M1009" s="1753"/>
      <c r="N1009" s="1753"/>
      <c r="O1009" s="1753"/>
      <c r="P1009" s="1753"/>
      <c r="Q1009" s="1753"/>
      <c r="R1009" s="1753"/>
      <c r="S1009" s="1753"/>
      <c r="T1009" s="1753"/>
      <c r="U1009" s="1753"/>
      <c r="V1009" s="1753"/>
      <c r="W1009" s="1753"/>
      <c r="X1009" s="1753"/>
      <c r="Y1009" s="1753"/>
      <c r="Z1009" s="1753"/>
      <c r="AA1009" s="1753"/>
      <c r="AB1009" s="1753"/>
      <c r="AC1009" s="1753"/>
      <c r="AD1009" s="1753"/>
      <c r="AE1009" s="1754"/>
      <c r="AF1009" s="77"/>
      <c r="AG1009" s="7"/>
      <c r="AH1009" s="7"/>
      <c r="AI1009" s="78"/>
      <c r="AJ1009" s="1785"/>
      <c r="AK1009" s="1786"/>
      <c r="AL1009" s="1786"/>
      <c r="AM1009" s="1786"/>
      <c r="AN1009" s="1786"/>
      <c r="AO1009" s="1786"/>
      <c r="AP1009" s="1786"/>
      <c r="AQ1009" s="1787"/>
      <c r="AR1009" s="68"/>
      <c r="AS1009" s="68"/>
      <c r="AT1009" s="68"/>
      <c r="AU1009" s="68"/>
      <c r="AV1009" s="68"/>
      <c r="AW1009" s="68"/>
      <c r="AX1009" s="68"/>
      <c r="AY1009" s="68"/>
      <c r="AZ1009" s="34"/>
      <c r="BA1009" s="34"/>
      <c r="BB1009" s="34"/>
      <c r="BC1009" s="34"/>
    </row>
    <row r="1010" spans="1:55" ht="12.95" customHeight="1">
      <c r="A1010" s="14"/>
      <c r="B1010" s="255"/>
      <c r="C1010" s="318"/>
      <c r="D1010" s="1776" t="s">
        <v>1286</v>
      </c>
      <c r="E1010" s="1777"/>
      <c r="F1010" s="1777"/>
      <c r="G1010" s="1777"/>
      <c r="H1010" s="1777"/>
      <c r="I1010" s="1777"/>
      <c r="J1010" s="1777"/>
      <c r="K1010" s="1777"/>
      <c r="L1010" s="1777"/>
      <c r="M1010" s="1777"/>
      <c r="N1010" s="1777"/>
      <c r="O1010" s="1777"/>
      <c r="P1010" s="1777"/>
      <c r="Q1010" s="1777"/>
      <c r="R1010" s="1777"/>
      <c r="S1010" s="1777"/>
      <c r="T1010" s="1777"/>
      <c r="U1010" s="1777"/>
      <c r="V1010" s="1777"/>
      <c r="W1010" s="1777"/>
      <c r="X1010" s="1777"/>
      <c r="Y1010" s="1777"/>
      <c r="Z1010" s="1777"/>
      <c r="AA1010" s="1777"/>
      <c r="AB1010" s="1777"/>
      <c r="AC1010" s="1777"/>
      <c r="AD1010" s="1777"/>
      <c r="AE1010" s="1778"/>
      <c r="AF1010" s="79"/>
      <c r="AG1010" s="1797" t="s">
        <v>669</v>
      </c>
      <c r="AH1010" s="1798"/>
      <c r="AI1010" s="87"/>
      <c r="AJ1010" s="1770">
        <f>ROUND(IF(AG1010="yes",AJ1001*0.05,0),0)</f>
        <v>0</v>
      </c>
      <c r="AK1010" s="1771"/>
      <c r="AL1010" s="1771"/>
      <c r="AM1010" s="1771"/>
      <c r="AN1010" s="1771"/>
      <c r="AO1010" s="1771"/>
      <c r="AP1010" s="1771"/>
      <c r="AQ1010" s="1772"/>
      <c r="AR1010" s="68"/>
      <c r="AS1010" s="68"/>
      <c r="AT1010" s="68"/>
      <c r="AU1010" s="68"/>
      <c r="AV1010" s="68"/>
      <c r="AW1010" s="68"/>
      <c r="AX1010" s="68"/>
      <c r="AY1010" s="68"/>
      <c r="AZ1010" s="34"/>
      <c r="BA1010" s="34"/>
      <c r="BB1010" s="34"/>
      <c r="BC1010" s="34"/>
    </row>
    <row r="1011" spans="1:55" ht="12.95" customHeight="1">
      <c r="A1011" s="14"/>
      <c r="B1011" s="257"/>
      <c r="C1011" s="82"/>
      <c r="D1011" s="1746" t="s">
        <v>1284</v>
      </c>
      <c r="E1011" s="1747"/>
      <c r="F1011" s="1747"/>
      <c r="G1011" s="1747"/>
      <c r="H1011" s="1747"/>
      <c r="I1011" s="1747"/>
      <c r="J1011" s="1747"/>
      <c r="K1011" s="1747"/>
      <c r="L1011" s="1747"/>
      <c r="M1011" s="1747"/>
      <c r="N1011" s="1747"/>
      <c r="O1011" s="1747"/>
      <c r="P1011" s="1747"/>
      <c r="Q1011" s="1747"/>
      <c r="R1011" s="1747"/>
      <c r="S1011" s="1747"/>
      <c r="T1011" s="1747"/>
      <c r="U1011" s="1747"/>
      <c r="V1011" s="1747"/>
      <c r="W1011" s="1747"/>
      <c r="X1011" s="1747"/>
      <c r="Y1011" s="1747"/>
      <c r="Z1011" s="1747"/>
      <c r="AA1011" s="1747"/>
      <c r="AB1011" s="1747"/>
      <c r="AC1011" s="1747"/>
      <c r="AD1011" s="1747"/>
      <c r="AE1011" s="1748"/>
      <c r="AF1011" s="73"/>
      <c r="AG1011" s="14"/>
      <c r="AH1011" s="14"/>
      <c r="AI1011" s="83"/>
      <c r="AJ1011" s="1773"/>
      <c r="AK1011" s="1774"/>
      <c r="AL1011" s="1774"/>
      <c r="AM1011" s="1774"/>
      <c r="AN1011" s="1774"/>
      <c r="AO1011" s="1774"/>
      <c r="AP1011" s="1774"/>
      <c r="AQ1011" s="1775"/>
      <c r="AR1011" s="68"/>
      <c r="AS1011" s="68"/>
      <c r="AT1011" s="68"/>
      <c r="AU1011" s="68"/>
      <c r="AV1011" s="68"/>
      <c r="AW1011" s="68"/>
      <c r="AX1011" s="68"/>
      <c r="AY1011" s="34"/>
      <c r="AZ1011" s="34"/>
      <c r="BB1011" s="34"/>
    </row>
    <row r="1012" spans="1:55" ht="12.95" customHeight="1">
      <c r="A1012" s="14"/>
      <c r="B1012" s="257"/>
      <c r="C1012" s="82"/>
      <c r="D1012" s="1746"/>
      <c r="E1012" s="1747"/>
      <c r="F1012" s="1747"/>
      <c r="G1012" s="1747"/>
      <c r="H1012" s="1747"/>
      <c r="I1012" s="1747"/>
      <c r="J1012" s="1747"/>
      <c r="K1012" s="1747"/>
      <c r="L1012" s="1747"/>
      <c r="M1012" s="1747"/>
      <c r="N1012" s="1747"/>
      <c r="O1012" s="1747"/>
      <c r="P1012" s="1747"/>
      <c r="Q1012" s="1747"/>
      <c r="R1012" s="1747"/>
      <c r="S1012" s="1747"/>
      <c r="T1012" s="1747"/>
      <c r="U1012" s="1747"/>
      <c r="V1012" s="1747"/>
      <c r="W1012" s="1747"/>
      <c r="X1012" s="1747"/>
      <c r="Y1012" s="1747"/>
      <c r="Z1012" s="1747"/>
      <c r="AA1012" s="1747"/>
      <c r="AB1012" s="1747"/>
      <c r="AC1012" s="1747"/>
      <c r="AD1012" s="1747"/>
      <c r="AE1012" s="1748"/>
      <c r="AF1012" s="73"/>
      <c r="AG1012" s="14"/>
      <c r="AH1012" s="14"/>
      <c r="AI1012" s="83"/>
      <c r="AJ1012" s="1773"/>
      <c r="AK1012" s="1774"/>
      <c r="AL1012" s="1774"/>
      <c r="AM1012" s="1774"/>
      <c r="AN1012" s="1774"/>
      <c r="AO1012" s="1774"/>
      <c r="AP1012" s="1774"/>
      <c r="AQ1012" s="1775"/>
      <c r="AR1012" s="68"/>
      <c r="AS1012" s="68"/>
      <c r="AT1012" s="68"/>
      <c r="AU1012" s="68"/>
      <c r="AV1012" s="68"/>
      <c r="AW1012" s="68"/>
      <c r="AX1012" s="68"/>
      <c r="AY1012" s="910">
        <f>G761+O805</f>
        <v>77</v>
      </c>
      <c r="AZ1012" s="34"/>
      <c r="BB1012" s="34"/>
    </row>
    <row r="1013" spans="1:55" ht="12.95" customHeight="1">
      <c r="A1013" s="14"/>
      <c r="B1013" s="257"/>
      <c r="C1013" s="82"/>
      <c r="D1013" s="1746"/>
      <c r="E1013" s="1747"/>
      <c r="F1013" s="1747"/>
      <c r="G1013" s="1747"/>
      <c r="H1013" s="1747"/>
      <c r="I1013" s="1747"/>
      <c r="J1013" s="1747"/>
      <c r="K1013" s="1747"/>
      <c r="L1013" s="1747"/>
      <c r="M1013" s="1747"/>
      <c r="N1013" s="1747"/>
      <c r="O1013" s="1747"/>
      <c r="P1013" s="1747"/>
      <c r="Q1013" s="1747"/>
      <c r="R1013" s="1747"/>
      <c r="S1013" s="1747"/>
      <c r="T1013" s="1747"/>
      <c r="U1013" s="1747"/>
      <c r="V1013" s="1747"/>
      <c r="W1013" s="1747"/>
      <c r="X1013" s="1747"/>
      <c r="Y1013" s="1747"/>
      <c r="Z1013" s="1747"/>
      <c r="AA1013" s="1747"/>
      <c r="AB1013" s="1747"/>
      <c r="AC1013" s="1747"/>
      <c r="AD1013" s="1747"/>
      <c r="AE1013" s="1748"/>
      <c r="AF1013" s="73"/>
      <c r="AG1013" s="14"/>
      <c r="AH1013" s="14"/>
      <c r="AI1013" s="83"/>
      <c r="AJ1013" s="1773"/>
      <c r="AK1013" s="1774"/>
      <c r="AL1013" s="1774"/>
      <c r="AM1013" s="1774"/>
      <c r="AN1013" s="1774"/>
      <c r="AO1013" s="1774"/>
      <c r="AP1013" s="1774"/>
      <c r="AQ1013" s="1775"/>
      <c r="AR1013" s="68"/>
      <c r="AS1013" s="68"/>
      <c r="AT1013" s="68"/>
      <c r="AU1013" s="68"/>
      <c r="AV1013" s="68"/>
      <c r="AW1013" s="68"/>
      <c r="AX1013" s="68"/>
      <c r="AY1013" s="14"/>
      <c r="AZ1013" s="34"/>
      <c r="BB1013" s="34"/>
    </row>
    <row r="1014" spans="1:55" ht="12.95" customHeight="1">
      <c r="A1014" s="14"/>
      <c r="B1014" s="257"/>
      <c r="C1014" s="82"/>
      <c r="D1014" s="1746"/>
      <c r="E1014" s="1747"/>
      <c r="F1014" s="1747"/>
      <c r="G1014" s="1747"/>
      <c r="H1014" s="1747"/>
      <c r="I1014" s="1747"/>
      <c r="J1014" s="1747"/>
      <c r="K1014" s="1747"/>
      <c r="L1014" s="1747"/>
      <c r="M1014" s="1747"/>
      <c r="N1014" s="1747"/>
      <c r="O1014" s="1747"/>
      <c r="P1014" s="1747"/>
      <c r="Q1014" s="1747"/>
      <c r="R1014" s="1747"/>
      <c r="S1014" s="1747"/>
      <c r="T1014" s="1747"/>
      <c r="U1014" s="1747"/>
      <c r="V1014" s="1747"/>
      <c r="W1014" s="1747"/>
      <c r="X1014" s="1747"/>
      <c r="Y1014" s="1747"/>
      <c r="Z1014" s="1747"/>
      <c r="AA1014" s="1747"/>
      <c r="AB1014" s="1747"/>
      <c r="AC1014" s="1747"/>
      <c r="AD1014" s="1747"/>
      <c r="AE1014" s="1748"/>
      <c r="AF1014" s="73"/>
      <c r="AG1014" s="14"/>
      <c r="AH1014" s="14"/>
      <c r="AI1014" s="83"/>
      <c r="AJ1014" s="1773"/>
      <c r="AK1014" s="1774"/>
      <c r="AL1014" s="1774"/>
      <c r="AM1014" s="1774"/>
      <c r="AN1014" s="1774"/>
      <c r="AO1014" s="1774"/>
      <c r="AP1014" s="1774"/>
      <c r="AQ1014" s="1775"/>
      <c r="AR1014" s="68"/>
      <c r="AS1014" s="68"/>
      <c r="AT1014" s="68"/>
      <c r="AU1014" s="68"/>
      <c r="AV1014" s="68"/>
      <c r="AW1014" s="68"/>
      <c r="AX1014" s="68"/>
      <c r="AY1014" s="909">
        <f>ROUNDDOWN(X1057/I1057,2)</f>
        <v>0.1</v>
      </c>
      <c r="AZ1014" s="34"/>
      <c r="BB1014" s="34"/>
    </row>
    <row r="1015" spans="1:55" ht="12.95" customHeight="1">
      <c r="A1015" s="14"/>
      <c r="B1015" s="75"/>
      <c r="C1015" s="76"/>
      <c r="D1015" s="1860"/>
      <c r="E1015" s="1861"/>
      <c r="F1015" s="1861"/>
      <c r="G1015" s="1861"/>
      <c r="H1015" s="1861"/>
      <c r="I1015" s="1861"/>
      <c r="J1015" s="1861"/>
      <c r="K1015" s="1861"/>
      <c r="L1015" s="1861"/>
      <c r="M1015" s="1861"/>
      <c r="N1015" s="1861"/>
      <c r="O1015" s="1861"/>
      <c r="P1015" s="1861"/>
      <c r="Q1015" s="1861"/>
      <c r="R1015" s="1861"/>
      <c r="S1015" s="1861"/>
      <c r="T1015" s="1861"/>
      <c r="U1015" s="1861"/>
      <c r="V1015" s="1861"/>
      <c r="W1015" s="1861"/>
      <c r="X1015" s="1861"/>
      <c r="Y1015" s="1861"/>
      <c r="Z1015" s="1861"/>
      <c r="AA1015" s="1861"/>
      <c r="AB1015" s="1861"/>
      <c r="AC1015" s="1861"/>
      <c r="AD1015" s="1861"/>
      <c r="AE1015" s="1862"/>
      <c r="AF1015" s="77"/>
      <c r="AG1015" s="7"/>
      <c r="AH1015" s="7"/>
      <c r="AI1015" s="78"/>
      <c r="AJ1015" s="1785"/>
      <c r="AK1015" s="1786"/>
      <c r="AL1015" s="1786"/>
      <c r="AM1015" s="1786"/>
      <c r="AN1015" s="1786"/>
      <c r="AO1015" s="1786"/>
      <c r="AP1015" s="1786"/>
      <c r="AQ1015" s="1787"/>
      <c r="AR1015" s="68"/>
      <c r="AS1015" s="68"/>
      <c r="AT1015" s="68"/>
      <c r="AU1015" s="68"/>
      <c r="AV1015" s="68"/>
      <c r="AW1015" s="68"/>
      <c r="AX1015" s="68"/>
      <c r="AY1015" s="909">
        <f>ROUNDDOWN(X1061/I1061,2)</f>
        <v>0.1</v>
      </c>
      <c r="AZ1015" s="34"/>
      <c r="BB1015" s="34"/>
    </row>
    <row r="1016" spans="1:55" ht="12.95" customHeight="1">
      <c r="A1016" s="14"/>
      <c r="B1016" s="255"/>
      <c r="C1016" s="80" t="s">
        <v>672</v>
      </c>
      <c r="D1016" s="1776" t="s">
        <v>1672</v>
      </c>
      <c r="E1016" s="1777"/>
      <c r="F1016" s="1777"/>
      <c r="G1016" s="1777"/>
      <c r="H1016" s="1777"/>
      <c r="I1016" s="1777"/>
      <c r="J1016" s="1777"/>
      <c r="K1016" s="1777"/>
      <c r="L1016" s="1777"/>
      <c r="M1016" s="1777"/>
      <c r="N1016" s="1777"/>
      <c r="O1016" s="1777"/>
      <c r="P1016" s="1777"/>
      <c r="Q1016" s="1777"/>
      <c r="R1016" s="1777"/>
      <c r="S1016" s="1777"/>
      <c r="T1016" s="1777"/>
      <c r="U1016" s="1777"/>
      <c r="V1016" s="1777"/>
      <c r="W1016" s="1777"/>
      <c r="X1016" s="1777"/>
      <c r="Y1016" s="1777"/>
      <c r="Z1016" s="1777"/>
      <c r="AA1016" s="1777"/>
      <c r="AB1016" s="1777"/>
      <c r="AC1016" s="1777"/>
      <c r="AD1016" s="1777"/>
      <c r="AE1016" s="1778"/>
      <c r="AF1016" s="86"/>
      <c r="AG1016" s="1797" t="s">
        <v>669</v>
      </c>
      <c r="AH1016" s="1798"/>
      <c r="AI1016" s="87"/>
      <c r="AJ1016" s="1770">
        <f>ROUND(IF(AG1016="yes",AJ1001*0.1,0),0)</f>
        <v>0</v>
      </c>
      <c r="AK1016" s="1771"/>
      <c r="AL1016" s="1771"/>
      <c r="AM1016" s="1771"/>
      <c r="AN1016" s="1771"/>
      <c r="AO1016" s="1771"/>
      <c r="AP1016" s="1771"/>
      <c r="AQ1016" s="1772"/>
      <c r="AR1016" s="68"/>
      <c r="AS1016" s="68"/>
      <c r="AT1016" s="68"/>
      <c r="AU1016" s="68"/>
      <c r="AV1016" s="68"/>
      <c r="AW1016" s="68"/>
      <c r="AX1016" s="68"/>
      <c r="BB1016" s="34"/>
    </row>
    <row r="1017" spans="1:55" ht="12.95" customHeight="1">
      <c r="A1017" s="14"/>
      <c r="B1017" s="73"/>
      <c r="C1017" s="74"/>
      <c r="D1017" s="1779" t="s">
        <v>1285</v>
      </c>
      <c r="E1017" s="1780"/>
      <c r="F1017" s="1780"/>
      <c r="G1017" s="1780"/>
      <c r="H1017" s="1780"/>
      <c r="I1017" s="1780"/>
      <c r="J1017" s="1780"/>
      <c r="K1017" s="1780"/>
      <c r="L1017" s="1780"/>
      <c r="M1017" s="1780"/>
      <c r="N1017" s="1780"/>
      <c r="O1017" s="1780"/>
      <c r="P1017" s="1780"/>
      <c r="Q1017" s="1780"/>
      <c r="R1017" s="1780"/>
      <c r="S1017" s="1780"/>
      <c r="T1017" s="1780"/>
      <c r="U1017" s="1780"/>
      <c r="V1017" s="1780"/>
      <c r="W1017" s="1780"/>
      <c r="X1017" s="1780"/>
      <c r="Y1017" s="1780"/>
      <c r="Z1017" s="1780"/>
      <c r="AA1017" s="1780"/>
      <c r="AB1017" s="1780"/>
      <c r="AC1017" s="1780"/>
      <c r="AD1017" s="1780"/>
      <c r="AE1017" s="1781"/>
      <c r="AF1017" s="73"/>
      <c r="AI1017" s="83"/>
      <c r="AJ1017" s="1773"/>
      <c r="AK1017" s="1774"/>
      <c r="AL1017" s="1774"/>
      <c r="AM1017" s="1774"/>
      <c r="AN1017" s="1774"/>
      <c r="AO1017" s="1774"/>
      <c r="AP1017" s="1774"/>
      <c r="AQ1017" s="1775"/>
      <c r="AR1017" s="68"/>
      <c r="AS1017" s="68"/>
      <c r="AT1017" s="68"/>
      <c r="AU1017" s="68"/>
      <c r="AV1017" s="68"/>
      <c r="AW1017" s="68"/>
      <c r="AX1017" s="68"/>
    </row>
    <row r="1018" spans="1:55" ht="12.95" customHeight="1">
      <c r="A1018" s="14"/>
      <c r="B1018" s="73"/>
      <c r="C1018" s="74"/>
      <c r="D1018" s="1779"/>
      <c r="E1018" s="1780"/>
      <c r="F1018" s="1780"/>
      <c r="G1018" s="1780"/>
      <c r="H1018" s="1780"/>
      <c r="I1018" s="1780"/>
      <c r="J1018" s="1780"/>
      <c r="K1018" s="1780"/>
      <c r="L1018" s="1780"/>
      <c r="M1018" s="1780"/>
      <c r="N1018" s="1780"/>
      <c r="O1018" s="1780"/>
      <c r="P1018" s="1780"/>
      <c r="Q1018" s="1780"/>
      <c r="R1018" s="1780"/>
      <c r="S1018" s="1780"/>
      <c r="T1018" s="1780"/>
      <c r="U1018" s="1780"/>
      <c r="V1018" s="1780"/>
      <c r="W1018" s="1780"/>
      <c r="X1018" s="1780"/>
      <c r="Y1018" s="1780"/>
      <c r="Z1018" s="1780"/>
      <c r="AA1018" s="1780"/>
      <c r="AB1018" s="1780"/>
      <c r="AC1018" s="1780"/>
      <c r="AD1018" s="1780"/>
      <c r="AE1018" s="1781"/>
      <c r="AF1018" s="73"/>
      <c r="AG1018" s="14"/>
      <c r="AH1018" s="14"/>
      <c r="AI1018" s="83"/>
      <c r="AJ1018" s="1773"/>
      <c r="AK1018" s="1774"/>
      <c r="AL1018" s="1774"/>
      <c r="AM1018" s="1774"/>
      <c r="AN1018" s="1774"/>
      <c r="AO1018" s="1774"/>
      <c r="AP1018" s="1774"/>
      <c r="AQ1018" s="1775"/>
      <c r="AR1018" s="68"/>
      <c r="AS1018" s="68"/>
      <c r="AT1018" s="68"/>
      <c r="AU1018" s="68"/>
      <c r="AV1018" s="68"/>
      <c r="AW1018" s="68"/>
      <c r="AX1018" s="68"/>
    </row>
    <row r="1019" spans="1:55" ht="12.95" customHeight="1">
      <c r="A1019" s="14"/>
      <c r="B1019" s="85"/>
      <c r="C1019" s="76"/>
      <c r="D1019" s="1782"/>
      <c r="E1019" s="1783"/>
      <c r="F1019" s="1783"/>
      <c r="G1019" s="1783"/>
      <c r="H1019" s="1783"/>
      <c r="I1019" s="1783"/>
      <c r="J1019" s="1783"/>
      <c r="K1019" s="1783"/>
      <c r="L1019" s="1783"/>
      <c r="M1019" s="1783"/>
      <c r="N1019" s="1783"/>
      <c r="O1019" s="1783"/>
      <c r="P1019" s="1783"/>
      <c r="Q1019" s="1783"/>
      <c r="R1019" s="1783"/>
      <c r="S1019" s="1783"/>
      <c r="T1019" s="1783"/>
      <c r="U1019" s="1783"/>
      <c r="V1019" s="1783"/>
      <c r="W1019" s="1783"/>
      <c r="X1019" s="1783"/>
      <c r="Y1019" s="1783"/>
      <c r="Z1019" s="1783"/>
      <c r="AA1019" s="1783"/>
      <c r="AB1019" s="1783"/>
      <c r="AC1019" s="1783"/>
      <c r="AD1019" s="1783"/>
      <c r="AE1019" s="1784"/>
      <c r="AF1019" s="77"/>
      <c r="AG1019" s="7"/>
      <c r="AH1019" s="7"/>
      <c r="AI1019" s="78"/>
      <c r="AJ1019" s="1785"/>
      <c r="AK1019" s="1786"/>
      <c r="AL1019" s="1786"/>
      <c r="AM1019" s="1786"/>
      <c r="AN1019" s="1786"/>
      <c r="AO1019" s="1786"/>
      <c r="AP1019" s="1786"/>
      <c r="AQ1019" s="1787"/>
      <c r="AR1019" s="68"/>
      <c r="AS1019" s="68"/>
      <c r="AT1019" s="68"/>
      <c r="AU1019" s="68"/>
      <c r="AV1019" s="68"/>
      <c r="AW1019" s="68"/>
      <c r="AX1019" s="68"/>
    </row>
    <row r="1020" spans="1:55" ht="12.95" customHeight="1">
      <c r="A1020" s="14"/>
      <c r="B1020" s="79"/>
      <c r="C1020" s="80" t="s">
        <v>212</v>
      </c>
      <c r="D1020" s="1776" t="s">
        <v>1287</v>
      </c>
      <c r="E1020" s="1777"/>
      <c r="F1020" s="1777"/>
      <c r="G1020" s="1777"/>
      <c r="H1020" s="1777"/>
      <c r="I1020" s="1777"/>
      <c r="J1020" s="1777"/>
      <c r="K1020" s="1777"/>
      <c r="L1020" s="1777"/>
      <c r="M1020" s="1777"/>
      <c r="N1020" s="1777"/>
      <c r="O1020" s="1777"/>
      <c r="P1020" s="1777"/>
      <c r="Q1020" s="1777"/>
      <c r="R1020" s="1777"/>
      <c r="S1020" s="1777"/>
      <c r="T1020" s="1777"/>
      <c r="U1020" s="1777"/>
      <c r="V1020" s="1777"/>
      <c r="W1020" s="1777"/>
      <c r="X1020" s="1777"/>
      <c r="Y1020" s="1777"/>
      <c r="Z1020" s="1777"/>
      <c r="AA1020" s="1777"/>
      <c r="AB1020" s="1777"/>
      <c r="AC1020" s="1777"/>
      <c r="AD1020" s="1777"/>
      <c r="AE1020" s="1778"/>
      <c r="AF1020" s="79"/>
      <c r="AG1020" s="1797" t="s">
        <v>669</v>
      </c>
      <c r="AH1020" s="1798"/>
      <c r="AI1020" s="87"/>
      <c r="AJ1020" s="1770">
        <f>ROUND(IF(AG1020="yes",AJ1001*0.02,0),0)</f>
        <v>0</v>
      </c>
      <c r="AK1020" s="1771"/>
      <c r="AL1020" s="1771"/>
      <c r="AM1020" s="1771"/>
      <c r="AN1020" s="1771"/>
      <c r="AO1020" s="1771"/>
      <c r="AP1020" s="1771"/>
      <c r="AQ1020" s="1772"/>
      <c r="AR1020" s="68"/>
      <c r="AS1020" s="68"/>
      <c r="AT1020" s="68"/>
      <c r="AU1020" s="68"/>
      <c r="AV1020" s="68"/>
      <c r="AW1020" s="68"/>
      <c r="AX1020" s="68"/>
    </row>
    <row r="1021" spans="1:55" ht="14.25" customHeight="1">
      <c r="A1021" s="14"/>
      <c r="B1021" s="73"/>
      <c r="C1021" s="74"/>
      <c r="D1021" s="1782" t="s">
        <v>1288</v>
      </c>
      <c r="E1021" s="1783"/>
      <c r="F1021" s="1783"/>
      <c r="G1021" s="1783"/>
      <c r="H1021" s="1783"/>
      <c r="I1021" s="1783"/>
      <c r="J1021" s="1783"/>
      <c r="K1021" s="1783"/>
      <c r="L1021" s="1783"/>
      <c r="M1021" s="1783"/>
      <c r="N1021" s="1783"/>
      <c r="O1021" s="1783"/>
      <c r="P1021" s="1783"/>
      <c r="Q1021" s="1783"/>
      <c r="R1021" s="1783"/>
      <c r="S1021" s="1783"/>
      <c r="T1021" s="1783"/>
      <c r="U1021" s="1783"/>
      <c r="V1021" s="1783"/>
      <c r="W1021" s="1783"/>
      <c r="X1021" s="1783"/>
      <c r="Y1021" s="1783"/>
      <c r="Z1021" s="1783"/>
      <c r="AA1021" s="1783"/>
      <c r="AB1021" s="1783"/>
      <c r="AC1021" s="1783"/>
      <c r="AD1021" s="1783"/>
      <c r="AE1021" s="1784"/>
      <c r="AF1021" s="77"/>
      <c r="AG1021" s="7"/>
      <c r="AH1021" s="7"/>
      <c r="AI1021" s="78"/>
      <c r="AJ1021" s="1785"/>
      <c r="AK1021" s="1786"/>
      <c r="AL1021" s="1786"/>
      <c r="AM1021" s="1786"/>
      <c r="AN1021" s="1786"/>
      <c r="AO1021" s="1786"/>
      <c r="AP1021" s="1786"/>
      <c r="AQ1021" s="1787"/>
      <c r="AR1021" s="68"/>
      <c r="AS1021" s="68"/>
      <c r="AT1021" s="68"/>
      <c r="AU1021" s="68"/>
      <c r="AV1021" s="68"/>
      <c r="AW1021" s="68"/>
      <c r="AX1021" s="3" t="s">
        <v>1818</v>
      </c>
      <c r="AZ1021" s="3" t="s">
        <v>2534</v>
      </c>
    </row>
    <row r="1022" spans="1:55" ht="12.95" customHeight="1">
      <c r="A1022" s="14"/>
      <c r="B1022" s="79"/>
      <c r="C1022" s="80" t="s">
        <v>215</v>
      </c>
      <c r="D1022" s="1776" t="s">
        <v>1289</v>
      </c>
      <c r="E1022" s="1777"/>
      <c r="F1022" s="1777"/>
      <c r="G1022" s="1777"/>
      <c r="H1022" s="1777"/>
      <c r="I1022" s="1777"/>
      <c r="J1022" s="1777"/>
      <c r="K1022" s="1777"/>
      <c r="L1022" s="1777"/>
      <c r="M1022" s="1777"/>
      <c r="N1022" s="1777"/>
      <c r="O1022" s="1777"/>
      <c r="P1022" s="1777"/>
      <c r="Q1022" s="1777"/>
      <c r="R1022" s="1777"/>
      <c r="S1022" s="1777"/>
      <c r="T1022" s="1777"/>
      <c r="U1022" s="1777"/>
      <c r="V1022" s="1777"/>
      <c r="W1022" s="1777"/>
      <c r="X1022" s="1777"/>
      <c r="Y1022" s="1777"/>
      <c r="Z1022" s="1777"/>
      <c r="AA1022" s="1777"/>
      <c r="AB1022" s="1777"/>
      <c r="AC1022" s="1777"/>
      <c r="AD1022" s="1777"/>
      <c r="AE1022" s="1778"/>
      <c r="AF1022" s="79"/>
      <c r="AG1022" s="1797" t="s">
        <v>669</v>
      </c>
      <c r="AH1022" s="1798"/>
      <c r="AI1022" s="79"/>
      <c r="AJ1022" s="1770">
        <f>ROUND(IF(AG1022="yes",AJ1001*0.02,0),0)</f>
        <v>0</v>
      </c>
      <c r="AK1022" s="1771"/>
      <c r="AL1022" s="1771"/>
      <c r="AM1022" s="1771"/>
      <c r="AN1022" s="1771"/>
      <c r="AO1022" s="1771"/>
      <c r="AP1022" s="1771"/>
      <c r="AQ1022" s="1772"/>
      <c r="AR1022" s="68"/>
      <c r="AS1022" s="68"/>
      <c r="AT1022" s="68"/>
      <c r="AU1022" s="68"/>
      <c r="AV1022" s="68"/>
      <c r="AW1022" s="68"/>
      <c r="AX1022" s="3">
        <v>1</v>
      </c>
      <c r="AY1022" s="200">
        <f>IF((_xlfn.XLOOKUP(AX1022,$C$1074:$C$1112,$A$1074:$A$1112,"",0,1))="Yes",AZ1022,0)</f>
        <v>0</v>
      </c>
      <c r="AZ1022" s="1189">
        <v>0.2</v>
      </c>
    </row>
    <row r="1023" spans="1:55" ht="12.95" customHeight="1">
      <c r="A1023" s="14"/>
      <c r="B1023" s="73"/>
      <c r="C1023" s="74"/>
      <c r="D1023" s="1779" t="s">
        <v>1290</v>
      </c>
      <c r="E1023" s="1780"/>
      <c r="F1023" s="1780"/>
      <c r="G1023" s="1780"/>
      <c r="H1023" s="1780"/>
      <c r="I1023" s="1780"/>
      <c r="J1023" s="1780"/>
      <c r="K1023" s="1780"/>
      <c r="L1023" s="1780"/>
      <c r="M1023" s="1780"/>
      <c r="N1023" s="1780"/>
      <c r="O1023" s="1780"/>
      <c r="P1023" s="1780"/>
      <c r="Q1023" s="1780"/>
      <c r="R1023" s="1780"/>
      <c r="S1023" s="1780"/>
      <c r="T1023" s="1780"/>
      <c r="U1023" s="1780"/>
      <c r="V1023" s="1780"/>
      <c r="W1023" s="1780"/>
      <c r="X1023" s="1780"/>
      <c r="Y1023" s="1780"/>
      <c r="Z1023" s="1780"/>
      <c r="AA1023" s="1780"/>
      <c r="AB1023" s="1780"/>
      <c r="AC1023" s="1780"/>
      <c r="AD1023" s="1780"/>
      <c r="AE1023" s="1781"/>
      <c r="AF1023" s="1869" t="str">
        <f>IF(AND(AG1022="yes",T212&lt;&gt;1),"The project may not be eligible for this boost","")</f>
        <v/>
      </c>
      <c r="AG1023" s="1870"/>
      <c r="AH1023" s="1870"/>
      <c r="AI1023" s="1871"/>
      <c r="AJ1023" s="1773"/>
      <c r="AK1023" s="1774"/>
      <c r="AL1023" s="1774"/>
      <c r="AM1023" s="1774"/>
      <c r="AN1023" s="1774"/>
      <c r="AO1023" s="1774"/>
      <c r="AP1023" s="1774"/>
      <c r="AQ1023" s="1775"/>
      <c r="AR1023" s="68"/>
      <c r="AS1023" s="68"/>
      <c r="AT1023" s="68"/>
      <c r="AU1023" s="68"/>
      <c r="AV1023" s="68"/>
      <c r="AW1023" s="68"/>
      <c r="AX1023" s="3">
        <v>2</v>
      </c>
      <c r="AY1023" s="200">
        <f t="shared" ref="AY1023:AY1032" si="55">IF((_xlfn.XLOOKUP(AX1023,$C$1074:$C$1112,$A$1074:$A$1112,"",0,1))="Yes",AZ1023,0)</f>
        <v>0</v>
      </c>
      <c r="AZ1023" s="1189">
        <v>0.15</v>
      </c>
    </row>
    <row r="1024" spans="1:55" ht="12.95" customHeight="1">
      <c r="A1024" s="14"/>
      <c r="B1024" s="75"/>
      <c r="C1024" s="76"/>
      <c r="D1024" s="1782"/>
      <c r="E1024" s="1783"/>
      <c r="F1024" s="1783"/>
      <c r="G1024" s="1783"/>
      <c r="H1024" s="1783"/>
      <c r="I1024" s="1783"/>
      <c r="J1024" s="1783"/>
      <c r="K1024" s="1783"/>
      <c r="L1024" s="1783"/>
      <c r="M1024" s="1783"/>
      <c r="N1024" s="1783"/>
      <c r="O1024" s="1783"/>
      <c r="P1024" s="1783"/>
      <c r="Q1024" s="1783"/>
      <c r="R1024" s="1783"/>
      <c r="S1024" s="1783"/>
      <c r="T1024" s="1783"/>
      <c r="U1024" s="1783"/>
      <c r="V1024" s="1783"/>
      <c r="W1024" s="1783"/>
      <c r="X1024" s="1783"/>
      <c r="Y1024" s="1783"/>
      <c r="Z1024" s="1783"/>
      <c r="AA1024" s="1783"/>
      <c r="AB1024" s="1783"/>
      <c r="AC1024" s="1783"/>
      <c r="AD1024" s="1783"/>
      <c r="AE1024" s="1784"/>
      <c r="AF1024" s="1872"/>
      <c r="AG1024" s="1873"/>
      <c r="AH1024" s="1873"/>
      <c r="AI1024" s="1874"/>
      <c r="AJ1024" s="1785"/>
      <c r="AK1024" s="1786"/>
      <c r="AL1024" s="1786"/>
      <c r="AM1024" s="1786"/>
      <c r="AN1024" s="1786"/>
      <c r="AO1024" s="1786"/>
      <c r="AP1024" s="1786"/>
      <c r="AQ1024" s="1787"/>
      <c r="AR1024" s="68"/>
      <c r="AS1024" s="68"/>
      <c r="AT1024" s="68"/>
      <c r="AU1024" s="68"/>
      <c r="AV1024" s="68"/>
      <c r="AW1024" s="68"/>
      <c r="AX1024" s="3">
        <v>3</v>
      </c>
      <c r="AY1024" s="200">
        <f t="shared" si="55"/>
        <v>0</v>
      </c>
      <c r="AZ1024" s="1189">
        <v>0.05</v>
      </c>
    </row>
    <row r="1025" spans="1:52" ht="12.95" customHeight="1">
      <c r="A1025" s="14"/>
      <c r="B1025" s="79"/>
      <c r="C1025" s="80" t="s">
        <v>218</v>
      </c>
      <c r="D1025" s="1749" t="s">
        <v>2191</v>
      </c>
      <c r="E1025" s="1750"/>
      <c r="F1025" s="1750"/>
      <c r="G1025" s="1750"/>
      <c r="H1025" s="1750"/>
      <c r="I1025" s="1750"/>
      <c r="J1025" s="1750"/>
      <c r="K1025" s="1750"/>
      <c r="L1025" s="1750"/>
      <c r="M1025" s="1750"/>
      <c r="N1025" s="1750"/>
      <c r="O1025" s="1750"/>
      <c r="P1025" s="1750"/>
      <c r="Q1025" s="1750"/>
      <c r="R1025" s="1750"/>
      <c r="S1025" s="1750"/>
      <c r="T1025" s="1750"/>
      <c r="U1025" s="1750"/>
      <c r="V1025" s="1750"/>
      <c r="W1025" s="1750"/>
      <c r="X1025" s="1750"/>
      <c r="Y1025" s="1750"/>
      <c r="Z1025" s="1750"/>
      <c r="AA1025" s="1750"/>
      <c r="AB1025" s="1750"/>
      <c r="AC1025" s="1750"/>
      <c r="AD1025" s="1750"/>
      <c r="AE1025" s="1751"/>
      <c r="AF1025" s="79"/>
      <c r="AG1025" s="1797" t="s">
        <v>669</v>
      </c>
      <c r="AH1025" s="1798"/>
      <c r="AI1025" s="87"/>
      <c r="AJ1025" s="1770">
        <f>IF(AG1025="yes",AJ1001*AY1033,0)</f>
        <v>0</v>
      </c>
      <c r="AK1025" s="1771"/>
      <c r="AL1025" s="1771"/>
      <c r="AM1025" s="1771"/>
      <c r="AN1025" s="1771"/>
      <c r="AO1025" s="1771"/>
      <c r="AP1025" s="1771"/>
      <c r="AQ1025" s="1772"/>
      <c r="AR1025" s="68"/>
      <c r="AS1025" s="68"/>
      <c r="AT1025" s="68"/>
      <c r="AU1025" s="68"/>
      <c r="AV1025" s="68"/>
      <c r="AW1025" s="68"/>
      <c r="AX1025" s="3">
        <v>4</v>
      </c>
      <c r="AY1025" s="200">
        <f t="shared" si="55"/>
        <v>0</v>
      </c>
      <c r="AZ1025" s="1189">
        <v>0.02</v>
      </c>
    </row>
    <row r="1026" spans="1:52" ht="12.95" customHeight="1">
      <c r="A1026" s="14"/>
      <c r="B1026" s="73"/>
      <c r="C1026" s="74"/>
      <c r="D1026" s="1779" t="s">
        <v>2600</v>
      </c>
      <c r="E1026" s="1780"/>
      <c r="F1026" s="1780"/>
      <c r="G1026" s="1780"/>
      <c r="H1026" s="1780"/>
      <c r="I1026" s="1780"/>
      <c r="J1026" s="1780"/>
      <c r="K1026" s="1780"/>
      <c r="L1026" s="1780"/>
      <c r="M1026" s="1780"/>
      <c r="N1026" s="1780"/>
      <c r="O1026" s="1780"/>
      <c r="P1026" s="1780"/>
      <c r="Q1026" s="1780"/>
      <c r="R1026" s="1780"/>
      <c r="S1026" s="1780"/>
      <c r="T1026" s="1780"/>
      <c r="U1026" s="1780"/>
      <c r="V1026" s="1780"/>
      <c r="W1026" s="1780"/>
      <c r="X1026" s="1780"/>
      <c r="Y1026" s="1780"/>
      <c r="Z1026" s="1780"/>
      <c r="AA1026" s="1780"/>
      <c r="AB1026" s="1780"/>
      <c r="AC1026" s="1780"/>
      <c r="AD1026" s="1780"/>
      <c r="AE1026" s="1781"/>
      <c r="AF1026" s="1863" t="str">
        <f>IF(AND(AG1025="Yes",AY1033=0),AY1036,"")</f>
        <v/>
      </c>
      <c r="AG1026" s="1864"/>
      <c r="AH1026" s="1864"/>
      <c r="AI1026" s="1865"/>
      <c r="AJ1026" s="1773"/>
      <c r="AK1026" s="1774"/>
      <c r="AL1026" s="1774"/>
      <c r="AM1026" s="1774"/>
      <c r="AN1026" s="1774"/>
      <c r="AO1026" s="1774"/>
      <c r="AP1026" s="1774"/>
      <c r="AQ1026" s="1775"/>
      <c r="AR1026" s="68"/>
      <c r="AS1026" s="68"/>
      <c r="AT1026" s="68"/>
      <c r="AU1026" s="68"/>
      <c r="AV1026" s="68"/>
      <c r="AW1026" s="68"/>
      <c r="AX1026" s="3">
        <v>5</v>
      </c>
      <c r="AY1026" s="200">
        <f t="shared" si="55"/>
        <v>0</v>
      </c>
      <c r="AZ1026" s="1189">
        <v>0.04</v>
      </c>
    </row>
    <row r="1027" spans="1:52" ht="12.95" customHeight="1">
      <c r="A1027" s="14"/>
      <c r="B1027" s="73"/>
      <c r="C1027" s="74"/>
      <c r="D1027" s="1779"/>
      <c r="E1027" s="1780"/>
      <c r="F1027" s="1780"/>
      <c r="G1027" s="1780"/>
      <c r="H1027" s="1780"/>
      <c r="I1027" s="1780"/>
      <c r="J1027" s="1780"/>
      <c r="K1027" s="1780"/>
      <c r="L1027" s="1780"/>
      <c r="M1027" s="1780"/>
      <c r="N1027" s="1780"/>
      <c r="O1027" s="1780"/>
      <c r="P1027" s="1780"/>
      <c r="Q1027" s="1780"/>
      <c r="R1027" s="1780"/>
      <c r="S1027" s="1780"/>
      <c r="T1027" s="1780"/>
      <c r="U1027" s="1780"/>
      <c r="V1027" s="1780"/>
      <c r="W1027" s="1780"/>
      <c r="X1027" s="1780"/>
      <c r="Y1027" s="1780"/>
      <c r="Z1027" s="1780"/>
      <c r="AA1027" s="1780"/>
      <c r="AB1027" s="1780"/>
      <c r="AC1027" s="1780"/>
      <c r="AD1027" s="1780"/>
      <c r="AE1027" s="1781"/>
      <c r="AF1027" s="1863"/>
      <c r="AG1027" s="1864"/>
      <c r="AH1027" s="1864"/>
      <c r="AI1027" s="1865"/>
      <c r="AJ1027" s="1773"/>
      <c r="AK1027" s="1774"/>
      <c r="AL1027" s="1774"/>
      <c r="AM1027" s="1774"/>
      <c r="AN1027" s="1774"/>
      <c r="AO1027" s="1774"/>
      <c r="AP1027" s="1774"/>
      <c r="AQ1027" s="1775"/>
      <c r="AR1027" s="68"/>
      <c r="AS1027" s="68"/>
      <c r="AT1027" s="68"/>
      <c r="AU1027" s="68"/>
      <c r="AV1027" s="68"/>
      <c r="AW1027" s="68"/>
      <c r="AX1027" s="3">
        <v>6</v>
      </c>
      <c r="AY1027" s="200">
        <f t="shared" si="55"/>
        <v>0</v>
      </c>
      <c r="AZ1027" s="1189">
        <v>0.04</v>
      </c>
    </row>
    <row r="1028" spans="1:52" ht="12.95" customHeight="1">
      <c r="A1028" s="14"/>
      <c r="B1028" s="81"/>
      <c r="C1028" s="82"/>
      <c r="D1028" s="1782"/>
      <c r="E1028" s="1783"/>
      <c r="F1028" s="1783"/>
      <c r="G1028" s="1783"/>
      <c r="H1028" s="1783"/>
      <c r="I1028" s="1783"/>
      <c r="J1028" s="1783"/>
      <c r="K1028" s="1783"/>
      <c r="L1028" s="1783"/>
      <c r="M1028" s="1783"/>
      <c r="N1028" s="1783"/>
      <c r="O1028" s="1783"/>
      <c r="P1028" s="1783"/>
      <c r="Q1028" s="1783"/>
      <c r="R1028" s="1783"/>
      <c r="S1028" s="1783"/>
      <c r="T1028" s="1783"/>
      <c r="U1028" s="1783"/>
      <c r="V1028" s="1783"/>
      <c r="W1028" s="1783"/>
      <c r="X1028" s="1783"/>
      <c r="Y1028" s="1783"/>
      <c r="Z1028" s="1783"/>
      <c r="AA1028" s="1783"/>
      <c r="AB1028" s="1783"/>
      <c r="AC1028" s="1783"/>
      <c r="AD1028" s="1783"/>
      <c r="AE1028" s="1784"/>
      <c r="AF1028" s="1866"/>
      <c r="AG1028" s="1867"/>
      <c r="AH1028" s="1867"/>
      <c r="AI1028" s="1868"/>
      <c r="AJ1028" s="1785"/>
      <c r="AK1028" s="1786"/>
      <c r="AL1028" s="1786"/>
      <c r="AM1028" s="1786"/>
      <c r="AN1028" s="1786"/>
      <c r="AO1028" s="1786"/>
      <c r="AP1028" s="1786"/>
      <c r="AQ1028" s="1787"/>
      <c r="AR1028" s="68"/>
      <c r="AS1028" s="68"/>
      <c r="AT1028" s="68"/>
      <c r="AU1028" s="68"/>
      <c r="AV1028" s="68"/>
      <c r="AW1028" s="68"/>
      <c r="AX1028" s="3">
        <v>7</v>
      </c>
      <c r="AY1028" s="200">
        <f t="shared" si="55"/>
        <v>0</v>
      </c>
      <c r="AZ1028" s="1189">
        <v>0.01</v>
      </c>
    </row>
    <row r="1029" spans="1:52" ht="12.95" customHeight="1">
      <c r="A1029" s="14"/>
      <c r="B1029" s="79"/>
      <c r="C1029" s="80" t="s">
        <v>223</v>
      </c>
      <c r="D1029" s="1817" t="s">
        <v>1291</v>
      </c>
      <c r="E1029" s="1818"/>
      <c r="F1029" s="1818"/>
      <c r="G1029" s="1818"/>
      <c r="H1029" s="1818"/>
      <c r="I1029" s="1818"/>
      <c r="J1029" s="1818"/>
      <c r="K1029" s="1818"/>
      <c r="L1029" s="1818"/>
      <c r="M1029" s="1818"/>
      <c r="N1029" s="1818"/>
      <c r="O1029" s="1818"/>
      <c r="P1029" s="1818"/>
      <c r="Q1029" s="1818"/>
      <c r="R1029" s="1818"/>
      <c r="S1029" s="1818"/>
      <c r="T1029" s="1818"/>
      <c r="U1029" s="1818"/>
      <c r="V1029" s="1818"/>
      <c r="W1029" s="1818"/>
      <c r="X1029" s="1818"/>
      <c r="Y1029" s="1818"/>
      <c r="Z1029" s="1818"/>
      <c r="AA1029" s="1818"/>
      <c r="AB1029" s="1818"/>
      <c r="AC1029" s="1818"/>
      <c r="AD1029" s="1818"/>
      <c r="AE1029" s="1819"/>
      <c r="AF1029" s="79"/>
      <c r="AG1029" s="1797" t="s">
        <v>669</v>
      </c>
      <c r="AH1029" s="1798"/>
      <c r="AI1029" s="87"/>
      <c r="AJ1029" s="1770">
        <f>ROUND(IF(AND(AG1029="Yes",J1033&lt;&gt;"N/A",AF1032&lt;&gt;""),MIN(AF1032,(0.15*AJ1001)),0),0)</f>
        <v>0</v>
      </c>
      <c r="AK1029" s="1771"/>
      <c r="AL1029" s="1771"/>
      <c r="AM1029" s="1771"/>
      <c r="AN1029" s="1771"/>
      <c r="AO1029" s="1771"/>
      <c r="AP1029" s="1771"/>
      <c r="AQ1029" s="1772"/>
      <c r="AR1029" s="68"/>
      <c r="AS1029" s="68"/>
      <c r="AT1029" s="68"/>
      <c r="AU1029" s="68"/>
      <c r="AV1029" s="68"/>
      <c r="AW1029" s="68"/>
      <c r="AX1029" s="3">
        <v>8</v>
      </c>
      <c r="AY1029" s="200">
        <f t="shared" si="55"/>
        <v>0</v>
      </c>
      <c r="AZ1029" s="1189">
        <v>0.01</v>
      </c>
    </row>
    <row r="1030" spans="1:52" ht="12.95" customHeight="1">
      <c r="A1030" s="14"/>
      <c r="B1030" s="81"/>
      <c r="C1030" s="84"/>
      <c r="D1030" s="1820"/>
      <c r="E1030" s="1821"/>
      <c r="F1030" s="1821"/>
      <c r="G1030" s="1821"/>
      <c r="H1030" s="1821"/>
      <c r="I1030" s="1821"/>
      <c r="J1030" s="1821"/>
      <c r="K1030" s="1821"/>
      <c r="L1030" s="1821"/>
      <c r="M1030" s="1821"/>
      <c r="N1030" s="1821"/>
      <c r="O1030" s="1821"/>
      <c r="P1030" s="1821"/>
      <c r="Q1030" s="1821"/>
      <c r="R1030" s="1821"/>
      <c r="S1030" s="1821"/>
      <c r="T1030" s="1821"/>
      <c r="U1030" s="1821"/>
      <c r="V1030" s="1821"/>
      <c r="W1030" s="1821"/>
      <c r="X1030" s="1821"/>
      <c r="Y1030" s="1821"/>
      <c r="Z1030" s="1821"/>
      <c r="AA1030" s="1821"/>
      <c r="AB1030" s="1821"/>
      <c r="AC1030" s="1821"/>
      <c r="AD1030" s="1821"/>
      <c r="AE1030" s="1822"/>
      <c r="AF1030" s="1842" t="str">
        <f>IF(AG1029="yes","Please Select Type and Enter Amount:","")</f>
        <v/>
      </c>
      <c r="AG1030" s="1843"/>
      <c r="AH1030" s="1843"/>
      <c r="AI1030" s="1844"/>
      <c r="AJ1030" s="1773"/>
      <c r="AK1030" s="1774"/>
      <c r="AL1030" s="1774"/>
      <c r="AM1030" s="1774"/>
      <c r="AN1030" s="1774"/>
      <c r="AO1030" s="1774"/>
      <c r="AP1030" s="1774"/>
      <c r="AQ1030" s="1775"/>
      <c r="AR1030" s="68"/>
      <c r="AS1030" s="68"/>
      <c r="AT1030" s="68"/>
      <c r="AU1030" s="68"/>
      <c r="AV1030" s="68"/>
      <c r="AW1030" s="68"/>
      <c r="AX1030" s="3">
        <v>9</v>
      </c>
      <c r="AY1030" s="200">
        <f t="shared" si="55"/>
        <v>0</v>
      </c>
      <c r="AZ1030" s="1189">
        <v>0.01</v>
      </c>
    </row>
    <row r="1031" spans="1:52" ht="12.95" customHeight="1">
      <c r="A1031" s="14"/>
      <c r="B1031" s="81"/>
      <c r="C1031" s="84"/>
      <c r="D1031" s="1779" t="s">
        <v>1292</v>
      </c>
      <c r="E1031" s="1780"/>
      <c r="F1031" s="1780"/>
      <c r="G1031" s="1780"/>
      <c r="H1031" s="1780"/>
      <c r="I1031" s="1780"/>
      <c r="J1031" s="1780"/>
      <c r="K1031" s="1780"/>
      <c r="L1031" s="1780"/>
      <c r="M1031" s="1780"/>
      <c r="N1031" s="1780"/>
      <c r="O1031" s="1780"/>
      <c r="P1031" s="1780"/>
      <c r="Q1031" s="1780"/>
      <c r="R1031" s="1780"/>
      <c r="S1031" s="1780"/>
      <c r="T1031" s="1780"/>
      <c r="U1031" s="1780"/>
      <c r="V1031" s="1780"/>
      <c r="W1031" s="1780"/>
      <c r="X1031" s="1780"/>
      <c r="Y1031" s="1780"/>
      <c r="Z1031" s="1780"/>
      <c r="AA1031" s="1780"/>
      <c r="AB1031" s="1780"/>
      <c r="AC1031" s="1780"/>
      <c r="AD1031" s="1780"/>
      <c r="AE1031" s="1781"/>
      <c r="AF1031" s="1842"/>
      <c r="AG1031" s="1843"/>
      <c r="AH1031" s="1843"/>
      <c r="AI1031" s="1844"/>
      <c r="AJ1031" s="1773"/>
      <c r="AK1031" s="1774"/>
      <c r="AL1031" s="1774"/>
      <c r="AM1031" s="1774"/>
      <c r="AN1031" s="1774"/>
      <c r="AO1031" s="1774"/>
      <c r="AP1031" s="1774"/>
      <c r="AQ1031" s="1775"/>
      <c r="AR1031" s="68"/>
      <c r="AS1031" s="68"/>
      <c r="AT1031" s="68"/>
      <c r="AU1031" s="68"/>
      <c r="AV1031" s="68"/>
      <c r="AW1031" s="68"/>
      <c r="AX1031" s="3">
        <v>10</v>
      </c>
      <c r="AY1031" s="200">
        <f t="shared" si="55"/>
        <v>0</v>
      </c>
      <c r="AZ1031" s="1189">
        <v>0.02</v>
      </c>
    </row>
    <row r="1032" spans="1:52" ht="12.95" customHeight="1">
      <c r="A1032" s="14"/>
      <c r="B1032" s="81"/>
      <c r="C1032" s="84"/>
      <c r="D1032" s="1779"/>
      <c r="E1032" s="1780"/>
      <c r="F1032" s="1780"/>
      <c r="G1032" s="1780"/>
      <c r="H1032" s="1780"/>
      <c r="I1032" s="1780"/>
      <c r="J1032" s="1780"/>
      <c r="K1032" s="1780"/>
      <c r="L1032" s="1780"/>
      <c r="M1032" s="1780"/>
      <c r="N1032" s="1780"/>
      <c r="O1032" s="1780"/>
      <c r="P1032" s="1780"/>
      <c r="Q1032" s="1780"/>
      <c r="R1032" s="1780"/>
      <c r="S1032" s="1780"/>
      <c r="T1032" s="1780"/>
      <c r="U1032" s="1780"/>
      <c r="V1032" s="1780"/>
      <c r="W1032" s="1780"/>
      <c r="X1032" s="1780"/>
      <c r="Y1032" s="1780"/>
      <c r="Z1032" s="1780"/>
      <c r="AA1032" s="1780"/>
      <c r="AB1032" s="1780"/>
      <c r="AC1032" s="1780"/>
      <c r="AD1032" s="1780"/>
      <c r="AE1032" s="1781"/>
      <c r="AF1032" s="1838"/>
      <c r="AG1032" s="1838"/>
      <c r="AH1032" s="1838"/>
      <c r="AI1032" s="1838"/>
      <c r="AJ1032" s="1773"/>
      <c r="AK1032" s="1774"/>
      <c r="AL1032" s="1774"/>
      <c r="AM1032" s="1774"/>
      <c r="AN1032" s="1774"/>
      <c r="AO1032" s="1774"/>
      <c r="AP1032" s="1774"/>
      <c r="AQ1032" s="1775"/>
      <c r="AR1032" s="68"/>
      <c r="AS1032" s="68"/>
      <c r="AT1032" s="68"/>
      <c r="AU1032" s="68"/>
      <c r="AV1032" s="68"/>
      <c r="AW1032" s="68"/>
      <c r="AX1032" s="3">
        <v>11</v>
      </c>
      <c r="AY1032" s="200">
        <f t="shared" si="55"/>
        <v>0</v>
      </c>
      <c r="AZ1032" s="1189">
        <v>0.02</v>
      </c>
    </row>
    <row r="1033" spans="1:52" ht="12.95" customHeight="1">
      <c r="A1033" s="14"/>
      <c r="B1033" s="81"/>
      <c r="C1033" s="84"/>
      <c r="D1033" s="526" t="s">
        <v>359</v>
      </c>
      <c r="E1033" s="90"/>
      <c r="F1033" s="90"/>
      <c r="G1033" s="104"/>
      <c r="H1033" s="104"/>
      <c r="I1033" s="49"/>
      <c r="J1033" s="1857" t="s">
        <v>591</v>
      </c>
      <c r="K1033" s="1858"/>
      <c r="L1033" s="1858"/>
      <c r="M1033" s="1858"/>
      <c r="N1033" s="1858"/>
      <c r="O1033" s="1858"/>
      <c r="P1033" s="1858"/>
      <c r="Q1033" s="1858"/>
      <c r="R1033" s="1858"/>
      <c r="S1033" s="1858"/>
      <c r="T1033" s="1858"/>
      <c r="U1033" s="1858"/>
      <c r="V1033" s="1858"/>
      <c r="W1033" s="1858"/>
      <c r="X1033" s="1858"/>
      <c r="Y1033" s="1858"/>
      <c r="Z1033" s="1858"/>
      <c r="AA1033" s="1858"/>
      <c r="AB1033" s="1858"/>
      <c r="AC1033" s="1858"/>
      <c r="AD1033" s="1858"/>
      <c r="AE1033" s="1859"/>
      <c r="AF1033" s="1838"/>
      <c r="AG1033" s="1838"/>
      <c r="AH1033" s="1838"/>
      <c r="AI1033" s="1838"/>
      <c r="AJ1033" s="1785"/>
      <c r="AK1033" s="1786"/>
      <c r="AL1033" s="1786"/>
      <c r="AM1033" s="1786"/>
      <c r="AN1033" s="1786"/>
      <c r="AO1033" s="1786"/>
      <c r="AP1033" s="1786"/>
      <c r="AQ1033" s="1787"/>
      <c r="AR1033" s="68"/>
      <c r="AS1033" s="68"/>
      <c r="AT1033" s="68"/>
      <c r="AU1033" s="68"/>
      <c r="AV1033" s="68"/>
      <c r="AW1033" s="68"/>
      <c r="AX1033" s="1027" t="s">
        <v>2533</v>
      </c>
      <c r="AY1033" s="201">
        <f>IF(SUM(AY1022:AY1032)&lt;=0.2,SUM(AY1022:AY1032),0.2)</f>
        <v>0</v>
      </c>
    </row>
    <row r="1034" spans="1:52" ht="12.95" customHeight="1">
      <c r="A1034" s="14"/>
      <c r="B1034" s="79"/>
      <c r="C1034" s="80" t="s">
        <v>229</v>
      </c>
      <c r="D1034" s="1776" t="s">
        <v>1293</v>
      </c>
      <c r="E1034" s="1777"/>
      <c r="F1034" s="1777"/>
      <c r="G1034" s="1777"/>
      <c r="H1034" s="1777"/>
      <c r="I1034" s="1777"/>
      <c r="J1034" s="1777"/>
      <c r="K1034" s="1777"/>
      <c r="L1034" s="1777"/>
      <c r="M1034" s="1777"/>
      <c r="N1034" s="1777"/>
      <c r="O1034" s="1777"/>
      <c r="P1034" s="1777"/>
      <c r="Q1034" s="1777"/>
      <c r="R1034" s="1777"/>
      <c r="S1034" s="1777"/>
      <c r="T1034" s="1777"/>
      <c r="U1034" s="1777"/>
      <c r="V1034" s="1777"/>
      <c r="W1034" s="1777"/>
      <c r="X1034" s="1777"/>
      <c r="Y1034" s="1777"/>
      <c r="Z1034" s="1777"/>
      <c r="AA1034" s="1777"/>
      <c r="AB1034" s="1777"/>
      <c r="AC1034" s="1777"/>
      <c r="AD1034" s="1777"/>
      <c r="AE1034" s="1778"/>
      <c r="AF1034" s="79"/>
      <c r="AG1034" s="1797" t="s">
        <v>669</v>
      </c>
      <c r="AH1034" s="1798"/>
      <c r="AI1034" s="87"/>
      <c r="AJ1034" s="1770">
        <f>ROUND(IF(AG1034="Yes",AF1036,0),0)</f>
        <v>0</v>
      </c>
      <c r="AK1034" s="1771"/>
      <c r="AL1034" s="1771"/>
      <c r="AM1034" s="1771"/>
      <c r="AN1034" s="1771"/>
      <c r="AO1034" s="1771"/>
      <c r="AP1034" s="1771"/>
      <c r="AQ1034" s="1772"/>
      <c r="AR1034" s="68"/>
      <c r="AS1034" s="68"/>
      <c r="AT1034" s="68"/>
      <c r="AU1034" s="68"/>
      <c r="AV1034" s="68"/>
      <c r="AW1034" s="68"/>
      <c r="AX1034" s="68"/>
      <c r="AY1034" s="68"/>
    </row>
    <row r="1035" spans="1:52" ht="12.95" customHeight="1">
      <c r="A1035" s="14"/>
      <c r="B1035" s="73"/>
      <c r="C1035" s="74"/>
      <c r="D1035" s="1779" t="s">
        <v>1679</v>
      </c>
      <c r="E1035" s="1780"/>
      <c r="F1035" s="1780"/>
      <c r="G1035" s="1780"/>
      <c r="H1035" s="1780"/>
      <c r="I1035" s="1780"/>
      <c r="J1035" s="1780"/>
      <c r="K1035" s="1780"/>
      <c r="L1035" s="1780"/>
      <c r="M1035" s="1780"/>
      <c r="N1035" s="1780"/>
      <c r="O1035" s="1780"/>
      <c r="P1035" s="1780"/>
      <c r="Q1035" s="1780"/>
      <c r="R1035" s="1780"/>
      <c r="S1035" s="1780"/>
      <c r="T1035" s="1780"/>
      <c r="U1035" s="1780"/>
      <c r="V1035" s="1780"/>
      <c r="W1035" s="1780"/>
      <c r="X1035" s="1780"/>
      <c r="Y1035" s="1780"/>
      <c r="Z1035" s="1780"/>
      <c r="AA1035" s="1780"/>
      <c r="AB1035" s="1780"/>
      <c r="AC1035" s="1780"/>
      <c r="AD1035" s="1780"/>
      <c r="AE1035" s="1781"/>
      <c r="AF1035" s="1826" t="str">
        <f>IF(AG1034="yes","Enter Amount:","")</f>
        <v/>
      </c>
      <c r="AG1035" s="1827"/>
      <c r="AH1035" s="1827"/>
      <c r="AI1035" s="1828"/>
      <c r="AJ1035" s="1773"/>
      <c r="AK1035" s="1774"/>
      <c r="AL1035" s="1774"/>
      <c r="AM1035" s="1774"/>
      <c r="AN1035" s="1774"/>
      <c r="AO1035" s="1774"/>
      <c r="AP1035" s="1774"/>
      <c r="AQ1035" s="1775"/>
      <c r="AR1035" s="68"/>
      <c r="AS1035" s="68"/>
      <c r="AT1035" s="68"/>
      <c r="AU1035" s="68"/>
      <c r="AV1035" s="68"/>
      <c r="AW1035" s="68"/>
      <c r="AX1035" s="68"/>
      <c r="AY1035" s="68"/>
    </row>
    <row r="1036" spans="1:52" ht="12.95" customHeight="1">
      <c r="A1036" s="14"/>
      <c r="B1036" s="73"/>
      <c r="C1036" s="74"/>
      <c r="D1036" s="1779"/>
      <c r="E1036" s="1780"/>
      <c r="F1036" s="1780"/>
      <c r="G1036" s="1780"/>
      <c r="H1036" s="1780"/>
      <c r="I1036" s="1780"/>
      <c r="J1036" s="1780"/>
      <c r="K1036" s="1780"/>
      <c r="L1036" s="1780"/>
      <c r="M1036" s="1780"/>
      <c r="N1036" s="1780"/>
      <c r="O1036" s="1780"/>
      <c r="P1036" s="1780"/>
      <c r="Q1036" s="1780"/>
      <c r="R1036" s="1780"/>
      <c r="S1036" s="1780"/>
      <c r="T1036" s="1780"/>
      <c r="U1036" s="1780"/>
      <c r="V1036" s="1780"/>
      <c r="W1036" s="1780"/>
      <c r="X1036" s="1780"/>
      <c r="Y1036" s="1780"/>
      <c r="Z1036" s="1780"/>
      <c r="AA1036" s="1780"/>
      <c r="AB1036" s="1780"/>
      <c r="AC1036" s="1780"/>
      <c r="AD1036" s="1780"/>
      <c r="AE1036" s="1781"/>
      <c r="AF1036" s="1838"/>
      <c r="AG1036" s="1838"/>
      <c r="AH1036" s="1838"/>
      <c r="AI1036" s="1838"/>
      <c r="AJ1036" s="1773"/>
      <c r="AK1036" s="1774"/>
      <c r="AL1036" s="1774"/>
      <c r="AM1036" s="1774"/>
      <c r="AN1036" s="1774"/>
      <c r="AO1036" s="1774"/>
      <c r="AP1036" s="1774"/>
      <c r="AQ1036" s="1775"/>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782"/>
      <c r="E1037" s="1783"/>
      <c r="F1037" s="1783"/>
      <c r="G1037" s="1783"/>
      <c r="H1037" s="1783"/>
      <c r="I1037" s="1783"/>
      <c r="J1037" s="1783"/>
      <c r="K1037" s="1783"/>
      <c r="L1037" s="1783"/>
      <c r="M1037" s="1783"/>
      <c r="N1037" s="1783"/>
      <c r="O1037" s="1783"/>
      <c r="P1037" s="1783"/>
      <c r="Q1037" s="1783"/>
      <c r="R1037" s="1783"/>
      <c r="S1037" s="1783"/>
      <c r="T1037" s="1783"/>
      <c r="U1037" s="1783"/>
      <c r="V1037" s="1783"/>
      <c r="W1037" s="1783"/>
      <c r="X1037" s="1783"/>
      <c r="Y1037" s="1783"/>
      <c r="Z1037" s="1783"/>
      <c r="AA1037" s="1783"/>
      <c r="AB1037" s="1783"/>
      <c r="AC1037" s="1783"/>
      <c r="AD1037" s="1783"/>
      <c r="AE1037" s="1784"/>
      <c r="AF1037" s="1838"/>
      <c r="AG1037" s="1838"/>
      <c r="AH1037" s="1838"/>
      <c r="AI1037" s="1838"/>
      <c r="AJ1037" s="1785"/>
      <c r="AK1037" s="1786"/>
      <c r="AL1037" s="1786"/>
      <c r="AM1037" s="1786"/>
      <c r="AN1037" s="1786"/>
      <c r="AO1037" s="1786"/>
      <c r="AP1037" s="1786"/>
      <c r="AQ1037" s="1787"/>
      <c r="AR1037" s="68"/>
      <c r="AS1037" s="68"/>
      <c r="AT1037" s="68"/>
      <c r="AU1037" s="68"/>
      <c r="AV1037" s="68"/>
      <c r="AW1037" s="68"/>
      <c r="AX1037" s="68"/>
      <c r="AY1037" s="68"/>
    </row>
    <row r="1038" spans="1:52" ht="12.95" customHeight="1">
      <c r="A1038" s="14"/>
      <c r="B1038" s="79"/>
      <c r="C1038" s="80" t="s">
        <v>234</v>
      </c>
      <c r="D1038" s="1749" t="s">
        <v>1294</v>
      </c>
      <c r="E1038" s="1750"/>
      <c r="F1038" s="1750"/>
      <c r="G1038" s="1750"/>
      <c r="H1038" s="1750"/>
      <c r="I1038" s="1750"/>
      <c r="J1038" s="1750"/>
      <c r="K1038" s="1750"/>
      <c r="L1038" s="1750"/>
      <c r="M1038" s="1750"/>
      <c r="N1038" s="1750"/>
      <c r="O1038" s="1750"/>
      <c r="P1038" s="1750"/>
      <c r="Q1038" s="1750"/>
      <c r="R1038" s="1750"/>
      <c r="S1038" s="1750"/>
      <c r="T1038" s="1750"/>
      <c r="U1038" s="1750"/>
      <c r="V1038" s="1750"/>
      <c r="W1038" s="1750"/>
      <c r="X1038" s="1750"/>
      <c r="Y1038" s="1750"/>
      <c r="Z1038" s="1750"/>
      <c r="AA1038" s="1750"/>
      <c r="AB1038" s="1750"/>
      <c r="AC1038" s="1750"/>
      <c r="AD1038" s="1750"/>
      <c r="AE1038" s="1751"/>
      <c r="AF1038" s="79"/>
      <c r="AG1038" s="1797" t="s">
        <v>669</v>
      </c>
      <c r="AH1038" s="1798"/>
      <c r="AI1038" s="87"/>
      <c r="AJ1038" s="1770">
        <f>ROUND(IF(AG1038="yes",(AJ1001*0.1),0),0)</f>
        <v>0</v>
      </c>
      <c r="AK1038" s="1771"/>
      <c r="AL1038" s="1771"/>
      <c r="AM1038" s="1771"/>
      <c r="AN1038" s="1771"/>
      <c r="AO1038" s="1771"/>
      <c r="AP1038" s="1771"/>
      <c r="AQ1038" s="1772"/>
      <c r="AR1038" s="68"/>
      <c r="AS1038" s="68"/>
      <c r="AT1038" s="68"/>
      <c r="AU1038" s="68"/>
      <c r="AV1038" s="68"/>
      <c r="AW1038" s="68"/>
      <c r="AX1038" s="68"/>
      <c r="AY1038" s="68"/>
    </row>
    <row r="1039" spans="1:52" ht="12.95" customHeight="1">
      <c r="A1039" s="14"/>
      <c r="B1039" s="73"/>
      <c r="C1039" s="74"/>
      <c r="D1039" s="1779" t="s">
        <v>1295</v>
      </c>
      <c r="E1039" s="1780"/>
      <c r="F1039" s="1780"/>
      <c r="G1039" s="1780"/>
      <c r="H1039" s="1780"/>
      <c r="I1039" s="1780"/>
      <c r="J1039" s="1780"/>
      <c r="K1039" s="1780"/>
      <c r="L1039" s="1780"/>
      <c r="M1039" s="1780"/>
      <c r="N1039" s="1780"/>
      <c r="O1039" s="1780"/>
      <c r="P1039" s="1780"/>
      <c r="Q1039" s="1780"/>
      <c r="R1039" s="1780"/>
      <c r="S1039" s="1780"/>
      <c r="T1039" s="1780"/>
      <c r="U1039" s="1780"/>
      <c r="V1039" s="1780"/>
      <c r="W1039" s="1780"/>
      <c r="X1039" s="1780"/>
      <c r="Y1039" s="1780"/>
      <c r="Z1039" s="1780"/>
      <c r="AA1039" s="1780"/>
      <c r="AB1039" s="1780"/>
      <c r="AC1039" s="1780"/>
      <c r="AD1039" s="1780"/>
      <c r="AE1039" s="1781"/>
      <c r="AF1039" s="73"/>
      <c r="AG1039" s="14"/>
      <c r="AH1039" s="14"/>
      <c r="AI1039" s="83"/>
      <c r="AJ1039" s="1773"/>
      <c r="AK1039" s="1774"/>
      <c r="AL1039" s="1774"/>
      <c r="AM1039" s="1774"/>
      <c r="AN1039" s="1774"/>
      <c r="AO1039" s="1774"/>
      <c r="AP1039" s="1774"/>
      <c r="AQ1039" s="1775"/>
      <c r="AR1039" s="68"/>
      <c r="AS1039" s="68"/>
      <c r="AT1039" s="68"/>
      <c r="AU1039" s="68"/>
      <c r="AV1039" s="68"/>
      <c r="AW1039" s="68"/>
      <c r="AX1039" s="68"/>
      <c r="AY1039" s="68"/>
    </row>
    <row r="1040" spans="1:52" ht="12.95" customHeight="1">
      <c r="A1040" s="14"/>
      <c r="B1040" s="77"/>
      <c r="C1040" s="74"/>
      <c r="D1040" s="1782"/>
      <c r="E1040" s="1783"/>
      <c r="F1040" s="1783"/>
      <c r="G1040" s="1783"/>
      <c r="H1040" s="1783"/>
      <c r="I1040" s="1783"/>
      <c r="J1040" s="1783"/>
      <c r="K1040" s="1783"/>
      <c r="L1040" s="1783"/>
      <c r="M1040" s="1783"/>
      <c r="N1040" s="1783"/>
      <c r="O1040" s="1783"/>
      <c r="P1040" s="1783"/>
      <c r="Q1040" s="1783"/>
      <c r="R1040" s="1783"/>
      <c r="S1040" s="1783"/>
      <c r="T1040" s="1783"/>
      <c r="U1040" s="1783"/>
      <c r="V1040" s="1783"/>
      <c r="W1040" s="1783"/>
      <c r="X1040" s="1783"/>
      <c r="Y1040" s="1783"/>
      <c r="Z1040" s="1783"/>
      <c r="AA1040" s="1783"/>
      <c r="AB1040" s="1783"/>
      <c r="AC1040" s="1783"/>
      <c r="AD1040" s="1783"/>
      <c r="AE1040" s="1784"/>
      <c r="AF1040" s="73"/>
      <c r="AG1040" s="14"/>
      <c r="AH1040" s="14"/>
      <c r="AI1040" s="83"/>
      <c r="AJ1040" s="1785"/>
      <c r="AK1040" s="1786"/>
      <c r="AL1040" s="1786"/>
      <c r="AM1040" s="1786"/>
      <c r="AN1040" s="1786"/>
      <c r="AO1040" s="1786"/>
      <c r="AP1040" s="1786"/>
      <c r="AQ1040" s="1787"/>
      <c r="AR1040" s="68"/>
      <c r="AS1040" s="68"/>
      <c r="AT1040" s="68"/>
      <c r="AU1040" s="68"/>
      <c r="AV1040" s="68"/>
      <c r="AW1040" s="68"/>
      <c r="AX1040" s="68"/>
      <c r="AY1040" s="68"/>
    </row>
    <row r="1041" spans="1:57" ht="12.95" customHeight="1">
      <c r="A1041" s="14"/>
      <c r="B1041" s="73"/>
      <c r="C1041" s="339" t="s">
        <v>687</v>
      </c>
      <c r="D1041" s="1776" t="s">
        <v>1675</v>
      </c>
      <c r="E1041" s="1777"/>
      <c r="F1041" s="1777"/>
      <c r="G1041" s="1777"/>
      <c r="H1041" s="1777"/>
      <c r="I1041" s="1777"/>
      <c r="J1041" s="1777"/>
      <c r="K1041" s="1777"/>
      <c r="L1041" s="1777"/>
      <c r="M1041" s="1777"/>
      <c r="N1041" s="1777"/>
      <c r="O1041" s="1777"/>
      <c r="P1041" s="1777"/>
      <c r="Q1041" s="1777"/>
      <c r="R1041" s="1777"/>
      <c r="S1041" s="1777"/>
      <c r="T1041" s="1777"/>
      <c r="U1041" s="1777"/>
      <c r="V1041" s="1777"/>
      <c r="W1041" s="1777"/>
      <c r="X1041" s="1777"/>
      <c r="Y1041" s="1777"/>
      <c r="Z1041" s="1777"/>
      <c r="AA1041" s="1777"/>
      <c r="AB1041" s="1777"/>
      <c r="AC1041" s="1777"/>
      <c r="AD1041" s="1777"/>
      <c r="AE1041" s="1778"/>
      <c r="AF1041" s="79"/>
      <c r="AG1041" s="1797" t="s">
        <v>669</v>
      </c>
      <c r="AH1041" s="1798"/>
      <c r="AI1041" s="87"/>
      <c r="AJ1041" s="1770">
        <f>ROUND(IF(AG1041="yes",(AJ1001*0.15),0),0)</f>
        <v>0</v>
      </c>
      <c r="AK1041" s="1771"/>
      <c r="AL1041" s="1771"/>
      <c r="AM1041" s="1771"/>
      <c r="AN1041" s="1771"/>
      <c r="AO1041" s="1771"/>
      <c r="AP1041" s="1771"/>
      <c r="AQ1041" s="1772"/>
      <c r="AR1041" s="68"/>
      <c r="AS1041" s="68"/>
      <c r="AT1041" s="68"/>
      <c r="AU1041" s="68"/>
      <c r="AV1041" s="68"/>
      <c r="AW1041" s="68"/>
      <c r="AX1041" s="68"/>
      <c r="AY1041" s="68"/>
    </row>
    <row r="1042" spans="1:57" ht="12.95" customHeight="1">
      <c r="A1042" s="14"/>
      <c r="B1042" s="73"/>
      <c r="C1042" s="74"/>
      <c r="D1042" s="1799" t="s">
        <v>1676</v>
      </c>
      <c r="E1042" s="1274"/>
      <c r="F1042" s="1274"/>
      <c r="G1042" s="1274"/>
      <c r="H1042" s="1274"/>
      <c r="I1042" s="1274"/>
      <c r="J1042" s="1274"/>
      <c r="K1042" s="1274"/>
      <c r="L1042" s="1274"/>
      <c r="M1042" s="1274"/>
      <c r="N1042" s="1274"/>
      <c r="O1042" s="1274"/>
      <c r="P1042" s="1274"/>
      <c r="Q1042" s="1274"/>
      <c r="R1042" s="1274"/>
      <c r="S1042" s="1274"/>
      <c r="T1042" s="1274"/>
      <c r="U1042" s="1274"/>
      <c r="V1042" s="1274"/>
      <c r="W1042" s="1274"/>
      <c r="X1042" s="1274"/>
      <c r="Y1042" s="1274"/>
      <c r="Z1042" s="1274"/>
      <c r="AA1042" s="1274"/>
      <c r="AB1042" s="1274"/>
      <c r="AC1042" s="1274"/>
      <c r="AD1042" s="1274"/>
      <c r="AE1042" s="1800"/>
      <c r="AF1042" s="911"/>
      <c r="AG1042" s="912"/>
      <c r="AH1042" s="912"/>
      <c r="AI1042" s="913"/>
      <c r="AJ1042" s="1773"/>
      <c r="AK1042" s="1774"/>
      <c r="AL1042" s="1774"/>
      <c r="AM1042" s="1774"/>
      <c r="AN1042" s="1774"/>
      <c r="AO1042" s="1774"/>
      <c r="AP1042" s="1774"/>
      <c r="AQ1042" s="1775"/>
      <c r="AR1042" s="68"/>
      <c r="AS1042" s="68"/>
      <c r="AT1042" s="68"/>
      <c r="AU1042" s="68"/>
      <c r="AV1042" s="68"/>
      <c r="AW1042" s="68"/>
      <c r="AX1042" s="68"/>
      <c r="AY1042" s="68"/>
    </row>
    <row r="1043" spans="1:57" ht="12.95" customHeight="1">
      <c r="A1043" s="14"/>
      <c r="B1043" s="73"/>
      <c r="C1043" s="74"/>
      <c r="D1043" s="1799"/>
      <c r="E1043" s="1274"/>
      <c r="F1043" s="1274"/>
      <c r="G1043" s="1274"/>
      <c r="H1043" s="1274"/>
      <c r="I1043" s="1274"/>
      <c r="J1043" s="1274"/>
      <c r="K1043" s="1274"/>
      <c r="L1043" s="1274"/>
      <c r="M1043" s="1274"/>
      <c r="N1043" s="1274"/>
      <c r="O1043" s="1274"/>
      <c r="P1043" s="1274"/>
      <c r="Q1043" s="1274"/>
      <c r="R1043" s="1274"/>
      <c r="S1043" s="1274"/>
      <c r="T1043" s="1274"/>
      <c r="U1043" s="1274"/>
      <c r="V1043" s="1274"/>
      <c r="W1043" s="1274"/>
      <c r="X1043" s="1274"/>
      <c r="Y1043" s="1274"/>
      <c r="Z1043" s="1274"/>
      <c r="AA1043" s="1274"/>
      <c r="AB1043" s="1274"/>
      <c r="AC1043" s="1274"/>
      <c r="AD1043" s="1274"/>
      <c r="AE1043" s="1800"/>
      <c r="AF1043" s="911"/>
      <c r="AG1043" s="912"/>
      <c r="AH1043" s="912"/>
      <c r="AI1043" s="913"/>
      <c r="AJ1043" s="1773"/>
      <c r="AK1043" s="1774"/>
      <c r="AL1043" s="1774"/>
      <c r="AM1043" s="1774"/>
      <c r="AN1043" s="1774"/>
      <c r="AO1043" s="1774"/>
      <c r="AP1043" s="1774"/>
      <c r="AQ1043" s="1775"/>
      <c r="AR1043" s="68"/>
      <c r="AS1043" s="68"/>
      <c r="AT1043" s="68"/>
      <c r="AU1043" s="68"/>
      <c r="AV1043" s="68"/>
      <c r="AW1043" s="68"/>
      <c r="AX1043" s="68"/>
      <c r="AY1043" s="68"/>
    </row>
    <row r="1044" spans="1:57" ht="12.95" customHeight="1">
      <c r="A1044" s="14"/>
      <c r="B1044" s="73"/>
      <c r="C1044" s="74"/>
      <c r="D1044" s="1801"/>
      <c r="E1044" s="1802"/>
      <c r="F1044" s="1802"/>
      <c r="G1044" s="1802"/>
      <c r="H1044" s="1802"/>
      <c r="I1044" s="1802"/>
      <c r="J1044" s="1802"/>
      <c r="K1044" s="1802"/>
      <c r="L1044" s="1802"/>
      <c r="M1044" s="1802"/>
      <c r="N1044" s="1802"/>
      <c r="O1044" s="1802"/>
      <c r="P1044" s="1802"/>
      <c r="Q1044" s="1802"/>
      <c r="R1044" s="1802"/>
      <c r="S1044" s="1802"/>
      <c r="T1044" s="1802"/>
      <c r="U1044" s="1802"/>
      <c r="V1044" s="1802"/>
      <c r="W1044" s="1802"/>
      <c r="X1044" s="1802"/>
      <c r="Y1044" s="1802"/>
      <c r="Z1044" s="1802"/>
      <c r="AA1044" s="1802"/>
      <c r="AB1044" s="1802"/>
      <c r="AC1044" s="1802"/>
      <c r="AD1044" s="1802"/>
      <c r="AE1044" s="1803"/>
      <c r="AF1044" s="914"/>
      <c r="AG1044" s="915"/>
      <c r="AH1044" s="915"/>
      <c r="AI1044" s="916"/>
      <c r="AJ1044" s="1785"/>
      <c r="AK1044" s="1786"/>
      <c r="AL1044" s="1786"/>
      <c r="AM1044" s="1786"/>
      <c r="AN1044" s="1786"/>
      <c r="AO1044" s="1786"/>
      <c r="AP1044" s="1786"/>
      <c r="AQ1044" s="1787"/>
      <c r="AR1044" s="68"/>
      <c r="AS1044" s="68"/>
      <c r="AT1044" s="68"/>
      <c r="AU1044" s="68"/>
      <c r="AV1044" s="68"/>
      <c r="AW1044" s="68"/>
      <c r="AX1044" s="68"/>
      <c r="AY1044" s="68"/>
    </row>
    <row r="1045" spans="1:57" ht="12.95" customHeight="1">
      <c r="A1045" s="14"/>
      <c r="B1045" s="73"/>
      <c r="C1045" s="339" t="s">
        <v>687</v>
      </c>
      <c r="D1045" s="1749" t="s">
        <v>1677</v>
      </c>
      <c r="E1045" s="1750"/>
      <c r="F1045" s="1750"/>
      <c r="G1045" s="1750"/>
      <c r="H1045" s="1750"/>
      <c r="I1045" s="1750"/>
      <c r="J1045" s="1750"/>
      <c r="K1045" s="1750"/>
      <c r="L1045" s="1750"/>
      <c r="M1045" s="1750"/>
      <c r="N1045" s="1750"/>
      <c r="O1045" s="1750"/>
      <c r="P1045" s="1750"/>
      <c r="Q1045" s="1750"/>
      <c r="R1045" s="1750"/>
      <c r="S1045" s="1750"/>
      <c r="T1045" s="1750"/>
      <c r="U1045" s="1750"/>
      <c r="V1045" s="1750"/>
      <c r="W1045" s="1750"/>
      <c r="X1045" s="1750"/>
      <c r="Y1045" s="1750"/>
      <c r="Z1045" s="1750"/>
      <c r="AA1045" s="1750"/>
      <c r="AB1045" s="1750"/>
      <c r="AC1045" s="1750"/>
      <c r="AD1045" s="1750"/>
      <c r="AE1045" s="1751"/>
      <c r="AF1045" s="73"/>
      <c r="AG1045" s="1806" t="s">
        <v>669</v>
      </c>
      <c r="AH1045" s="1807"/>
      <c r="AI1045" s="83"/>
      <c r="AJ1045" s="1770">
        <f>ROUND(IF(AND(AG1045="yes",AJ1041=0),(AJ1001*0.1),0),0)</f>
        <v>0</v>
      </c>
      <c r="AK1045" s="1771"/>
      <c r="AL1045" s="1771"/>
      <c r="AM1045" s="1771"/>
      <c r="AN1045" s="1771"/>
      <c r="AO1045" s="1771"/>
      <c r="AP1045" s="1771"/>
      <c r="AQ1045" s="1772"/>
      <c r="AR1045" s="68"/>
      <c r="AS1045" s="68"/>
      <c r="AT1045" s="68"/>
      <c r="AU1045" s="68"/>
      <c r="AV1045" s="68"/>
      <c r="AW1045" s="68"/>
      <c r="AX1045" s="68"/>
      <c r="AY1045" s="68"/>
    </row>
    <row r="1046" spans="1:57" ht="12.95" customHeight="1">
      <c r="A1046" s="14"/>
      <c r="B1046" s="73"/>
      <c r="C1046" s="74"/>
      <c r="D1046" s="1799" t="s">
        <v>1678</v>
      </c>
      <c r="E1046" s="1274"/>
      <c r="F1046" s="1274"/>
      <c r="G1046" s="1274"/>
      <c r="H1046" s="1274"/>
      <c r="I1046" s="1274"/>
      <c r="J1046" s="1274"/>
      <c r="K1046" s="1274"/>
      <c r="L1046" s="1274"/>
      <c r="M1046" s="1274"/>
      <c r="N1046" s="1274"/>
      <c r="O1046" s="1274"/>
      <c r="P1046" s="1274"/>
      <c r="Q1046" s="1274"/>
      <c r="R1046" s="1274"/>
      <c r="S1046" s="1274"/>
      <c r="T1046" s="1274"/>
      <c r="U1046" s="1274"/>
      <c r="V1046" s="1274"/>
      <c r="W1046" s="1274"/>
      <c r="X1046" s="1274"/>
      <c r="Y1046" s="1274"/>
      <c r="Z1046" s="1274"/>
      <c r="AA1046" s="1274"/>
      <c r="AB1046" s="1274"/>
      <c r="AC1046" s="1274"/>
      <c r="AD1046" s="1274"/>
      <c r="AE1046" s="1800"/>
      <c r="AF1046" s="73"/>
      <c r="AG1046" s="14"/>
      <c r="AH1046" s="14"/>
      <c r="AI1046" s="83"/>
      <c r="AJ1046" s="1773"/>
      <c r="AK1046" s="1774"/>
      <c r="AL1046" s="1774"/>
      <c r="AM1046" s="1774"/>
      <c r="AN1046" s="1774"/>
      <c r="AO1046" s="1774"/>
      <c r="AP1046" s="1774"/>
      <c r="AQ1046" s="1775"/>
      <c r="AR1046" s="68"/>
      <c r="AS1046" s="68"/>
      <c r="AT1046" s="68"/>
      <c r="AU1046" s="68"/>
      <c r="AV1046" s="68"/>
      <c r="AW1046" s="68"/>
      <c r="AX1046" s="68"/>
      <c r="AY1046" s="68"/>
    </row>
    <row r="1047" spans="1:57" ht="12.95" customHeight="1">
      <c r="A1047" s="14"/>
      <c r="B1047" s="73"/>
      <c r="C1047" s="74"/>
      <c r="D1047" s="1799"/>
      <c r="E1047" s="1274"/>
      <c r="F1047" s="1274"/>
      <c r="G1047" s="1274"/>
      <c r="H1047" s="1274"/>
      <c r="I1047" s="1274"/>
      <c r="J1047" s="1274"/>
      <c r="K1047" s="1274"/>
      <c r="L1047" s="1274"/>
      <c r="M1047" s="1274"/>
      <c r="N1047" s="1274"/>
      <c r="O1047" s="1274"/>
      <c r="P1047" s="1274"/>
      <c r="Q1047" s="1274"/>
      <c r="R1047" s="1274"/>
      <c r="S1047" s="1274"/>
      <c r="T1047" s="1274"/>
      <c r="U1047" s="1274"/>
      <c r="V1047" s="1274"/>
      <c r="W1047" s="1274"/>
      <c r="X1047" s="1274"/>
      <c r="Y1047" s="1274"/>
      <c r="Z1047" s="1274"/>
      <c r="AA1047" s="1274"/>
      <c r="AB1047" s="1274"/>
      <c r="AC1047" s="1274"/>
      <c r="AD1047" s="1274"/>
      <c r="AE1047" s="1800"/>
      <c r="AF1047" s="73"/>
      <c r="AG1047" s="14"/>
      <c r="AH1047" s="14"/>
      <c r="AI1047" s="83"/>
      <c r="AJ1047" s="1773"/>
      <c r="AK1047" s="1774"/>
      <c r="AL1047" s="1774"/>
      <c r="AM1047" s="1774"/>
      <c r="AN1047" s="1774"/>
      <c r="AO1047" s="1774"/>
      <c r="AP1047" s="1774"/>
      <c r="AQ1047" s="1775"/>
      <c r="AR1047" s="68"/>
      <c r="AS1047" s="68"/>
      <c r="AT1047" s="68"/>
      <c r="AU1047" s="68"/>
      <c r="AV1047" s="68"/>
      <c r="AW1047" s="68"/>
      <c r="AX1047" s="68"/>
      <c r="AY1047" s="68"/>
      <c r="BA1047" s="1176">
        <f>IFERROR(('Sources and Uses Budget'!$C$17+'Sources and Uses Budget'!$C$18+'Sources and Uses Budget'!$C$22)/$AG$446,0)</f>
        <v>120020</v>
      </c>
      <c r="BB1047" s="1176" t="s">
        <v>2421</v>
      </c>
      <c r="BC1047" s="1176"/>
      <c r="BD1047" s="1176"/>
      <c r="BE1047" s="1176"/>
    </row>
    <row r="1048" spans="1:57" ht="12.95" customHeight="1">
      <c r="A1048" s="14"/>
      <c r="B1048" s="73"/>
      <c r="C1048" s="74"/>
      <c r="D1048" s="1799"/>
      <c r="E1048" s="1274"/>
      <c r="F1048" s="1274"/>
      <c r="G1048" s="1274"/>
      <c r="H1048" s="1274"/>
      <c r="I1048" s="1274"/>
      <c r="J1048" s="1274"/>
      <c r="K1048" s="1274"/>
      <c r="L1048" s="1274"/>
      <c r="M1048" s="1274"/>
      <c r="N1048" s="1274"/>
      <c r="O1048" s="1274"/>
      <c r="P1048" s="1274"/>
      <c r="Q1048" s="1274"/>
      <c r="R1048" s="1274"/>
      <c r="S1048" s="1274"/>
      <c r="T1048" s="1274"/>
      <c r="U1048" s="1274"/>
      <c r="V1048" s="1274"/>
      <c r="W1048" s="1274"/>
      <c r="X1048" s="1274"/>
      <c r="Y1048" s="1274"/>
      <c r="Z1048" s="1274"/>
      <c r="AA1048" s="1274"/>
      <c r="AB1048" s="1274"/>
      <c r="AC1048" s="1274"/>
      <c r="AD1048" s="1274"/>
      <c r="AE1048" s="1800"/>
      <c r="AF1048" s="73"/>
      <c r="AG1048" s="14"/>
      <c r="AH1048" s="14"/>
      <c r="AI1048" s="83"/>
      <c r="AJ1048" s="1773"/>
      <c r="AK1048" s="1774"/>
      <c r="AL1048" s="1774"/>
      <c r="AM1048" s="1774"/>
      <c r="AN1048" s="1774"/>
      <c r="AO1048" s="1774"/>
      <c r="AP1048" s="1774"/>
      <c r="AQ1048" s="1775"/>
      <c r="AR1048" s="68"/>
      <c r="AS1048" s="68"/>
      <c r="AT1048" s="68"/>
      <c r="AU1048" s="68"/>
      <c r="AV1048" s="68"/>
      <c r="AW1048" s="68"/>
      <c r="AX1048" s="68"/>
      <c r="AY1048" s="68"/>
      <c r="BA1048">
        <f>IFERROR((($CI$761+$CM$761)/$AG$449),0)</f>
        <v>0.20779220779220781</v>
      </c>
      <c r="BB1048" s="3" t="s">
        <v>2425</v>
      </c>
    </row>
    <row r="1049" spans="1:57" ht="12.95" customHeight="1">
      <c r="A1049" s="14"/>
      <c r="B1049" s="73"/>
      <c r="C1049" s="74"/>
      <c r="D1049" s="1801"/>
      <c r="E1049" s="1802"/>
      <c r="F1049" s="1802"/>
      <c r="G1049" s="1802"/>
      <c r="H1049" s="1802"/>
      <c r="I1049" s="1802"/>
      <c r="J1049" s="1802"/>
      <c r="K1049" s="1802"/>
      <c r="L1049" s="1802"/>
      <c r="M1049" s="1802"/>
      <c r="N1049" s="1802"/>
      <c r="O1049" s="1802"/>
      <c r="P1049" s="1802"/>
      <c r="Q1049" s="1802"/>
      <c r="R1049" s="1802"/>
      <c r="S1049" s="1802"/>
      <c r="T1049" s="1802"/>
      <c r="U1049" s="1802"/>
      <c r="V1049" s="1802"/>
      <c r="W1049" s="1802"/>
      <c r="X1049" s="1802"/>
      <c r="Y1049" s="1802"/>
      <c r="Z1049" s="1802"/>
      <c r="AA1049" s="1802"/>
      <c r="AB1049" s="1802"/>
      <c r="AC1049" s="1802"/>
      <c r="AD1049" s="1802"/>
      <c r="AE1049" s="1803"/>
      <c r="AF1049" s="73"/>
      <c r="AG1049" s="14"/>
      <c r="AH1049" s="14"/>
      <c r="AI1049" s="83"/>
      <c r="AJ1049" s="1773"/>
      <c r="AK1049" s="1774"/>
      <c r="AL1049" s="1774"/>
      <c r="AM1049" s="1774"/>
      <c r="AN1049" s="1774"/>
      <c r="AO1049" s="1774"/>
      <c r="AP1049" s="1774"/>
      <c r="AQ1049" s="1775"/>
      <c r="AR1049" s="68"/>
      <c r="AS1049" s="68"/>
      <c r="AT1049" s="68"/>
      <c r="AU1049" s="68"/>
      <c r="AV1049" s="68"/>
      <c r="AW1049" s="68"/>
      <c r="AX1049" s="68"/>
      <c r="AY1049" s="68"/>
      <c r="BA1049" t="b">
        <f>'Points System'!AJ163="Yes"</f>
        <v>0</v>
      </c>
      <c r="BB1049" s="3" t="s">
        <v>2422</v>
      </c>
    </row>
    <row r="1050" spans="1:57" ht="12.95" customHeight="1">
      <c r="A1050" s="14"/>
      <c r="B1050" s="79"/>
      <c r="C1050" s="131" t="s">
        <v>1010</v>
      </c>
      <c r="D1050" s="1776" t="s">
        <v>1296</v>
      </c>
      <c r="E1050" s="1777"/>
      <c r="F1050" s="1777"/>
      <c r="G1050" s="1777"/>
      <c r="H1050" s="1777"/>
      <c r="I1050" s="1777"/>
      <c r="J1050" s="1777"/>
      <c r="K1050" s="1777"/>
      <c r="L1050" s="1777"/>
      <c r="M1050" s="1777"/>
      <c r="N1050" s="1777"/>
      <c r="O1050" s="1777"/>
      <c r="P1050" s="1777"/>
      <c r="Q1050" s="1777"/>
      <c r="R1050" s="1777"/>
      <c r="S1050" s="1777"/>
      <c r="T1050" s="1777"/>
      <c r="U1050" s="1777"/>
      <c r="V1050" s="1777"/>
      <c r="W1050" s="1777"/>
      <c r="X1050" s="1777"/>
      <c r="Y1050" s="1777"/>
      <c r="Z1050" s="1777"/>
      <c r="AA1050" s="1777"/>
      <c r="AB1050" s="1777"/>
      <c r="AC1050" s="1777"/>
      <c r="AD1050" s="1777"/>
      <c r="AE1050" s="1778"/>
      <c r="AF1050" s="79"/>
      <c r="AG1050" s="1797" t="s">
        <v>669</v>
      </c>
      <c r="AH1050" s="1798"/>
      <c r="AI1050" s="87"/>
      <c r="AJ1050" s="1770">
        <f>ROUND(IF(AG1050="yes",(AJ1001*0.1),0),0)</f>
        <v>0</v>
      </c>
      <c r="AK1050" s="1771"/>
      <c r="AL1050" s="1771"/>
      <c r="AM1050" s="1771"/>
      <c r="AN1050" s="1771"/>
      <c r="AO1050" s="1771"/>
      <c r="AP1050" s="1771"/>
      <c r="AQ1050" s="1772"/>
      <c r="AR1050" s="68"/>
      <c r="AS1050" s="68"/>
      <c r="AT1050" s="68"/>
      <c r="AU1050" s="68"/>
      <c r="AV1050" s="68"/>
      <c r="AW1050" s="68"/>
      <c r="AX1050" s="68"/>
      <c r="AY1050" s="68"/>
      <c r="BA1050">
        <f>Q212</f>
        <v>0</v>
      </c>
      <c r="BB1050" s="3" t="s">
        <v>2423</v>
      </c>
    </row>
    <row r="1051" spans="1:57" ht="12.95" customHeight="1">
      <c r="A1051" s="14"/>
      <c r="B1051" s="73"/>
      <c r="C1051" s="74"/>
      <c r="D1051" s="1779" t="s">
        <v>2100</v>
      </c>
      <c r="E1051" s="1780"/>
      <c r="F1051" s="1780"/>
      <c r="G1051" s="1780"/>
      <c r="H1051" s="1780"/>
      <c r="I1051" s="1780"/>
      <c r="J1051" s="1780"/>
      <c r="K1051" s="1780"/>
      <c r="L1051" s="1780"/>
      <c r="M1051" s="1780"/>
      <c r="N1051" s="1780"/>
      <c r="O1051" s="1780"/>
      <c r="P1051" s="1780"/>
      <c r="Q1051" s="1780"/>
      <c r="R1051" s="1780"/>
      <c r="S1051" s="1780"/>
      <c r="T1051" s="1780"/>
      <c r="U1051" s="1780"/>
      <c r="V1051" s="1780"/>
      <c r="W1051" s="1780"/>
      <c r="X1051" s="1780"/>
      <c r="Y1051" s="1780"/>
      <c r="Z1051" s="1780"/>
      <c r="AA1051" s="1780"/>
      <c r="AB1051" s="1780"/>
      <c r="AC1051" s="1780"/>
      <c r="AD1051" s="1780"/>
      <c r="AE1051" s="1781"/>
      <c r="AF1051" s="73"/>
      <c r="AG1051" s="14"/>
      <c r="AH1051" s="14"/>
      <c r="AI1051" s="83"/>
      <c r="AJ1051" s="1773"/>
      <c r="AK1051" s="1774"/>
      <c r="AL1051" s="1774"/>
      <c r="AM1051" s="1774"/>
      <c r="AN1051" s="1774"/>
      <c r="AO1051" s="1774"/>
      <c r="AP1051" s="1774"/>
      <c r="AQ1051" s="1775"/>
      <c r="AR1051" s="68"/>
      <c r="AS1051" s="68"/>
      <c r="AT1051" s="68"/>
      <c r="AU1051" s="68"/>
      <c r="AV1051" s="68"/>
      <c r="AW1051" s="68"/>
      <c r="AX1051" s="68"/>
      <c r="AY1051" s="68"/>
      <c r="BA1051" s="1177">
        <f>T212</f>
        <v>0</v>
      </c>
      <c r="BB1051" s="3" t="s">
        <v>2424</v>
      </c>
    </row>
    <row r="1052" spans="1:57" ht="12.95" customHeight="1">
      <c r="A1052" s="14"/>
      <c r="B1052" s="73"/>
      <c r="C1052" s="74"/>
      <c r="D1052" s="1779"/>
      <c r="E1052" s="1780"/>
      <c r="F1052" s="1780"/>
      <c r="G1052" s="1780"/>
      <c r="H1052" s="1780"/>
      <c r="I1052" s="1780"/>
      <c r="J1052" s="1780"/>
      <c r="K1052" s="1780"/>
      <c r="L1052" s="1780"/>
      <c r="M1052" s="1780"/>
      <c r="N1052" s="1780"/>
      <c r="O1052" s="1780"/>
      <c r="P1052" s="1780"/>
      <c r="Q1052" s="1780"/>
      <c r="R1052" s="1780"/>
      <c r="S1052" s="1780"/>
      <c r="T1052" s="1780"/>
      <c r="U1052" s="1780"/>
      <c r="V1052" s="1780"/>
      <c r="W1052" s="1780"/>
      <c r="X1052" s="1780"/>
      <c r="Y1052" s="1780"/>
      <c r="Z1052" s="1780"/>
      <c r="AA1052" s="1780"/>
      <c r="AB1052" s="1780"/>
      <c r="AC1052" s="1780"/>
      <c r="AD1052" s="1780"/>
      <c r="AE1052" s="1781"/>
      <c r="AF1052" s="73"/>
      <c r="AG1052" s="14"/>
      <c r="AH1052" s="14"/>
      <c r="AI1052" s="83"/>
      <c r="AJ1052" s="1773"/>
      <c r="AK1052" s="1774"/>
      <c r="AL1052" s="1774"/>
      <c r="AM1052" s="1774"/>
      <c r="AN1052" s="1774"/>
      <c r="AO1052" s="1774"/>
      <c r="AP1052" s="1774"/>
      <c r="AQ1052" s="1775"/>
      <c r="AR1052" s="68"/>
      <c r="AS1052" s="68"/>
      <c r="AT1052" s="68"/>
      <c r="AU1052" s="68"/>
      <c r="AV1052" s="68"/>
      <c r="AW1052" s="68"/>
      <c r="AX1052" s="68"/>
      <c r="AY1052" s="68"/>
    </row>
    <row r="1053" spans="1:57" ht="12.95" customHeight="1">
      <c r="A1053" s="14"/>
      <c r="B1053" s="73"/>
      <c r="C1053" s="74"/>
      <c r="D1053" s="1782"/>
      <c r="E1053" s="1783"/>
      <c r="F1053" s="1783"/>
      <c r="G1053" s="1783"/>
      <c r="H1053" s="1783"/>
      <c r="I1053" s="1783"/>
      <c r="J1053" s="1783"/>
      <c r="K1053" s="1783"/>
      <c r="L1053" s="1783"/>
      <c r="M1053" s="1783"/>
      <c r="N1053" s="1783"/>
      <c r="O1053" s="1783"/>
      <c r="P1053" s="1783"/>
      <c r="Q1053" s="1783"/>
      <c r="R1053" s="1783"/>
      <c r="S1053" s="1783"/>
      <c r="T1053" s="1783"/>
      <c r="U1053" s="1783"/>
      <c r="V1053" s="1783"/>
      <c r="W1053" s="1783"/>
      <c r="X1053" s="1783"/>
      <c r="Y1053" s="1783"/>
      <c r="Z1053" s="1783"/>
      <c r="AA1053" s="1783"/>
      <c r="AB1053" s="1783"/>
      <c r="AC1053" s="1783"/>
      <c r="AD1053" s="1783"/>
      <c r="AE1053" s="1784"/>
      <c r="AF1053" s="73"/>
      <c r="AG1053" s="14"/>
      <c r="AH1053" s="14"/>
      <c r="AI1053" s="83"/>
      <c r="AJ1053" s="1785"/>
      <c r="AK1053" s="1786"/>
      <c r="AL1053" s="1786"/>
      <c r="AM1053" s="1786"/>
      <c r="AN1053" s="1786"/>
      <c r="AO1053" s="1786"/>
      <c r="AP1053" s="1786"/>
      <c r="AQ1053" s="1787"/>
      <c r="AR1053" s="68"/>
      <c r="AS1053" s="68"/>
      <c r="AT1053" s="68"/>
      <c r="AU1053" s="68"/>
      <c r="AV1053" s="68"/>
      <c r="AW1053" s="68"/>
      <c r="AX1053" s="68"/>
      <c r="AY1053" s="68"/>
    </row>
    <row r="1054" spans="1:57" ht="12.95" customHeight="1">
      <c r="A1054" s="14"/>
      <c r="B1054" s="79"/>
      <c r="C1054" s="131" t="s">
        <v>1673</v>
      </c>
      <c r="D1054" s="1749" t="s">
        <v>1839</v>
      </c>
      <c r="E1054" s="1750"/>
      <c r="F1054" s="1750"/>
      <c r="G1054" s="1750"/>
      <c r="H1054" s="1750"/>
      <c r="I1054" s="1750"/>
      <c r="J1054" s="1750"/>
      <c r="K1054" s="1750"/>
      <c r="L1054" s="1750"/>
      <c r="M1054" s="1750"/>
      <c r="N1054" s="1750"/>
      <c r="O1054" s="1750"/>
      <c r="P1054" s="1750"/>
      <c r="Q1054" s="1750"/>
      <c r="R1054" s="1750"/>
      <c r="S1054" s="1750"/>
      <c r="T1054" s="1750"/>
      <c r="U1054" s="1750"/>
      <c r="V1054" s="1750"/>
      <c r="W1054" s="1750"/>
      <c r="X1054" s="1750"/>
      <c r="Y1054" s="1750"/>
      <c r="Z1054" s="1750"/>
      <c r="AA1054" s="1750"/>
      <c r="AB1054" s="1750"/>
      <c r="AC1054" s="1750"/>
      <c r="AD1054" s="1750"/>
      <c r="AE1054" s="1751"/>
      <c r="AF1054" s="79"/>
      <c r="AG1054" s="1804" t="str">
        <f>IF(X1057&gt;0,"Yes","No")</f>
        <v>Yes</v>
      </c>
      <c r="AH1054" s="1805"/>
      <c r="AI1054" s="87"/>
      <c r="AJ1054" s="1770">
        <f>IF((X1057=0),0,AY1014*AJ1001)</f>
        <v>5057920</v>
      </c>
      <c r="AK1054" s="1771"/>
      <c r="AL1054" s="1771"/>
      <c r="AM1054" s="1771"/>
      <c r="AN1054" s="1771"/>
      <c r="AO1054" s="1771"/>
      <c r="AP1054" s="1771"/>
      <c r="AQ1054" s="1772"/>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2410</v>
      </c>
      <c r="BB1054" s="3"/>
      <c r="BC1054" s="3"/>
      <c r="BD1054" s="3"/>
    </row>
    <row r="1055" spans="1:57" ht="12.95" customHeight="1">
      <c r="A1055" s="14"/>
      <c r="B1055" s="73"/>
      <c r="C1055" s="442"/>
      <c r="D1055" s="1779" t="s">
        <v>1298</v>
      </c>
      <c r="E1055" s="1780"/>
      <c r="F1055" s="1780"/>
      <c r="G1055" s="1780"/>
      <c r="H1055" s="1780"/>
      <c r="I1055" s="1780"/>
      <c r="J1055" s="1780"/>
      <c r="K1055" s="1780"/>
      <c r="L1055" s="1780"/>
      <c r="M1055" s="1780"/>
      <c r="N1055" s="1780"/>
      <c r="O1055" s="1780"/>
      <c r="P1055" s="1780"/>
      <c r="Q1055" s="1780"/>
      <c r="R1055" s="1780"/>
      <c r="S1055" s="1780"/>
      <c r="T1055" s="1780"/>
      <c r="U1055" s="1780"/>
      <c r="V1055" s="1780"/>
      <c r="W1055" s="1780"/>
      <c r="X1055" s="1780"/>
      <c r="Y1055" s="1780"/>
      <c r="Z1055" s="1780"/>
      <c r="AA1055" s="1780"/>
      <c r="AB1055" s="1780"/>
      <c r="AC1055" s="1780"/>
      <c r="AD1055" s="1780"/>
      <c r="AE1055" s="1781"/>
      <c r="AF1055" s="73"/>
      <c r="AG1055" s="443"/>
      <c r="AH1055" s="443"/>
      <c r="AI1055" s="83"/>
      <c r="AJ1055" s="1773"/>
      <c r="AK1055" s="1774"/>
      <c r="AL1055" s="1774"/>
      <c r="AM1055" s="1774"/>
      <c r="AN1055" s="1774"/>
      <c r="AO1055" s="1774"/>
      <c r="AP1055" s="1774"/>
      <c r="AQ1055" s="1775"/>
      <c r="AR1055" s="68"/>
      <c r="AS1055" s="68"/>
      <c r="AT1055" s="68"/>
      <c r="AU1055" s="13"/>
      <c r="AV1055" s="68"/>
      <c r="AW1055" s="68"/>
      <c r="AX1055" s="68"/>
      <c r="AY1055" s="68"/>
      <c r="AZ1055" s="958">
        <f>'Sources and Uses Budget'!S97*BA1055</f>
        <v>1985661</v>
      </c>
      <c r="BA1055" s="1175">
        <f>IF(BA1049,20%,15%)</f>
        <v>0.15</v>
      </c>
      <c r="BB1055" s="3" t="s">
        <v>2411</v>
      </c>
      <c r="BC1055" s="3" t="s">
        <v>2412</v>
      </c>
      <c r="BD1055" s="3"/>
    </row>
    <row r="1056" spans="1:57" ht="12.95" customHeight="1">
      <c r="A1056" s="14"/>
      <c r="B1056" s="73"/>
      <c r="C1056" s="442"/>
      <c r="D1056" s="1779"/>
      <c r="E1056" s="1780"/>
      <c r="F1056" s="1780"/>
      <c r="G1056" s="1780"/>
      <c r="H1056" s="1780"/>
      <c r="I1056" s="1780"/>
      <c r="J1056" s="1780"/>
      <c r="K1056" s="1780"/>
      <c r="L1056" s="1780"/>
      <c r="M1056" s="1780"/>
      <c r="N1056" s="1780"/>
      <c r="O1056" s="1780"/>
      <c r="P1056" s="1780"/>
      <c r="Q1056" s="1780"/>
      <c r="R1056" s="1780"/>
      <c r="S1056" s="1780"/>
      <c r="T1056" s="1780"/>
      <c r="U1056" s="1780"/>
      <c r="V1056" s="1780"/>
      <c r="W1056" s="1780"/>
      <c r="X1056" s="1780"/>
      <c r="Y1056" s="1780"/>
      <c r="Z1056" s="1780"/>
      <c r="AA1056" s="1780"/>
      <c r="AB1056" s="1780"/>
      <c r="AC1056" s="1780"/>
      <c r="AD1056" s="1780"/>
      <c r="AE1056" s="1781"/>
      <c r="AF1056" s="73"/>
      <c r="AG1056" s="443"/>
      <c r="AH1056" s="443"/>
      <c r="AI1056" s="83"/>
      <c r="AJ1056" s="1773"/>
      <c r="AK1056" s="1774"/>
      <c r="AL1056" s="1774"/>
      <c r="AM1056" s="1774"/>
      <c r="AN1056" s="1774"/>
      <c r="AO1056" s="1774"/>
      <c r="AP1056" s="1774"/>
      <c r="AQ1056" s="1775"/>
      <c r="AR1056" s="68"/>
      <c r="AS1056" s="68"/>
      <c r="AT1056" s="68"/>
      <c r="AU1056" s="13"/>
      <c r="AV1056" s="68"/>
      <c r="AW1056" s="68"/>
      <c r="AX1056" s="68"/>
      <c r="AY1056" s="68"/>
      <c r="AZ1056" s="958">
        <f>IF(M365="N/A",0,'Sources and Uses Budget'!T97*BA1056)</f>
        <v>0</v>
      </c>
      <c r="BA1056" s="1175">
        <v>0.15</v>
      </c>
      <c r="BB1056" s="3" t="s">
        <v>2411</v>
      </c>
      <c r="BC1056" s="3" t="s">
        <v>2413</v>
      </c>
      <c r="BD1056" s="3"/>
    </row>
    <row r="1057" spans="1:56" ht="12.95" customHeight="1">
      <c r="A1057" s="14"/>
      <c r="B1057" s="77"/>
      <c r="C1057" s="78"/>
      <c r="D1057" s="132" t="s">
        <v>972</v>
      </c>
      <c r="E1057" s="133"/>
      <c r="F1057" s="133"/>
      <c r="G1057" s="133"/>
      <c r="H1057" s="133"/>
      <c r="I1057" s="1833">
        <f>AY1012</f>
        <v>77</v>
      </c>
      <c r="J1057" s="1834"/>
      <c r="K1057" s="7"/>
      <c r="L1057" s="133"/>
      <c r="M1057" s="133"/>
      <c r="N1057" s="133"/>
      <c r="O1057" s="133"/>
      <c r="P1057" s="133"/>
      <c r="Q1057" s="133"/>
      <c r="R1057" s="133"/>
      <c r="S1057" s="133"/>
      <c r="T1057" s="133"/>
      <c r="U1057" s="133"/>
      <c r="V1057" s="134" t="s">
        <v>973</v>
      </c>
      <c r="W1057" s="48"/>
      <c r="X1057" s="1831">
        <f>CI761</f>
        <v>8</v>
      </c>
      <c r="Y1057" s="1832"/>
      <c r="Z1057" s="48"/>
      <c r="AA1057" s="48"/>
      <c r="AB1057" s="48"/>
      <c r="AC1057" s="48"/>
      <c r="AD1057" s="48"/>
      <c r="AE1057" s="49"/>
      <c r="AF1057" s="920"/>
      <c r="AG1057" s="921"/>
      <c r="AH1057" s="921"/>
      <c r="AI1057" s="922"/>
      <c r="AJ1057" s="1785"/>
      <c r="AK1057" s="1786"/>
      <c r="AL1057" s="1786"/>
      <c r="AM1057" s="1786"/>
      <c r="AN1057" s="1786"/>
      <c r="AO1057" s="1786"/>
      <c r="AP1057" s="1786"/>
      <c r="AQ1057" s="1787"/>
      <c r="AR1057" s="68"/>
      <c r="AS1057" s="68"/>
      <c r="AT1057" s="68"/>
      <c r="AU1057" s="14"/>
      <c r="AV1057" s="68"/>
      <c r="AW1057" s="68"/>
      <c r="AX1057" s="68"/>
      <c r="AY1057" s="68"/>
      <c r="AZ1057" s="958">
        <f>IF(M367="N/A",0,'Sources and Uses Budget'!T97*BA1057)</f>
        <v>753457.20000000007</v>
      </c>
      <c r="BA1057" s="1175" cm="1">
        <f t="array" ref="BA1057">_xlfn.IFS(X180="Yes",5%,$BA$1047&gt;50000,15%,BA1048&gt;=30%,15%,TRUE,5%)</f>
        <v>0.05</v>
      </c>
      <c r="BB1057" s="3" t="s">
        <v>2411</v>
      </c>
      <c r="BC1057" s="3" t="s">
        <v>2414</v>
      </c>
      <c r="BD1057" s="3"/>
    </row>
    <row r="1058" spans="1:56" ht="12.95" customHeight="1">
      <c r="A1058" s="14"/>
      <c r="B1058" s="79"/>
      <c r="C1058" s="131" t="s">
        <v>1674</v>
      </c>
      <c r="D1058" s="1776" t="s">
        <v>2126</v>
      </c>
      <c r="E1058" s="1777"/>
      <c r="F1058" s="1777"/>
      <c r="G1058" s="1777"/>
      <c r="H1058" s="1777"/>
      <c r="I1058" s="1777"/>
      <c r="J1058" s="1777"/>
      <c r="K1058" s="1777"/>
      <c r="L1058" s="1777"/>
      <c r="M1058" s="1777"/>
      <c r="N1058" s="1777"/>
      <c r="O1058" s="1777"/>
      <c r="P1058" s="1777"/>
      <c r="Q1058" s="1777"/>
      <c r="R1058" s="1777"/>
      <c r="S1058" s="1777"/>
      <c r="T1058" s="1777"/>
      <c r="U1058" s="1777"/>
      <c r="V1058" s="1777"/>
      <c r="W1058" s="1777"/>
      <c r="X1058" s="1777"/>
      <c r="Y1058" s="1777"/>
      <c r="Z1058" s="1777"/>
      <c r="AA1058" s="1777"/>
      <c r="AB1058" s="1777"/>
      <c r="AC1058" s="1777"/>
      <c r="AD1058" s="1777"/>
      <c r="AE1058" s="1778"/>
      <c r="AF1058" s="73"/>
      <c r="AG1058" s="1804" t="str">
        <f>IF(X1061&gt;0,"Yes","No")</f>
        <v>Yes</v>
      </c>
      <c r="AH1058" s="1805"/>
      <c r="AI1058" s="83"/>
      <c r="AJ1058" s="1770">
        <f>IF((X1061=0),0,(2*AY1015)*AJ1001)</f>
        <v>10115840</v>
      </c>
      <c r="AK1058" s="1771"/>
      <c r="AL1058" s="1771"/>
      <c r="AM1058" s="1771"/>
      <c r="AN1058" s="1771"/>
      <c r="AO1058" s="1771"/>
      <c r="AP1058" s="1771"/>
      <c r="AQ1058" s="1772"/>
      <c r="AR1058" s="68"/>
      <c r="AS1058" s="68"/>
      <c r="AT1058" s="68"/>
      <c r="AU1058" s="14"/>
      <c r="AV1058" s="68"/>
      <c r="AW1058" s="68"/>
      <c r="AX1058" s="68"/>
      <c r="AY1058" s="68"/>
      <c r="AZ1058" s="958">
        <f>AZ1054*BA1058</f>
        <v>0</v>
      </c>
      <c r="BA1058" s="1175">
        <v>0.15</v>
      </c>
      <c r="BB1058" s="3" t="s">
        <v>2411</v>
      </c>
      <c r="BC1058" s="3" t="s">
        <v>2415</v>
      </c>
      <c r="BD1058" s="3"/>
    </row>
    <row r="1059" spans="1:56" ht="12.95" customHeight="1">
      <c r="A1059" s="14"/>
      <c r="B1059" s="73"/>
      <c r="C1059" s="442"/>
      <c r="D1059" s="1779" t="s">
        <v>1297</v>
      </c>
      <c r="E1059" s="1780"/>
      <c r="F1059" s="1780"/>
      <c r="G1059" s="1780"/>
      <c r="H1059" s="1780"/>
      <c r="I1059" s="1780"/>
      <c r="J1059" s="1780"/>
      <c r="K1059" s="1780"/>
      <c r="L1059" s="1780"/>
      <c r="M1059" s="1780"/>
      <c r="N1059" s="1780"/>
      <c r="O1059" s="1780"/>
      <c r="P1059" s="1780"/>
      <c r="Q1059" s="1780"/>
      <c r="R1059" s="1780"/>
      <c r="S1059" s="1780"/>
      <c r="T1059" s="1780"/>
      <c r="U1059" s="1780"/>
      <c r="V1059" s="1780"/>
      <c r="W1059" s="1780"/>
      <c r="X1059" s="1780"/>
      <c r="Y1059" s="1780"/>
      <c r="Z1059" s="1780"/>
      <c r="AA1059" s="1780"/>
      <c r="AB1059" s="1780"/>
      <c r="AC1059" s="1780"/>
      <c r="AD1059" s="1780"/>
      <c r="AE1059" s="1781"/>
      <c r="AF1059" s="73"/>
      <c r="AG1059" s="443"/>
      <c r="AH1059" s="443"/>
      <c r="AI1059" s="83"/>
      <c r="AJ1059" s="1773"/>
      <c r="AK1059" s="1774"/>
      <c r="AL1059" s="1774"/>
      <c r="AM1059" s="1774"/>
      <c r="AN1059" s="1774"/>
      <c r="AO1059" s="1774"/>
      <c r="AP1059" s="1774"/>
      <c r="AQ1059" s="1775"/>
      <c r="AR1059" s="68"/>
      <c r="AS1059" s="68"/>
      <c r="AT1059" s="68"/>
      <c r="AU1059" s="68"/>
      <c r="AV1059" s="68"/>
      <c r="AW1059" s="68"/>
      <c r="AX1059" s="68"/>
      <c r="AY1059" s="68"/>
      <c r="AZ1059" s="958"/>
      <c r="BA1059" s="3"/>
      <c r="BB1059" s="3"/>
      <c r="BC1059" s="3"/>
      <c r="BD1059" s="3"/>
    </row>
    <row r="1060" spans="1:56" ht="12.95" customHeight="1">
      <c r="A1060" s="14"/>
      <c r="B1060" s="73"/>
      <c r="C1060" s="83"/>
      <c r="D1060" s="1779"/>
      <c r="E1060" s="1780"/>
      <c r="F1060" s="1780"/>
      <c r="G1060" s="1780"/>
      <c r="H1060" s="1780"/>
      <c r="I1060" s="1780"/>
      <c r="J1060" s="1780"/>
      <c r="K1060" s="1780"/>
      <c r="L1060" s="1780"/>
      <c r="M1060" s="1780"/>
      <c r="N1060" s="1780"/>
      <c r="O1060" s="1780"/>
      <c r="P1060" s="1780"/>
      <c r="Q1060" s="1780"/>
      <c r="R1060" s="1780"/>
      <c r="S1060" s="1780"/>
      <c r="T1060" s="1780"/>
      <c r="U1060" s="1780"/>
      <c r="V1060" s="1780"/>
      <c r="W1060" s="1780"/>
      <c r="X1060" s="1780"/>
      <c r="Y1060" s="1780"/>
      <c r="Z1060" s="1780"/>
      <c r="AA1060" s="1780"/>
      <c r="AB1060" s="1780"/>
      <c r="AC1060" s="1780"/>
      <c r="AD1060" s="1780"/>
      <c r="AE1060" s="1781"/>
      <c r="AF1060" s="917"/>
      <c r="AG1060" s="918"/>
      <c r="AH1060" s="918"/>
      <c r="AI1060" s="919"/>
      <c r="AJ1060" s="1773"/>
      <c r="AK1060" s="1774"/>
      <c r="AL1060" s="1774"/>
      <c r="AM1060" s="1774"/>
      <c r="AN1060" s="1774"/>
      <c r="AO1060" s="1774"/>
      <c r="AP1060" s="1774"/>
      <c r="AQ1060" s="1775"/>
      <c r="AR1060" s="68"/>
      <c r="AS1060" s="68"/>
      <c r="AT1060" s="68"/>
      <c r="AU1060" s="68"/>
      <c r="AV1060" s="68"/>
      <c r="AW1060" s="68"/>
      <c r="AX1060" s="68"/>
      <c r="AY1060" s="68"/>
      <c r="AZ1060" s="958">
        <f>ROUNDDOWN(MIN(SUM(AZ1055,AZ1056,AZ1057,AZ1058),BD1060),0)</f>
        <v>2500000</v>
      </c>
      <c r="BA1060" s="3" t="s">
        <v>2416</v>
      </c>
      <c r="BB1060" s="3"/>
      <c r="BC1060" s="3"/>
      <c r="BD1060" s="3" cm="1">
        <f t="array" ref="BD1060">_xlfn.IFS(BA1049,3000000,AND(BA1050&gt;=25%,BA1051&gt;=15),2800000,TRUE,2500000)</f>
        <v>2500000</v>
      </c>
    </row>
    <row r="1061" spans="1:56" ht="12.95" customHeight="1">
      <c r="A1061" s="14"/>
      <c r="B1061" s="77"/>
      <c r="C1061" s="78"/>
      <c r="D1061" s="132" t="s">
        <v>972</v>
      </c>
      <c r="E1061" s="133"/>
      <c r="F1061" s="133"/>
      <c r="G1061" s="133"/>
      <c r="H1061" s="133"/>
      <c r="I1061" s="1833">
        <f>AY1012</f>
        <v>77</v>
      </c>
      <c r="J1061" s="1834"/>
      <c r="K1061" s="14"/>
      <c r="L1061" s="133"/>
      <c r="M1061" s="133"/>
      <c r="N1061" s="133"/>
      <c r="O1061" s="133"/>
      <c r="P1061" s="133"/>
      <c r="Q1061" s="133"/>
      <c r="R1061" s="133"/>
      <c r="S1061" s="133"/>
      <c r="T1061" s="133"/>
      <c r="U1061" s="133"/>
      <c r="V1061" s="134" t="s">
        <v>974</v>
      </c>
      <c r="X1061" s="1831">
        <f>CM761</f>
        <v>8</v>
      </c>
      <c r="Y1061" s="1832"/>
      <c r="AF1061" s="920"/>
      <c r="AG1061" s="921"/>
      <c r="AH1061" s="921"/>
      <c r="AI1061" s="922"/>
      <c r="AJ1061" s="1785"/>
      <c r="AK1061" s="1786"/>
      <c r="AL1061" s="1786"/>
      <c r="AM1061" s="1786"/>
      <c r="AN1061" s="1786"/>
      <c r="AO1061" s="1786"/>
      <c r="AP1061" s="1786"/>
      <c r="AQ1061" s="1787"/>
      <c r="AR1061" s="68"/>
      <c r="AS1061" s="68"/>
      <c r="AT1061" s="68"/>
      <c r="AU1061" s="68"/>
      <c r="AV1061" s="68"/>
      <c r="AW1061" s="68"/>
      <c r="AX1061" s="68"/>
      <c r="AY1061" s="68"/>
      <c r="AZ1061" s="958">
        <f>ROUNDDOWN(MAX(0,BA1061*(SUM(AG1102,AL1102,AZ1054)-BD1061))+BF1061,0)</f>
        <v>0</v>
      </c>
      <c r="BA1061" s="1175">
        <f>IF(L1051,7%,5%)</f>
        <v>0.05</v>
      </c>
      <c r="BB1061" s="3" t="s">
        <v>2417</v>
      </c>
      <c r="BC1061" s="3"/>
      <c r="BD1061" s="3">
        <v>6666667</v>
      </c>
    </row>
    <row r="1062" spans="1:56" ht="12.95" customHeight="1">
      <c r="A1062" s="14"/>
      <c r="B1062" s="102"/>
      <c r="C1062" s="103"/>
      <c r="D1062" s="1829" t="s">
        <v>513</v>
      </c>
      <c r="E1062" s="1829"/>
      <c r="F1062" s="1829"/>
      <c r="G1062" s="1829"/>
      <c r="H1062" s="1829"/>
      <c r="I1062" s="1829"/>
      <c r="J1062" s="1829"/>
      <c r="K1062" s="1829"/>
      <c r="L1062" s="1829"/>
      <c r="M1062" s="1829"/>
      <c r="N1062" s="1829"/>
      <c r="O1062" s="1829"/>
      <c r="P1062" s="1829"/>
      <c r="Q1062" s="1829"/>
      <c r="R1062" s="1829"/>
      <c r="S1062" s="1829"/>
      <c r="T1062" s="1829"/>
      <c r="U1062" s="1829"/>
      <c r="V1062" s="1829"/>
      <c r="W1062" s="1829"/>
      <c r="X1062" s="1829"/>
      <c r="Y1062" s="1829"/>
      <c r="Z1062" s="1829"/>
      <c r="AA1062" s="1829"/>
      <c r="AB1062" s="1829"/>
      <c r="AC1062" s="1829"/>
      <c r="AD1062" s="1829"/>
      <c r="AE1062" s="1829"/>
      <c r="AF1062" s="1829"/>
      <c r="AG1062" s="1829"/>
      <c r="AH1062" s="1829"/>
      <c r="AI1062" s="1830"/>
      <c r="AJ1062" s="1845">
        <f>SUM(AJ1001:AQ1061)</f>
        <v>65752960</v>
      </c>
      <c r="AK1062" s="1846"/>
      <c r="AL1062" s="1846"/>
      <c r="AM1062" s="1846"/>
      <c r="AN1062" s="1846"/>
      <c r="AO1062" s="1846"/>
      <c r="AP1062" s="1846"/>
      <c r="AQ1062" s="1847"/>
      <c r="AR1062" s="68"/>
      <c r="AS1062" s="68"/>
      <c r="AT1062" s="68"/>
      <c r="AU1062" s="68"/>
      <c r="AV1062" s="68"/>
      <c r="AW1062" s="68"/>
      <c r="AX1062" s="68"/>
      <c r="AY1062" s="68"/>
      <c r="AZ1062" s="1174">
        <v>6000000</v>
      </c>
      <c r="BA1062" s="3" t="s">
        <v>2418</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2403</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2419</v>
      </c>
      <c r="BC1064" s="3"/>
      <c r="BD1064" s="3"/>
    </row>
    <row r="1065" spans="1:56" ht="12.95" customHeight="1">
      <c r="A1065" s="14"/>
      <c r="B1065" s="68"/>
      <c r="C1065" s="68"/>
      <c r="D1065" s="68"/>
      <c r="E1065" s="68"/>
      <c r="F1065" s="68"/>
      <c r="G1065" s="1169" t="s">
        <v>2404</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361">
        <f>'Sources and Uses Budget'!S107+'Sources and Uses Budget'!T107</f>
        <v>31046002</v>
      </c>
      <c r="AB1065" s="1361"/>
      <c r="AC1065" s="1361"/>
      <c r="AD1065" s="1361"/>
      <c r="AE1065" s="1361"/>
      <c r="AF1065" s="1361"/>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2739118.2</v>
      </c>
      <c r="BB1065" s="3" t="s">
        <v>2420</v>
      </c>
      <c r="BC1065" s="3"/>
      <c r="BD1065" s="3"/>
    </row>
    <row r="1066" spans="1:56" ht="12.95" customHeight="1">
      <c r="A1066" s="14"/>
      <c r="B1066" s="68"/>
      <c r="C1066" s="68"/>
      <c r="D1066" s="68"/>
      <c r="E1066" s="68"/>
      <c r="F1066" s="68"/>
      <c r="G1066" s="1169"/>
      <c r="H1066" s="1169" t="s">
        <v>2405</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362">
        <f>IFERROR((AA1065-BA1068)/(AJ1062-AJ1054-AJ1058),"")</f>
        <v>0.60908207326331776</v>
      </c>
      <c r="AB1066" s="1363"/>
      <c r="AC1066" s="1363"/>
      <c r="AD1066" s="1363"/>
      <c r="AE1066" s="1363"/>
      <c r="AF1066" s="1364"/>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365"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65"/>
      <c r="I1067" s="1365"/>
      <c r="J1067" s="1365"/>
      <c r="K1067" s="1365"/>
      <c r="L1067" s="1365"/>
      <c r="M1067" s="1365"/>
      <c r="N1067" s="1365"/>
      <c r="O1067" s="1365"/>
      <c r="P1067" s="1365"/>
      <c r="Q1067" s="1365"/>
      <c r="R1067" s="1365"/>
      <c r="S1067" s="1365"/>
      <c r="T1067" s="1365"/>
      <c r="U1067" s="1365"/>
      <c r="V1067" s="1365"/>
      <c r="W1067" s="1365"/>
      <c r="X1067" s="1365"/>
      <c r="Y1067" s="1365"/>
      <c r="Z1067" s="1365"/>
      <c r="AA1067" s="1365"/>
      <c r="AB1067" s="1365"/>
      <c r="AC1067" s="1365"/>
      <c r="AD1067" s="1365"/>
      <c r="AE1067" s="1365"/>
      <c r="AF1067" s="1365"/>
      <c r="AG1067" s="1365"/>
      <c r="AH1067" s="1365"/>
      <c r="AI1067" s="1365"/>
      <c r="AJ1067" s="1365"/>
      <c r="AK1067" s="1365"/>
      <c r="AL1067" s="1365"/>
      <c r="AM1067" s="1365"/>
      <c r="AN1067" s="1365"/>
      <c r="AO1067" s="68"/>
      <c r="AP1067" s="68"/>
      <c r="AQ1067" s="68"/>
      <c r="AR1067" s="68"/>
      <c r="AS1067" s="68"/>
      <c r="AT1067" s="68"/>
      <c r="AU1067" s="68"/>
      <c r="AV1067" s="14"/>
      <c r="AW1067" s="14"/>
      <c r="AX1067" s="14"/>
      <c r="AY1067" s="14"/>
      <c r="BA1067" s="1178">
        <f>'Sources and Uses Budget'!$S$104+'Sources and Uses Budget'!$T$104</f>
        <v>2739118</v>
      </c>
      <c r="BB1067" s="3" t="s">
        <v>2426</v>
      </c>
    </row>
    <row r="1068" spans="1:56" ht="12.95" customHeight="1">
      <c r="A1068" s="14"/>
      <c r="B1068" s="14"/>
      <c r="C1068" s="208"/>
      <c r="D1068" s="854"/>
      <c r="E1068" s="854"/>
      <c r="F1068" s="854"/>
      <c r="G1068" s="1365"/>
      <c r="H1068" s="1365"/>
      <c r="I1068" s="1365"/>
      <c r="J1068" s="1365"/>
      <c r="K1068" s="1365"/>
      <c r="L1068" s="1365"/>
      <c r="M1068" s="1365"/>
      <c r="N1068" s="1365"/>
      <c r="O1068" s="1365"/>
      <c r="P1068" s="1365"/>
      <c r="Q1068" s="1365"/>
      <c r="R1068" s="1365"/>
      <c r="S1068" s="1365"/>
      <c r="T1068" s="1365"/>
      <c r="U1068" s="1365"/>
      <c r="V1068" s="1365"/>
      <c r="W1068" s="1365"/>
      <c r="X1068" s="1365"/>
      <c r="Y1068" s="1365"/>
      <c r="Z1068" s="1365"/>
      <c r="AA1068" s="1365"/>
      <c r="AB1068" s="1365"/>
      <c r="AC1068" s="1365"/>
      <c r="AD1068" s="1365"/>
      <c r="AE1068" s="1365"/>
      <c r="AF1068" s="1365"/>
      <c r="AG1068" s="1365"/>
      <c r="AH1068" s="1365"/>
      <c r="AI1068" s="1365"/>
      <c r="AJ1068" s="1365"/>
      <c r="AK1068" s="1365"/>
      <c r="AL1068" s="1365"/>
      <c r="AM1068" s="1365"/>
      <c r="AN1068" s="1365"/>
      <c r="AO1068" s="68"/>
      <c r="AP1068" s="68"/>
      <c r="AQ1068" s="68"/>
      <c r="AR1068" s="68"/>
      <c r="AS1068" s="68"/>
      <c r="AT1068" s="68"/>
      <c r="AU1068" s="68"/>
      <c r="AV1068" s="14"/>
      <c r="AW1068" s="14"/>
      <c r="AX1068" s="14"/>
      <c r="AY1068" s="14"/>
      <c r="BA1068" s="1179">
        <f>MAX($BA$1067-$BA$1064,0)</f>
        <v>239118</v>
      </c>
      <c r="BB1068" s="3" t="s">
        <v>2427</v>
      </c>
    </row>
    <row r="1069" spans="1:56" ht="12.95" customHeight="1">
      <c r="A1069" s="88"/>
      <c r="B1069" s="1165"/>
      <c r="C1069" s="1165"/>
      <c r="D1069" s="1165"/>
      <c r="E1069" s="1165"/>
      <c r="F1069" s="1165"/>
      <c r="G1069" s="1365"/>
      <c r="H1069" s="1365"/>
      <c r="I1069" s="1365"/>
      <c r="J1069" s="1365"/>
      <c r="K1069" s="1365"/>
      <c r="L1069" s="1365"/>
      <c r="M1069" s="1365"/>
      <c r="N1069" s="1365"/>
      <c r="O1069" s="1365"/>
      <c r="P1069" s="1365"/>
      <c r="Q1069" s="1365"/>
      <c r="R1069" s="1365"/>
      <c r="S1069" s="1365"/>
      <c r="T1069" s="1365"/>
      <c r="U1069" s="1365"/>
      <c r="V1069" s="1365"/>
      <c r="W1069" s="1365"/>
      <c r="X1069" s="1365"/>
      <c r="Y1069" s="1365"/>
      <c r="Z1069" s="1365"/>
      <c r="AA1069" s="1365"/>
      <c r="AB1069" s="1365"/>
      <c r="AC1069" s="1365"/>
      <c r="AD1069" s="1365"/>
      <c r="AE1069" s="1365"/>
      <c r="AF1069" s="1365"/>
      <c r="AG1069" s="1365"/>
      <c r="AH1069" s="1365"/>
      <c r="AI1069" s="1365"/>
      <c r="AJ1069" s="1365"/>
      <c r="AK1069" s="1365"/>
      <c r="AL1069" s="1365"/>
      <c r="AM1069" s="1365"/>
      <c r="AN1069" s="1365"/>
      <c r="AO1069" s="1165"/>
      <c r="AP1069" s="1165"/>
      <c r="AQ1069" s="68"/>
      <c r="AR1069" s="68"/>
      <c r="AS1069" s="68"/>
      <c r="AT1069" s="68"/>
      <c r="AU1069" s="68"/>
      <c r="AV1069" s="68"/>
      <c r="AW1069" s="68"/>
      <c r="AX1069" s="68"/>
      <c r="AY1069" s="68"/>
    </row>
    <row r="1070" spans="1:56" ht="12.95" customHeight="1">
      <c r="A1070" s="1851" t="s">
        <v>794</v>
      </c>
      <c r="B1070" s="1851"/>
      <c r="C1070" s="1851"/>
      <c r="D1070" s="1851"/>
      <c r="E1070" s="1851"/>
      <c r="F1070" s="1851"/>
      <c r="G1070" s="1851"/>
      <c r="H1070" s="1851"/>
      <c r="I1070" s="1851"/>
      <c r="J1070" s="1851"/>
      <c r="K1070" s="1851"/>
      <c r="L1070" s="1851"/>
      <c r="M1070" s="1851"/>
      <c r="N1070" s="1851"/>
      <c r="O1070" s="1851"/>
      <c r="P1070" s="1851"/>
      <c r="Q1070" s="1851"/>
      <c r="R1070" s="1851"/>
      <c r="S1070" s="1851"/>
      <c r="T1070" s="1851"/>
      <c r="U1070" s="1851"/>
      <c r="V1070" s="1851"/>
      <c r="W1070" s="1851"/>
      <c r="X1070" s="1851"/>
      <c r="Y1070" s="1851"/>
      <c r="Z1070" s="1851"/>
      <c r="AA1070" s="1851"/>
      <c r="AB1070" s="1851"/>
      <c r="AC1070" s="1851"/>
      <c r="AD1070" s="1851"/>
      <c r="AE1070" s="1851"/>
      <c r="AF1070" s="1851"/>
      <c r="AG1070" s="1851"/>
      <c r="AH1070" s="1851"/>
      <c r="AI1070" s="1851"/>
      <c r="AJ1070" s="1851"/>
      <c r="AK1070" s="1851"/>
      <c r="AL1070" s="1851"/>
      <c r="AM1070" s="1851"/>
      <c r="AN1070" s="1851"/>
      <c r="AO1070" s="1851"/>
      <c r="AP1070" s="1851"/>
      <c r="AQ1070" s="1851"/>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440" t="s">
        <v>591</v>
      </c>
      <c r="B1074" s="1440"/>
      <c r="C1074" s="1876">
        <v>1</v>
      </c>
      <c r="D1074" s="1876"/>
      <c r="E1074" s="14" t="s">
        <v>2192</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876"/>
      <c r="D1075" s="1876"/>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440" t="s">
        <v>591</v>
      </c>
      <c r="B1076" s="1440"/>
      <c r="C1076" s="1876">
        <v>2</v>
      </c>
      <c r="D1076" s="1876"/>
      <c r="E1076" s="1877" t="s">
        <v>2193</v>
      </c>
      <c r="F1076" s="1877"/>
      <c r="G1076" s="1877"/>
      <c r="H1076" s="1877"/>
      <c r="I1076" s="1877"/>
      <c r="J1076" s="1877"/>
      <c r="K1076" s="1877"/>
      <c r="L1076" s="1877"/>
      <c r="M1076" s="1877"/>
      <c r="N1076" s="1877"/>
      <c r="O1076" s="1877"/>
      <c r="P1076" s="1877"/>
      <c r="Q1076" s="1877"/>
      <c r="R1076" s="1877"/>
      <c r="S1076" s="1877"/>
      <c r="T1076" s="1877"/>
      <c r="U1076" s="1877"/>
      <c r="V1076" s="1877"/>
      <c r="W1076" s="1877"/>
      <c r="X1076" s="1877"/>
      <c r="Y1076" s="1877"/>
      <c r="Z1076" s="1877"/>
      <c r="AA1076" s="1877"/>
      <c r="AB1076" s="1877"/>
      <c r="AC1076" s="1877"/>
      <c r="AD1076" s="1877"/>
      <c r="AE1076" s="1877"/>
      <c r="AF1076" s="1877"/>
      <c r="AG1076" s="1877"/>
      <c r="AH1076" s="1877"/>
      <c r="AI1076" s="1877"/>
      <c r="AJ1076" s="1877"/>
      <c r="AK1076" s="1877"/>
      <c r="AL1076" s="1877"/>
      <c r="AM1076" s="1877"/>
      <c r="AN1076" s="1877"/>
      <c r="AO1076" s="1877"/>
      <c r="AP1076" s="1877"/>
      <c r="AQ1076" s="1877"/>
      <c r="AR1076" s="1877"/>
      <c r="AS1076" s="14"/>
      <c r="AT1076" s="14"/>
      <c r="AV1076" s="68"/>
      <c r="AW1076" s="68"/>
      <c r="AX1076" s="68"/>
      <c r="AY1076" s="68"/>
    </row>
    <row r="1077" spans="1:51" ht="12.95" customHeight="1">
      <c r="A1077" s="198"/>
      <c r="B1077" s="67"/>
      <c r="C1077" s="1876"/>
      <c r="D1077" s="1876"/>
      <c r="E1077" s="1877"/>
      <c r="F1077" s="1877"/>
      <c r="G1077" s="1877"/>
      <c r="H1077" s="1877"/>
      <c r="I1077" s="1877"/>
      <c r="J1077" s="1877"/>
      <c r="K1077" s="1877"/>
      <c r="L1077" s="1877"/>
      <c r="M1077" s="1877"/>
      <c r="N1077" s="1877"/>
      <c r="O1077" s="1877"/>
      <c r="P1077" s="1877"/>
      <c r="Q1077" s="1877"/>
      <c r="R1077" s="1877"/>
      <c r="S1077" s="1877"/>
      <c r="T1077" s="1877"/>
      <c r="U1077" s="1877"/>
      <c r="V1077" s="1877"/>
      <c r="W1077" s="1877"/>
      <c r="X1077" s="1877"/>
      <c r="Y1077" s="1877"/>
      <c r="Z1077" s="1877"/>
      <c r="AA1077" s="1877"/>
      <c r="AB1077" s="1877"/>
      <c r="AC1077" s="1877"/>
      <c r="AD1077" s="1877"/>
      <c r="AE1077" s="1877"/>
      <c r="AF1077" s="1877"/>
      <c r="AG1077" s="1877"/>
      <c r="AH1077" s="1877"/>
      <c r="AI1077" s="1877"/>
      <c r="AJ1077" s="1877"/>
      <c r="AK1077" s="1877"/>
      <c r="AL1077" s="1877"/>
      <c r="AM1077" s="1877"/>
      <c r="AN1077" s="1877"/>
      <c r="AO1077" s="1877"/>
      <c r="AP1077" s="1877"/>
      <c r="AQ1077" s="1877"/>
      <c r="AR1077" s="1877"/>
      <c r="AS1077" s="14"/>
      <c r="AT1077" s="14"/>
      <c r="AV1077" s="68"/>
      <c r="AW1077" s="68"/>
      <c r="AX1077" s="68"/>
      <c r="AY1077" s="68"/>
    </row>
    <row r="1078" spans="1:51" ht="12.95" customHeight="1">
      <c r="A1078" s="198"/>
      <c r="B1078" s="67"/>
      <c r="C1078" s="1876"/>
      <c r="D1078" s="1876"/>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440" t="s">
        <v>591</v>
      </c>
      <c r="B1079" s="1440"/>
      <c r="C1079" s="1464">
        <v>3</v>
      </c>
      <c r="D1079" s="1464"/>
      <c r="E1079" s="1334" t="s">
        <v>1080</v>
      </c>
      <c r="F1079" s="1334"/>
      <c r="G1079" s="1334"/>
      <c r="H1079" s="1334"/>
      <c r="I1079" s="1334"/>
      <c r="J1079" s="1334"/>
      <c r="K1079" s="1334"/>
      <c r="L1079" s="1334"/>
      <c r="M1079" s="1334"/>
      <c r="N1079" s="1334"/>
      <c r="O1079" s="1334"/>
      <c r="P1079" s="1334"/>
      <c r="Q1079" s="1334"/>
      <c r="R1079" s="1334"/>
      <c r="S1079" s="1334"/>
      <c r="T1079" s="1334"/>
      <c r="U1079" s="1334"/>
      <c r="V1079" s="1334"/>
      <c r="W1079" s="1334"/>
      <c r="X1079" s="1334"/>
      <c r="Y1079" s="1334"/>
      <c r="Z1079" s="1334"/>
      <c r="AA1079" s="1334"/>
      <c r="AB1079" s="1334"/>
      <c r="AC1079" s="1334"/>
      <c r="AD1079" s="1334"/>
      <c r="AE1079" s="1334"/>
      <c r="AF1079" s="1334"/>
      <c r="AG1079" s="1334"/>
      <c r="AH1079" s="1334"/>
      <c r="AI1079" s="1334"/>
      <c r="AJ1079" s="1334"/>
      <c r="AK1079" s="1334"/>
      <c r="AL1079" s="1334"/>
      <c r="AM1079" s="1334"/>
      <c r="AN1079" s="1334"/>
      <c r="AO1079" s="1334"/>
      <c r="AP1079" s="1334"/>
      <c r="AQ1079" s="1334"/>
      <c r="AR1079" s="1334"/>
      <c r="AS1079" s="14"/>
      <c r="AT1079" s="68"/>
      <c r="AV1079" s="68"/>
      <c r="AW1079" s="68"/>
      <c r="AX1079" s="68"/>
      <c r="AY1079" s="68"/>
    </row>
    <row r="1080" spans="1:51" ht="12.95" customHeight="1">
      <c r="A1080" s="1"/>
      <c r="B1080" s="1"/>
      <c r="C1080" s="1464"/>
      <c r="D1080" s="1464"/>
      <c r="E1080" s="1334"/>
      <c r="F1080" s="1334"/>
      <c r="G1080" s="1334"/>
      <c r="H1080" s="1334"/>
      <c r="I1080" s="1334"/>
      <c r="J1080" s="1334"/>
      <c r="K1080" s="1334"/>
      <c r="L1080" s="1334"/>
      <c r="M1080" s="1334"/>
      <c r="N1080" s="1334"/>
      <c r="O1080" s="1334"/>
      <c r="P1080" s="1334"/>
      <c r="Q1080" s="1334"/>
      <c r="R1080" s="1334"/>
      <c r="S1080" s="1334"/>
      <c r="T1080" s="1334"/>
      <c r="U1080" s="1334"/>
      <c r="V1080" s="1334"/>
      <c r="W1080" s="1334"/>
      <c r="X1080" s="1334"/>
      <c r="Y1080" s="1334"/>
      <c r="Z1080" s="1334"/>
      <c r="AA1080" s="1334"/>
      <c r="AB1080" s="1334"/>
      <c r="AC1080" s="1334"/>
      <c r="AD1080" s="1334"/>
      <c r="AE1080" s="1334"/>
      <c r="AF1080" s="1334"/>
      <c r="AG1080" s="1334"/>
      <c r="AH1080" s="1334"/>
      <c r="AI1080" s="1334"/>
      <c r="AJ1080" s="1334"/>
      <c r="AK1080" s="1334"/>
      <c r="AL1080" s="1334"/>
      <c r="AM1080" s="1334"/>
      <c r="AN1080" s="1334"/>
      <c r="AO1080" s="1334"/>
      <c r="AP1080" s="1334"/>
      <c r="AQ1080" s="1334"/>
      <c r="AR1080" s="1334"/>
      <c r="AS1080" s="14"/>
      <c r="AT1080" s="68"/>
      <c r="AV1080" s="68"/>
      <c r="AW1080" s="68"/>
      <c r="AX1080" s="68"/>
      <c r="AY1080" s="68"/>
    </row>
    <row r="1081" spans="1:51" ht="12.95" customHeight="1">
      <c r="A1081" s="1"/>
      <c r="B1081" s="1"/>
      <c r="C1081" s="1464"/>
      <c r="D1081" s="1464"/>
      <c r="E1081" s="1334"/>
      <c r="F1081" s="1334"/>
      <c r="G1081" s="1334"/>
      <c r="H1081" s="1334"/>
      <c r="I1081" s="1334"/>
      <c r="J1081" s="1334"/>
      <c r="K1081" s="1334"/>
      <c r="L1081" s="1334"/>
      <c r="M1081" s="1334"/>
      <c r="N1081" s="1334"/>
      <c r="O1081" s="1334"/>
      <c r="P1081" s="1334"/>
      <c r="Q1081" s="1334"/>
      <c r="R1081" s="1334"/>
      <c r="S1081" s="1334"/>
      <c r="T1081" s="1334"/>
      <c r="U1081" s="1334"/>
      <c r="V1081" s="1334"/>
      <c r="W1081" s="1334"/>
      <c r="X1081" s="1334"/>
      <c r="Y1081" s="1334"/>
      <c r="Z1081" s="1334"/>
      <c r="AA1081" s="1334"/>
      <c r="AB1081" s="1334"/>
      <c r="AC1081" s="1334"/>
      <c r="AD1081" s="1334"/>
      <c r="AE1081" s="1334"/>
      <c r="AF1081" s="1334"/>
      <c r="AG1081" s="1334"/>
      <c r="AH1081" s="1334"/>
      <c r="AI1081" s="1334"/>
      <c r="AJ1081" s="1334"/>
      <c r="AK1081" s="1334"/>
      <c r="AL1081" s="1334"/>
      <c r="AM1081" s="1334"/>
      <c r="AN1081" s="1334"/>
      <c r="AO1081" s="1334"/>
      <c r="AP1081" s="1334"/>
      <c r="AQ1081" s="1334"/>
      <c r="AR1081" s="1334"/>
      <c r="AS1081" s="14"/>
      <c r="AT1081" s="68"/>
      <c r="AV1081" s="68"/>
      <c r="AW1081" s="68"/>
      <c r="AX1081" s="68"/>
      <c r="AY1081" s="68"/>
    </row>
    <row r="1082" spans="1:51" ht="12.95" customHeight="1">
      <c r="A1082" s="1"/>
      <c r="B1082" s="1"/>
      <c r="C1082" s="1464"/>
      <c r="D1082" s="1464"/>
      <c r="E1082" s="1334"/>
      <c r="F1082" s="1334"/>
      <c r="G1082" s="1334"/>
      <c r="H1082" s="1334"/>
      <c r="I1082" s="1334"/>
      <c r="J1082" s="1334"/>
      <c r="K1082" s="1334"/>
      <c r="L1082" s="1334"/>
      <c r="M1082" s="1334"/>
      <c r="N1082" s="1334"/>
      <c r="O1082" s="1334"/>
      <c r="P1082" s="1334"/>
      <c r="Q1082" s="1334"/>
      <c r="R1082" s="1334"/>
      <c r="S1082" s="1334"/>
      <c r="T1082" s="1334"/>
      <c r="U1082" s="1334"/>
      <c r="V1082" s="1334"/>
      <c r="W1082" s="1334"/>
      <c r="X1082" s="1334"/>
      <c r="Y1082" s="1334"/>
      <c r="Z1082" s="1334"/>
      <c r="AA1082" s="1334"/>
      <c r="AB1082" s="1334"/>
      <c r="AC1082" s="1334"/>
      <c r="AD1082" s="1334"/>
      <c r="AE1082" s="1334"/>
      <c r="AF1082" s="1334"/>
      <c r="AG1082" s="1334"/>
      <c r="AH1082" s="1334"/>
      <c r="AI1082" s="1334"/>
      <c r="AJ1082" s="1334"/>
      <c r="AK1082" s="1334"/>
      <c r="AL1082" s="1334"/>
      <c r="AM1082" s="1334"/>
      <c r="AN1082" s="1334"/>
      <c r="AO1082" s="1334"/>
      <c r="AP1082" s="1334"/>
      <c r="AQ1082" s="1334"/>
      <c r="AR1082" s="1334"/>
      <c r="AS1082" s="14"/>
      <c r="AT1082" s="68"/>
      <c r="AV1082" s="68"/>
      <c r="AW1082" s="68"/>
      <c r="AX1082" s="68"/>
      <c r="AY1082" s="68"/>
    </row>
    <row r="1083" spans="1:51" ht="12.95" customHeight="1">
      <c r="A1083" s="2"/>
      <c r="B1083" s="25"/>
      <c r="C1083" s="1464"/>
      <c r="D1083" s="1464"/>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440" t="s">
        <v>591</v>
      </c>
      <c r="B1084" s="1440"/>
      <c r="C1084" s="1464">
        <v>4</v>
      </c>
      <c r="D1084" s="1464"/>
      <c r="E1084" s="1334" t="s">
        <v>1079</v>
      </c>
      <c r="F1084" s="1334"/>
      <c r="G1084" s="1334"/>
      <c r="H1084" s="1334"/>
      <c r="I1084" s="1334"/>
      <c r="J1084" s="1334"/>
      <c r="K1084" s="1334"/>
      <c r="L1084" s="1334"/>
      <c r="M1084" s="1334"/>
      <c r="N1084" s="1334"/>
      <c r="O1084" s="1334"/>
      <c r="P1084" s="1334"/>
      <c r="Q1084" s="1334"/>
      <c r="R1084" s="1334"/>
      <c r="S1084" s="1334"/>
      <c r="T1084" s="1334"/>
      <c r="U1084" s="1334"/>
      <c r="V1084" s="1334"/>
      <c r="W1084" s="1334"/>
      <c r="X1084" s="1334"/>
      <c r="Y1084" s="1334"/>
      <c r="Z1084" s="1334"/>
      <c r="AA1084" s="1334"/>
      <c r="AB1084" s="1334"/>
      <c r="AC1084" s="1334"/>
      <c r="AD1084" s="1334"/>
      <c r="AE1084" s="1334"/>
      <c r="AF1084" s="1334"/>
      <c r="AG1084" s="1334"/>
      <c r="AH1084" s="1334"/>
      <c r="AI1084" s="1334"/>
      <c r="AJ1084" s="1334"/>
      <c r="AK1084" s="1334"/>
      <c r="AL1084" s="1334"/>
      <c r="AM1084" s="1334"/>
      <c r="AN1084" s="1334"/>
      <c r="AO1084" s="1334"/>
      <c r="AP1084" s="1334"/>
      <c r="AQ1084" s="1334"/>
      <c r="AR1084" s="1334"/>
      <c r="AS1084" s="14"/>
      <c r="AT1084" s="68"/>
    </row>
    <row r="1085" spans="1:51" ht="12.95" customHeight="1">
      <c r="A1085" s="1"/>
      <c r="B1085" s="1"/>
      <c r="C1085" s="1464"/>
      <c r="D1085" s="1464"/>
      <c r="E1085" s="1334"/>
      <c r="F1085" s="1334"/>
      <c r="G1085" s="1334"/>
      <c r="H1085" s="1334"/>
      <c r="I1085" s="1334"/>
      <c r="J1085" s="1334"/>
      <c r="K1085" s="1334"/>
      <c r="L1085" s="1334"/>
      <c r="M1085" s="1334"/>
      <c r="N1085" s="1334"/>
      <c r="O1085" s="1334"/>
      <c r="P1085" s="1334"/>
      <c r="Q1085" s="1334"/>
      <c r="R1085" s="1334"/>
      <c r="S1085" s="1334"/>
      <c r="T1085" s="1334"/>
      <c r="U1085" s="1334"/>
      <c r="V1085" s="1334"/>
      <c r="W1085" s="1334"/>
      <c r="X1085" s="1334"/>
      <c r="Y1085" s="1334"/>
      <c r="Z1085" s="1334"/>
      <c r="AA1085" s="1334"/>
      <c r="AB1085" s="1334"/>
      <c r="AC1085" s="1334"/>
      <c r="AD1085" s="1334"/>
      <c r="AE1085" s="1334"/>
      <c r="AF1085" s="1334"/>
      <c r="AG1085" s="1334"/>
      <c r="AH1085" s="1334"/>
      <c r="AI1085" s="1334"/>
      <c r="AJ1085" s="1334"/>
      <c r="AK1085" s="1334"/>
      <c r="AL1085" s="1334"/>
      <c r="AM1085" s="1334"/>
      <c r="AN1085" s="1334"/>
      <c r="AO1085" s="1334"/>
      <c r="AP1085" s="1334"/>
      <c r="AQ1085" s="1334"/>
      <c r="AR1085" s="1334"/>
      <c r="AS1085" s="14"/>
      <c r="AT1085" s="68"/>
    </row>
    <row r="1086" spans="1:51" ht="12.95" customHeight="1">
      <c r="A1086" s="1"/>
      <c r="B1086" s="1"/>
      <c r="C1086" s="1464"/>
      <c r="D1086" s="1464"/>
      <c r="E1086" s="1334"/>
      <c r="F1086" s="1334"/>
      <c r="G1086" s="1334"/>
      <c r="H1086" s="1334"/>
      <c r="I1086" s="1334"/>
      <c r="J1086" s="1334"/>
      <c r="K1086" s="1334"/>
      <c r="L1086" s="1334"/>
      <c r="M1086" s="1334"/>
      <c r="N1086" s="1334"/>
      <c r="O1086" s="1334"/>
      <c r="P1086" s="1334"/>
      <c r="Q1086" s="1334"/>
      <c r="R1086" s="1334"/>
      <c r="S1086" s="1334"/>
      <c r="T1086" s="1334"/>
      <c r="U1086" s="1334"/>
      <c r="V1086" s="1334"/>
      <c r="W1086" s="1334"/>
      <c r="X1086" s="1334"/>
      <c r="Y1086" s="1334"/>
      <c r="Z1086" s="1334"/>
      <c r="AA1086" s="1334"/>
      <c r="AB1086" s="1334"/>
      <c r="AC1086" s="1334"/>
      <c r="AD1086" s="1334"/>
      <c r="AE1086" s="1334"/>
      <c r="AF1086" s="1334"/>
      <c r="AG1086" s="1334"/>
      <c r="AH1086" s="1334"/>
      <c r="AI1086" s="1334"/>
      <c r="AJ1086" s="1334"/>
      <c r="AK1086" s="1334"/>
      <c r="AL1086" s="1334"/>
      <c r="AM1086" s="1334"/>
      <c r="AN1086" s="1334"/>
      <c r="AO1086" s="1334"/>
      <c r="AP1086" s="1334"/>
      <c r="AQ1086" s="1334"/>
      <c r="AR1086" s="1334"/>
      <c r="AS1086" s="14"/>
      <c r="AT1086" s="68"/>
    </row>
    <row r="1087" spans="1:51" ht="12.95" customHeight="1">
      <c r="A1087" s="1"/>
      <c r="B1087" s="1"/>
      <c r="C1087" s="1464"/>
      <c r="D1087" s="1464"/>
      <c r="E1087" s="1334"/>
      <c r="F1087" s="1334"/>
      <c r="G1087" s="1334"/>
      <c r="H1087" s="1334"/>
      <c r="I1087" s="1334"/>
      <c r="J1087" s="1334"/>
      <c r="K1087" s="1334"/>
      <c r="L1087" s="1334"/>
      <c r="M1087" s="1334"/>
      <c r="N1087" s="1334"/>
      <c r="O1087" s="1334"/>
      <c r="P1087" s="1334"/>
      <c r="Q1087" s="1334"/>
      <c r="R1087" s="1334"/>
      <c r="S1087" s="1334"/>
      <c r="T1087" s="1334"/>
      <c r="U1087" s="1334"/>
      <c r="V1087" s="1334"/>
      <c r="W1087" s="1334"/>
      <c r="X1087" s="1334"/>
      <c r="Y1087" s="1334"/>
      <c r="Z1087" s="1334"/>
      <c r="AA1087" s="1334"/>
      <c r="AB1087" s="1334"/>
      <c r="AC1087" s="1334"/>
      <c r="AD1087" s="1334"/>
      <c r="AE1087" s="1334"/>
      <c r="AF1087" s="1334"/>
      <c r="AG1087" s="1334"/>
      <c r="AH1087" s="1334"/>
      <c r="AI1087" s="1334"/>
      <c r="AJ1087" s="1334"/>
      <c r="AK1087" s="1334"/>
      <c r="AL1087" s="1334"/>
      <c r="AM1087" s="1334"/>
      <c r="AN1087" s="1334"/>
      <c r="AO1087" s="1334"/>
      <c r="AP1087" s="1334"/>
      <c r="AQ1087" s="1334"/>
      <c r="AR1087" s="1334"/>
      <c r="AS1087" s="14"/>
      <c r="AT1087" s="68"/>
    </row>
    <row r="1088" spans="1:51" ht="12.95" customHeight="1">
      <c r="A1088" s="1"/>
      <c r="B1088" s="1"/>
      <c r="C1088" s="1464"/>
      <c r="D1088" s="1464"/>
      <c r="E1088" s="1334"/>
      <c r="F1088" s="1334"/>
      <c r="G1088" s="1334"/>
      <c r="H1088" s="1334"/>
      <c r="I1088" s="1334"/>
      <c r="J1088" s="1334"/>
      <c r="K1088" s="1334"/>
      <c r="L1088" s="1334"/>
      <c r="M1088" s="1334"/>
      <c r="N1088" s="1334"/>
      <c r="O1088" s="1334"/>
      <c r="P1088" s="1334"/>
      <c r="Q1088" s="1334"/>
      <c r="R1088" s="1334"/>
      <c r="S1088" s="1334"/>
      <c r="T1088" s="1334"/>
      <c r="U1088" s="1334"/>
      <c r="V1088" s="1334"/>
      <c r="W1088" s="1334"/>
      <c r="X1088" s="1334"/>
      <c r="Y1088" s="1334"/>
      <c r="Z1088" s="1334"/>
      <c r="AA1088" s="1334"/>
      <c r="AB1088" s="1334"/>
      <c r="AC1088" s="1334"/>
      <c r="AD1088" s="1334"/>
      <c r="AE1088" s="1334"/>
      <c r="AF1088" s="1334"/>
      <c r="AG1088" s="1334"/>
      <c r="AH1088" s="1334"/>
      <c r="AI1088" s="1334"/>
      <c r="AJ1088" s="1334"/>
      <c r="AK1088" s="1334"/>
      <c r="AL1088" s="1334"/>
      <c r="AM1088" s="1334"/>
      <c r="AN1088" s="1334"/>
      <c r="AO1088" s="1334"/>
      <c r="AP1088" s="1334"/>
      <c r="AQ1088" s="1334"/>
      <c r="AR1088" s="1334"/>
      <c r="AS1088" s="14"/>
      <c r="AT1088" s="68"/>
    </row>
    <row r="1089" spans="1:45" ht="12.95" customHeight="1">
      <c r="A1089" s="1"/>
      <c r="B1089" s="1"/>
      <c r="C1089" s="1464"/>
      <c r="D1089" s="1464"/>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440" t="s">
        <v>591</v>
      </c>
      <c r="B1090" s="1440"/>
      <c r="C1090" s="1464">
        <v>5</v>
      </c>
      <c r="D1090" s="1464"/>
      <c r="E1090" s="1334" t="s">
        <v>2196</v>
      </c>
      <c r="F1090" s="1334"/>
      <c r="G1090" s="1334"/>
      <c r="H1090" s="1334"/>
      <c r="I1090" s="1334"/>
      <c r="J1090" s="1334"/>
      <c r="K1090" s="1334"/>
      <c r="L1090" s="1334"/>
      <c r="M1090" s="1334"/>
      <c r="N1090" s="1334"/>
      <c r="O1090" s="1334"/>
      <c r="P1090" s="1334"/>
      <c r="Q1090" s="1334"/>
      <c r="R1090" s="1334"/>
      <c r="S1090" s="1334"/>
      <c r="T1090" s="1334"/>
      <c r="U1090" s="1334"/>
      <c r="V1090" s="1334"/>
      <c r="W1090" s="1334"/>
      <c r="X1090" s="1334"/>
      <c r="Y1090" s="1334"/>
      <c r="Z1090" s="1334"/>
      <c r="AA1090" s="1334"/>
      <c r="AB1090" s="1334"/>
      <c r="AC1090" s="1334"/>
      <c r="AD1090" s="1334"/>
      <c r="AE1090" s="1334"/>
      <c r="AF1090" s="1334"/>
      <c r="AG1090" s="1334"/>
      <c r="AH1090" s="1334"/>
      <c r="AI1090" s="1334"/>
      <c r="AJ1090" s="1334"/>
      <c r="AK1090" s="1334"/>
      <c r="AL1090" s="1334"/>
      <c r="AM1090" s="1334"/>
      <c r="AN1090" s="1334"/>
      <c r="AO1090" s="1334"/>
      <c r="AP1090" s="1334"/>
      <c r="AQ1090" s="1334"/>
      <c r="AR1090" s="1334"/>
      <c r="AS1090" s="14"/>
    </row>
    <row r="1091" spans="1:45" ht="12.95" customHeight="1">
      <c r="A1091" s="4"/>
      <c r="B1091" s="4"/>
      <c r="C1091" s="1464"/>
      <c r="D1091" s="1464"/>
      <c r="E1091" s="1334"/>
      <c r="F1091" s="1334"/>
      <c r="G1091" s="1334"/>
      <c r="H1091" s="1334"/>
      <c r="I1091" s="1334"/>
      <c r="J1091" s="1334"/>
      <c r="K1091" s="1334"/>
      <c r="L1091" s="1334"/>
      <c r="M1091" s="1334"/>
      <c r="N1091" s="1334"/>
      <c r="O1091" s="1334"/>
      <c r="P1091" s="1334"/>
      <c r="Q1091" s="1334"/>
      <c r="R1091" s="1334"/>
      <c r="S1091" s="1334"/>
      <c r="T1091" s="1334"/>
      <c r="U1091" s="1334"/>
      <c r="V1091" s="1334"/>
      <c r="W1091" s="1334"/>
      <c r="X1091" s="1334"/>
      <c r="Y1091" s="1334"/>
      <c r="Z1091" s="1334"/>
      <c r="AA1091" s="1334"/>
      <c r="AB1091" s="1334"/>
      <c r="AC1091" s="1334"/>
      <c r="AD1091" s="1334"/>
      <c r="AE1091" s="1334"/>
      <c r="AF1091" s="1334"/>
      <c r="AG1091" s="1334"/>
      <c r="AH1091" s="1334"/>
      <c r="AI1091" s="1334"/>
      <c r="AJ1091" s="1334"/>
      <c r="AK1091" s="1334"/>
      <c r="AL1091" s="1334"/>
      <c r="AM1091" s="1334"/>
      <c r="AN1091" s="1334"/>
      <c r="AO1091" s="1334"/>
      <c r="AP1091" s="1334"/>
      <c r="AQ1091" s="1334"/>
      <c r="AR1091" s="1334"/>
      <c r="AS1091" s="14"/>
    </row>
    <row r="1092" spans="1:45" ht="12.95" customHeight="1">
      <c r="A1092" s="4"/>
      <c r="B1092" s="4"/>
      <c r="C1092" s="1464"/>
      <c r="D1092" s="1464"/>
      <c r="E1092" s="1334"/>
      <c r="F1092" s="1334"/>
      <c r="G1092" s="1334"/>
      <c r="H1092" s="1334"/>
      <c r="I1092" s="1334"/>
      <c r="J1092" s="1334"/>
      <c r="K1092" s="1334"/>
      <c r="L1092" s="1334"/>
      <c r="M1092" s="1334"/>
      <c r="N1092" s="1334"/>
      <c r="O1092" s="1334"/>
      <c r="P1092" s="1334"/>
      <c r="Q1092" s="1334"/>
      <c r="R1092" s="1334"/>
      <c r="S1092" s="1334"/>
      <c r="T1092" s="1334"/>
      <c r="U1092" s="1334"/>
      <c r="V1092" s="1334"/>
      <c r="W1092" s="1334"/>
      <c r="X1092" s="1334"/>
      <c r="Y1092" s="1334"/>
      <c r="Z1092" s="1334"/>
      <c r="AA1092" s="1334"/>
      <c r="AB1092" s="1334"/>
      <c r="AC1092" s="1334"/>
      <c r="AD1092" s="1334"/>
      <c r="AE1092" s="1334"/>
      <c r="AF1092" s="1334"/>
      <c r="AG1092" s="1334"/>
      <c r="AH1092" s="1334"/>
      <c r="AI1092" s="1334"/>
      <c r="AJ1092" s="1334"/>
      <c r="AK1092" s="1334"/>
      <c r="AL1092" s="1334"/>
      <c r="AM1092" s="1334"/>
      <c r="AN1092" s="1334"/>
      <c r="AO1092" s="1334"/>
      <c r="AP1092" s="1334"/>
      <c r="AQ1092" s="1334"/>
      <c r="AR1092" s="1334"/>
      <c r="AS1092" s="14"/>
    </row>
    <row r="1093" spans="1:45" ht="12.95" customHeight="1">
      <c r="A1093" s="35"/>
      <c r="B1093" s="25"/>
      <c r="C1093" s="1464"/>
      <c r="D1093" s="1464"/>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440" t="s">
        <v>591</v>
      </c>
      <c r="B1094" s="1440"/>
      <c r="C1094" s="1464">
        <v>6</v>
      </c>
      <c r="D1094" s="1464"/>
      <c r="E1094" s="1334" t="s">
        <v>2197</v>
      </c>
      <c r="F1094" s="1334"/>
      <c r="G1094" s="1334"/>
      <c r="H1094" s="1334"/>
      <c r="I1094" s="1334"/>
      <c r="J1094" s="1334"/>
      <c r="K1094" s="1334"/>
      <c r="L1094" s="1334"/>
      <c r="M1094" s="1334"/>
      <c r="N1094" s="1334"/>
      <c r="O1094" s="1334"/>
      <c r="P1094" s="1334"/>
      <c r="Q1094" s="1334"/>
      <c r="R1094" s="1334"/>
      <c r="S1094" s="1334"/>
      <c r="T1094" s="1334"/>
      <c r="U1094" s="1334"/>
      <c r="V1094" s="1334"/>
      <c r="W1094" s="1334"/>
      <c r="X1094" s="1334"/>
      <c r="Y1094" s="1334"/>
      <c r="Z1094" s="1334"/>
      <c r="AA1094" s="1334"/>
      <c r="AB1094" s="1334"/>
      <c r="AC1094" s="1334"/>
      <c r="AD1094" s="1334"/>
      <c r="AE1094" s="1334"/>
      <c r="AF1094" s="1334"/>
      <c r="AG1094" s="1334"/>
      <c r="AH1094" s="1334"/>
      <c r="AI1094" s="1334"/>
      <c r="AJ1094" s="1334"/>
      <c r="AK1094" s="1334"/>
      <c r="AL1094" s="1334"/>
      <c r="AM1094" s="1334"/>
      <c r="AN1094" s="1334"/>
      <c r="AO1094" s="1334"/>
      <c r="AP1094" s="1334"/>
      <c r="AQ1094" s="1334"/>
      <c r="AR1094" s="1334"/>
      <c r="AS1094" s="14"/>
    </row>
    <row r="1095" spans="1:45" ht="12.95" customHeight="1">
      <c r="A1095" s="1"/>
      <c r="B1095" s="1"/>
      <c r="C1095" s="1"/>
      <c r="D1095" s="1"/>
      <c r="E1095" s="1334"/>
      <c r="F1095" s="1334"/>
      <c r="G1095" s="1334"/>
      <c r="H1095" s="1334"/>
      <c r="I1095" s="1334"/>
      <c r="J1095" s="1334"/>
      <c r="K1095" s="1334"/>
      <c r="L1095" s="1334"/>
      <c r="M1095" s="1334"/>
      <c r="N1095" s="1334"/>
      <c r="O1095" s="1334"/>
      <c r="P1095" s="1334"/>
      <c r="Q1095" s="1334"/>
      <c r="R1095" s="1334"/>
      <c r="S1095" s="1334"/>
      <c r="T1095" s="1334"/>
      <c r="U1095" s="1334"/>
      <c r="V1095" s="1334"/>
      <c r="W1095" s="1334"/>
      <c r="X1095" s="1334"/>
      <c r="Y1095" s="1334"/>
      <c r="Z1095" s="1334"/>
      <c r="AA1095" s="1334"/>
      <c r="AB1095" s="1334"/>
      <c r="AC1095" s="1334"/>
      <c r="AD1095" s="1334"/>
      <c r="AE1095" s="1334"/>
      <c r="AF1095" s="1334"/>
      <c r="AG1095" s="1334"/>
      <c r="AH1095" s="1334"/>
      <c r="AI1095" s="1334"/>
      <c r="AJ1095" s="1334"/>
      <c r="AK1095" s="1334"/>
      <c r="AL1095" s="1334"/>
      <c r="AM1095" s="1334"/>
      <c r="AN1095" s="1334"/>
      <c r="AO1095" s="1334"/>
      <c r="AP1095" s="1334"/>
      <c r="AQ1095" s="1334"/>
      <c r="AR1095" s="1334"/>
      <c r="AS1095" s="14"/>
    </row>
    <row r="1096" spans="1:45" ht="12.95" customHeight="1">
      <c r="A1096" s="1"/>
      <c r="B1096" s="1"/>
      <c r="C1096" s="1464"/>
      <c r="D1096" s="1464"/>
      <c r="E1096" s="1334"/>
      <c r="F1096" s="1334"/>
      <c r="G1096" s="1334"/>
      <c r="H1096" s="1334"/>
      <c r="I1096" s="1334"/>
      <c r="J1096" s="1334"/>
      <c r="K1096" s="1334"/>
      <c r="L1096" s="1334"/>
      <c r="M1096" s="1334"/>
      <c r="N1096" s="1334"/>
      <c r="O1096" s="1334"/>
      <c r="P1096" s="1334"/>
      <c r="Q1096" s="1334"/>
      <c r="R1096" s="1334"/>
      <c r="S1096" s="1334"/>
      <c r="T1096" s="1334"/>
      <c r="U1096" s="1334"/>
      <c r="V1096" s="1334"/>
      <c r="W1096" s="1334"/>
      <c r="X1096" s="1334"/>
      <c r="Y1096" s="1334"/>
      <c r="Z1096" s="1334"/>
      <c r="AA1096" s="1334"/>
      <c r="AB1096" s="1334"/>
      <c r="AC1096" s="1334"/>
      <c r="AD1096" s="1334"/>
      <c r="AE1096" s="1334"/>
      <c r="AF1096" s="1334"/>
      <c r="AG1096" s="1334"/>
      <c r="AH1096" s="1334"/>
      <c r="AI1096" s="1334"/>
      <c r="AJ1096" s="1334"/>
      <c r="AK1096" s="1334"/>
      <c r="AL1096" s="1334"/>
      <c r="AM1096" s="1334"/>
      <c r="AN1096" s="1334"/>
      <c r="AO1096" s="1334"/>
      <c r="AP1096" s="1334"/>
      <c r="AQ1096" s="1334"/>
      <c r="AR1096" s="1334"/>
      <c r="AS1096" s="14"/>
    </row>
    <row r="1097" spans="1:45" ht="12.95" customHeight="1">
      <c r="A1097" s="35"/>
      <c r="B1097" s="25"/>
      <c r="C1097" s="1464"/>
      <c r="D1097" s="1464"/>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440" t="s">
        <v>591</v>
      </c>
      <c r="B1098" s="1440"/>
      <c r="C1098" s="1464">
        <v>7</v>
      </c>
      <c r="D1098" s="1464"/>
      <c r="E1098" s="1334" t="s">
        <v>2095</v>
      </c>
      <c r="F1098" s="1334"/>
      <c r="G1098" s="1334"/>
      <c r="H1098" s="1334"/>
      <c r="I1098" s="1334"/>
      <c r="J1098" s="1334"/>
      <c r="K1098" s="1334"/>
      <c r="L1098" s="1334"/>
      <c r="M1098" s="1334"/>
      <c r="N1098" s="1334"/>
      <c r="O1098" s="1334"/>
      <c r="P1098" s="1334"/>
      <c r="Q1098" s="1334"/>
      <c r="R1098" s="1334"/>
      <c r="S1098" s="1334"/>
      <c r="T1098" s="1334"/>
      <c r="U1098" s="1334"/>
      <c r="V1098" s="1334"/>
      <c r="W1098" s="1334"/>
      <c r="X1098" s="1334"/>
      <c r="Y1098" s="1334"/>
      <c r="Z1098" s="1334"/>
      <c r="AA1098" s="1334"/>
      <c r="AB1098" s="1334"/>
      <c r="AC1098" s="1334"/>
      <c r="AD1098" s="1334"/>
      <c r="AE1098" s="1334"/>
      <c r="AF1098" s="1334"/>
      <c r="AG1098" s="1334"/>
      <c r="AH1098" s="1334"/>
      <c r="AI1098" s="1334"/>
      <c r="AJ1098" s="1334"/>
      <c r="AK1098" s="1334"/>
      <c r="AL1098" s="1334"/>
      <c r="AM1098" s="1334"/>
      <c r="AN1098" s="1334"/>
      <c r="AO1098" s="1334"/>
      <c r="AP1098" s="1334"/>
      <c r="AQ1098" s="1334"/>
      <c r="AR1098" s="1334"/>
      <c r="AS1098" s="14"/>
    </row>
    <row r="1099" spans="1:45" ht="12.95" customHeight="1">
      <c r="A1099" s="1"/>
      <c r="B1099" s="1"/>
      <c r="C1099" s="1464"/>
      <c r="D1099" s="1464"/>
      <c r="E1099" s="1334"/>
      <c r="F1099" s="1334"/>
      <c r="G1099" s="1334"/>
      <c r="H1099" s="1334"/>
      <c r="I1099" s="1334"/>
      <c r="J1099" s="1334"/>
      <c r="K1099" s="1334"/>
      <c r="L1099" s="1334"/>
      <c r="M1099" s="1334"/>
      <c r="N1099" s="1334"/>
      <c r="O1099" s="1334"/>
      <c r="P1099" s="1334"/>
      <c r="Q1099" s="1334"/>
      <c r="R1099" s="1334"/>
      <c r="S1099" s="1334"/>
      <c r="T1099" s="1334"/>
      <c r="U1099" s="1334"/>
      <c r="V1099" s="1334"/>
      <c r="W1099" s="1334"/>
      <c r="X1099" s="1334"/>
      <c r="Y1099" s="1334"/>
      <c r="Z1099" s="1334"/>
      <c r="AA1099" s="1334"/>
      <c r="AB1099" s="1334"/>
      <c r="AC1099" s="1334"/>
      <c r="AD1099" s="1334"/>
      <c r="AE1099" s="1334"/>
      <c r="AF1099" s="1334"/>
      <c r="AG1099" s="1334"/>
      <c r="AH1099" s="1334"/>
      <c r="AI1099" s="1334"/>
      <c r="AJ1099" s="1334"/>
      <c r="AK1099" s="1334"/>
      <c r="AL1099" s="1334"/>
      <c r="AM1099" s="1334"/>
      <c r="AN1099" s="1334"/>
      <c r="AO1099" s="1334"/>
      <c r="AP1099" s="1334"/>
      <c r="AQ1099" s="1334"/>
      <c r="AR1099" s="1334"/>
      <c r="AS1099" s="14"/>
    </row>
    <row r="1100" spans="1:45" ht="12.95" customHeight="1">
      <c r="A1100" s="1"/>
      <c r="B1100" s="1"/>
      <c r="C1100" s="1464"/>
      <c r="D1100" s="1464"/>
      <c r="E1100" s="1334"/>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c r="AS1100" s="14"/>
    </row>
    <row r="1101" spans="1:45" ht="12.95" customHeight="1">
      <c r="A1101" s="1"/>
      <c r="B1101" s="1"/>
      <c r="C1101" s="1464"/>
      <c r="D1101" s="1464"/>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464"/>
      <c r="D1102" s="1464"/>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440" t="s">
        <v>591</v>
      </c>
      <c r="B1103" s="1440"/>
      <c r="C1103" s="1464">
        <v>8</v>
      </c>
      <c r="D1103" s="1464"/>
      <c r="E1103" s="1334" t="s">
        <v>1073</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5" customHeight="1">
      <c r="A1104" s="35"/>
      <c r="B1104" s="25"/>
      <c r="C1104" s="1464"/>
      <c r="D1104" s="1464"/>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44" ht="12.95" customHeight="1">
      <c r="A1105" s="35"/>
      <c r="B1105" s="25"/>
      <c r="C1105" s="1464"/>
      <c r="D1105" s="1464"/>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440" t="s">
        <v>591</v>
      </c>
      <c r="B1106" s="1440"/>
      <c r="C1106" s="1876">
        <v>9</v>
      </c>
      <c r="D1106" s="1876"/>
      <c r="E1106" s="1334" t="s">
        <v>1075</v>
      </c>
      <c r="F1106" s="1334"/>
      <c r="G1106" s="1334"/>
      <c r="H1106" s="1334"/>
      <c r="I1106" s="1334"/>
      <c r="J1106" s="1334"/>
      <c r="K1106" s="1334"/>
      <c r="L1106" s="1334"/>
      <c r="M1106" s="1334"/>
      <c r="N1106" s="1334"/>
      <c r="O1106" s="1334"/>
      <c r="P1106" s="1334"/>
      <c r="Q1106" s="1334"/>
      <c r="R1106" s="1334"/>
      <c r="S1106" s="1334"/>
      <c r="T1106" s="1334"/>
      <c r="U1106" s="1334"/>
      <c r="V1106" s="1334"/>
      <c r="W1106" s="1334"/>
      <c r="X1106" s="1334"/>
      <c r="Y1106" s="1334"/>
      <c r="Z1106" s="1334"/>
      <c r="AA1106" s="1334"/>
      <c r="AB1106" s="1334"/>
      <c r="AC1106" s="1334"/>
      <c r="AD1106" s="1334"/>
      <c r="AE1106" s="1334"/>
      <c r="AF1106" s="1334"/>
      <c r="AG1106" s="1334"/>
      <c r="AH1106" s="1334"/>
      <c r="AI1106" s="1334"/>
      <c r="AJ1106" s="1334"/>
      <c r="AK1106" s="1334"/>
      <c r="AL1106" s="1334"/>
      <c r="AM1106" s="1334"/>
      <c r="AN1106" s="1334"/>
      <c r="AO1106" s="1334"/>
      <c r="AP1106" s="1334"/>
      <c r="AQ1106" s="1334"/>
      <c r="AR1106" s="1334"/>
    </row>
    <row r="1107" spans="1:44" ht="12.95" customHeight="1">
      <c r="A1107" s="1"/>
      <c r="B1107" s="1"/>
      <c r="C1107" s="1876"/>
      <c r="D1107" s="1876"/>
      <c r="E1107" s="1334"/>
      <c r="F1107" s="1334"/>
      <c r="G1107" s="1334"/>
      <c r="H1107" s="1334"/>
      <c r="I1107" s="1334"/>
      <c r="J1107" s="1334"/>
      <c r="K1107" s="1334"/>
      <c r="L1107" s="1334"/>
      <c r="M1107" s="1334"/>
      <c r="N1107" s="1334"/>
      <c r="O1107" s="1334"/>
      <c r="P1107" s="1334"/>
      <c r="Q1107" s="1334"/>
      <c r="R1107" s="1334"/>
      <c r="S1107" s="1334"/>
      <c r="T1107" s="1334"/>
      <c r="U1107" s="1334"/>
      <c r="V1107" s="1334"/>
      <c r="W1107" s="1334"/>
      <c r="X1107" s="1334"/>
      <c r="Y1107" s="1334"/>
      <c r="Z1107" s="1334"/>
      <c r="AA1107" s="1334"/>
      <c r="AB1107" s="1334"/>
      <c r="AC1107" s="1334"/>
      <c r="AD1107" s="1334"/>
      <c r="AE1107" s="1334"/>
      <c r="AF1107" s="1334"/>
      <c r="AG1107" s="1334"/>
      <c r="AH1107" s="1334"/>
      <c r="AI1107" s="1334"/>
      <c r="AJ1107" s="1334"/>
      <c r="AK1107" s="1334"/>
      <c r="AL1107" s="1334"/>
      <c r="AM1107" s="1334"/>
      <c r="AN1107" s="1334"/>
      <c r="AO1107" s="1334"/>
      <c r="AP1107" s="1334"/>
      <c r="AQ1107" s="1334"/>
      <c r="AR1107" s="1334"/>
    </row>
    <row r="1108" spans="1:44" ht="12.95" customHeight="1">
      <c r="A1108" s="35"/>
      <c r="B1108" s="25"/>
      <c r="C1108" s="1876"/>
      <c r="D1108" s="1876"/>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440" t="s">
        <v>591</v>
      </c>
      <c r="B1109" s="1440"/>
      <c r="C1109" s="1876">
        <v>10</v>
      </c>
      <c r="D1109" s="1876"/>
      <c r="E1109" s="1336" t="s">
        <v>2194</v>
      </c>
      <c r="F1109" s="1336"/>
      <c r="G1109" s="1336"/>
      <c r="H1109" s="1336"/>
      <c r="I1109" s="1336"/>
      <c r="J1109" s="1336"/>
      <c r="K1109" s="1336"/>
      <c r="L1109" s="1336"/>
      <c r="M1109" s="1336"/>
      <c r="N1109" s="1336"/>
      <c r="O1109" s="1336"/>
      <c r="P1109" s="1336"/>
      <c r="Q1109" s="1336"/>
      <c r="R1109" s="1336"/>
      <c r="S1109" s="1336"/>
      <c r="T1109" s="1336"/>
      <c r="U1109" s="1336"/>
      <c r="V1109" s="1336"/>
      <c r="W1109" s="1336"/>
      <c r="X1109" s="1336"/>
      <c r="Y1109" s="1336"/>
      <c r="Z1109" s="1336"/>
      <c r="AA1109" s="1336"/>
      <c r="AB1109" s="1336"/>
      <c r="AC1109" s="1336"/>
      <c r="AD1109" s="1336"/>
      <c r="AE1109" s="1336"/>
      <c r="AF1109" s="1336"/>
      <c r="AG1109" s="1336"/>
      <c r="AH1109" s="1336"/>
      <c r="AI1109" s="1336"/>
      <c r="AJ1109" s="1336"/>
      <c r="AK1109" s="1336"/>
      <c r="AL1109" s="1336"/>
      <c r="AM1109" s="1336"/>
      <c r="AN1109" s="1336"/>
      <c r="AO1109" s="1336"/>
      <c r="AP1109" s="1336"/>
      <c r="AQ1109" s="1336"/>
      <c r="AR1109" s="1336"/>
    </row>
    <row r="1110" spans="1:44" ht="12.95" customHeight="1">
      <c r="A1110" s="1"/>
      <c r="B1110" s="1"/>
      <c r="C1110" s="199"/>
      <c r="D1110" s="1154"/>
      <c r="E1110" s="1336"/>
      <c r="F1110" s="1336"/>
      <c r="G1110" s="1336"/>
      <c r="H1110" s="1336"/>
      <c r="I1110" s="1336"/>
      <c r="J1110" s="1336"/>
      <c r="K1110" s="1336"/>
      <c r="L1110" s="1336"/>
      <c r="M1110" s="1336"/>
      <c r="N1110" s="1336"/>
      <c r="O1110" s="1336"/>
      <c r="P1110" s="1336"/>
      <c r="Q1110" s="1336"/>
      <c r="R1110" s="1336"/>
      <c r="S1110" s="1336"/>
      <c r="T1110" s="1336"/>
      <c r="U1110" s="1336"/>
      <c r="V1110" s="1336"/>
      <c r="W1110" s="1336"/>
      <c r="X1110" s="1336"/>
      <c r="Y1110" s="1336"/>
      <c r="Z1110" s="1336"/>
      <c r="AA1110" s="1336"/>
      <c r="AB1110" s="1336"/>
      <c r="AC1110" s="1336"/>
      <c r="AD1110" s="1336"/>
      <c r="AE1110" s="1336"/>
      <c r="AF1110" s="1336"/>
      <c r="AG1110" s="1336"/>
      <c r="AH1110" s="1336"/>
      <c r="AI1110" s="1336"/>
      <c r="AJ1110" s="1336"/>
      <c r="AK1110" s="1336"/>
      <c r="AL1110" s="1336"/>
      <c r="AM1110" s="1336"/>
      <c r="AN1110" s="1336"/>
      <c r="AO1110" s="1336"/>
      <c r="AP1110" s="1336"/>
      <c r="AQ1110" s="1336"/>
      <c r="AR1110" s="1336"/>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440" t="s">
        <v>591</v>
      </c>
      <c r="B1112" s="1440"/>
      <c r="C1112" s="1876">
        <v>11</v>
      </c>
      <c r="D1112" s="1876"/>
      <c r="E1112" s="1336" t="s">
        <v>2195</v>
      </c>
      <c r="F1112" s="1336"/>
      <c r="G1112" s="1336"/>
      <c r="H1112" s="1336"/>
      <c r="I1112" s="1336"/>
      <c r="J1112" s="1336"/>
      <c r="K1112" s="1336"/>
      <c r="L1112" s="1336"/>
      <c r="M1112" s="1336"/>
      <c r="N1112" s="1336"/>
      <c r="O1112" s="1336"/>
      <c r="P1112" s="1336"/>
      <c r="Q1112" s="1336"/>
      <c r="R1112" s="1336"/>
      <c r="S1112" s="1336"/>
      <c r="T1112" s="1336"/>
      <c r="U1112" s="1336"/>
      <c r="V1112" s="1336"/>
      <c r="W1112" s="1336"/>
      <c r="X1112" s="1336"/>
      <c r="Y1112" s="1336"/>
      <c r="Z1112" s="1336"/>
      <c r="AA1112" s="1336"/>
      <c r="AB1112" s="1336"/>
      <c r="AC1112" s="1336"/>
      <c r="AD1112" s="1336"/>
      <c r="AE1112" s="1336"/>
      <c r="AF1112" s="1336"/>
      <c r="AG1112" s="1336"/>
      <c r="AH1112" s="1336"/>
      <c r="AI1112" s="1336"/>
      <c r="AJ1112" s="1336"/>
      <c r="AK1112" s="1336"/>
      <c r="AL1112" s="1336"/>
      <c r="AM1112" s="1336"/>
      <c r="AN1112" s="1336"/>
      <c r="AO1112" s="1336"/>
      <c r="AP1112" s="1336"/>
      <c r="AQ1112" s="1336"/>
      <c r="AR1112" s="1336"/>
    </row>
    <row r="1113" spans="1:44" ht="12.95" customHeight="1">
      <c r="A1113" s="1"/>
      <c r="B1113" s="1"/>
      <c r="C1113" s="199"/>
      <c r="D1113" s="1154"/>
      <c r="E1113" s="1336"/>
      <c r="F1113" s="1336"/>
      <c r="G1113" s="1336"/>
      <c r="H1113" s="1336"/>
      <c r="I1113" s="1336"/>
      <c r="J1113" s="1336"/>
      <c r="K1113" s="1336"/>
      <c r="L1113" s="1336"/>
      <c r="M1113" s="1336"/>
      <c r="N1113" s="1336"/>
      <c r="O1113" s="1336"/>
      <c r="P1113" s="1336"/>
      <c r="Q1113" s="1336"/>
      <c r="R1113" s="1336"/>
      <c r="S1113" s="1336"/>
      <c r="T1113" s="1336"/>
      <c r="U1113" s="1336"/>
      <c r="V1113" s="1336"/>
      <c r="W1113" s="1336"/>
      <c r="X1113" s="1336"/>
      <c r="Y1113" s="1336"/>
      <c r="Z1113" s="1336"/>
      <c r="AA1113" s="1336"/>
      <c r="AB1113" s="1336"/>
      <c r="AC1113" s="1336"/>
      <c r="AD1113" s="1336"/>
      <c r="AE1113" s="1336"/>
      <c r="AF1113" s="1336"/>
      <c r="AG1113" s="1336"/>
      <c r="AH1113" s="1336"/>
      <c r="AI1113" s="1336"/>
      <c r="AJ1113" s="1336"/>
      <c r="AK1113" s="1336"/>
      <c r="AL1113" s="1336"/>
      <c r="AM1113" s="1336"/>
      <c r="AN1113" s="1336"/>
      <c r="AO1113" s="1336"/>
      <c r="AP1113" s="1336"/>
      <c r="AQ1113" s="1336"/>
      <c r="AR1113" s="1336"/>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440" t="s">
        <v>591</v>
      </c>
      <c r="B1134" s="1440"/>
      <c r="C1134" s="199">
        <v>9</v>
      </c>
      <c r="D1134" s="1268" t="s">
        <v>1074</v>
      </c>
      <c r="E1134" s="1268"/>
      <c r="F1134" s="1268"/>
      <c r="G1134" s="1268"/>
      <c r="H1134" s="1268"/>
      <c r="I1134" s="1268"/>
      <c r="J1134" s="1268"/>
      <c r="K1134" s="1268"/>
      <c r="L1134" s="1268"/>
      <c r="M1134" s="1268"/>
      <c r="N1134" s="1268"/>
      <c r="O1134" s="1268"/>
      <c r="P1134" s="1268"/>
      <c r="Q1134" s="1268"/>
      <c r="R1134" s="1268"/>
      <c r="S1134" s="1268"/>
      <c r="T1134" s="1268"/>
      <c r="U1134" s="1268"/>
      <c r="V1134" s="1268"/>
      <c r="W1134" s="1268"/>
      <c r="X1134" s="1268"/>
      <c r="Y1134" s="1268"/>
      <c r="Z1134" s="1268"/>
      <c r="AA1134" s="1268"/>
      <c r="AB1134" s="1268"/>
      <c r="AC1134" s="1268"/>
      <c r="AD1134" s="1268"/>
      <c r="AE1134" s="1268"/>
      <c r="AF1134" s="1268"/>
      <c r="AG1134" s="1268"/>
      <c r="AH1134" s="1268"/>
      <c r="AI1134" s="1268"/>
      <c r="AJ1134" s="1268"/>
      <c r="AK1134" s="1268"/>
    </row>
    <row r="1135" spans="1:37" ht="0" hidden="1" customHeight="1">
      <c r="A1135" s="35"/>
      <c r="B1135" s="25"/>
      <c r="C1135" s="199"/>
      <c r="D1135" s="1268"/>
      <c r="E1135" s="1268"/>
      <c r="F1135" s="1268"/>
      <c r="G1135" s="1268"/>
      <c r="H1135" s="1268"/>
      <c r="I1135" s="1268"/>
      <c r="J1135" s="1268"/>
      <c r="K1135" s="1268"/>
      <c r="L1135" s="1268"/>
      <c r="M1135" s="1268"/>
      <c r="N1135" s="1268"/>
      <c r="O1135" s="1268"/>
      <c r="P1135" s="1268"/>
      <c r="Q1135" s="1268"/>
      <c r="R1135" s="1268"/>
      <c r="S1135" s="1268"/>
      <c r="T1135" s="1268"/>
      <c r="U1135" s="1268"/>
      <c r="V1135" s="1268"/>
      <c r="W1135" s="1268"/>
      <c r="X1135" s="1268"/>
      <c r="Y1135" s="1268"/>
      <c r="Z1135" s="1268"/>
      <c r="AA1135" s="1268"/>
      <c r="AB1135" s="1268"/>
      <c r="AC1135" s="1268"/>
      <c r="AD1135" s="1268"/>
      <c r="AE1135" s="1268"/>
      <c r="AF1135" s="1268"/>
      <c r="AG1135" s="1268"/>
      <c r="AH1135" s="1268"/>
      <c r="AI1135" s="1268"/>
      <c r="AJ1135" s="1268"/>
      <c r="AK1135" s="1268"/>
    </row>
    <row r="1136" spans="1:37" ht="0" hidden="1" customHeight="1">
      <c r="D1136" s="1268"/>
      <c r="E1136" s="1268"/>
      <c r="F1136" s="1268"/>
      <c r="G1136" s="1268"/>
      <c r="H1136" s="1268"/>
      <c r="I1136" s="1268"/>
      <c r="J1136" s="1268"/>
      <c r="K1136" s="1268"/>
      <c r="L1136" s="1268"/>
      <c r="M1136" s="1268"/>
      <c r="N1136" s="1268"/>
      <c r="O1136" s="1268"/>
      <c r="P1136" s="1268"/>
      <c r="Q1136" s="1268"/>
      <c r="R1136" s="1268"/>
      <c r="S1136" s="1268"/>
      <c r="T1136" s="1268"/>
      <c r="U1136" s="1268"/>
      <c r="V1136" s="1268"/>
      <c r="W1136" s="1268"/>
      <c r="X1136" s="1268"/>
      <c r="Y1136" s="1268"/>
      <c r="Z1136" s="1268"/>
      <c r="AA1136" s="1268"/>
      <c r="AB1136" s="1268"/>
      <c r="AC1136" s="1268"/>
      <c r="AD1136" s="1268"/>
      <c r="AE1136" s="1268"/>
      <c r="AF1136" s="1268"/>
      <c r="AG1136" s="1268"/>
      <c r="AH1136" s="1268"/>
      <c r="AI1136" s="1268"/>
      <c r="AJ1136" s="1268"/>
      <c r="AK1136" s="1268"/>
    </row>
    <row r="1146" ht="15" hidden="1" customHeight="1"/>
    <row r="2026" ht="9.9499999999999993"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63">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J1033:AE1033"/>
    <mergeCell ref="AJ1001:AQ1001"/>
    <mergeCell ref="AJ1002:AQ1002"/>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B748:F748"/>
    <mergeCell ref="D995:Q995"/>
    <mergeCell ref="AB994:AI994"/>
    <mergeCell ref="AB995:AI995"/>
    <mergeCell ref="D1011:AE1015"/>
    <mergeCell ref="D1020:AE1020"/>
    <mergeCell ref="D1021:AE1021"/>
    <mergeCell ref="R997:AA997"/>
    <mergeCell ref="D999:Q999"/>
    <mergeCell ref="AB998:AI998"/>
    <mergeCell ref="O983:P983"/>
    <mergeCell ref="D1008:AE1008"/>
    <mergeCell ref="R996:AA996"/>
    <mergeCell ref="AB999:AI999"/>
    <mergeCell ref="AB996:AI996"/>
    <mergeCell ref="R998:AA998"/>
    <mergeCell ref="O744:S744"/>
    <mergeCell ref="AK739:AO739"/>
    <mergeCell ref="AK638:AN638"/>
    <mergeCell ref="Q641:S641"/>
    <mergeCell ref="G663:L663"/>
    <mergeCell ref="H664:R664"/>
    <mergeCell ref="AG657:AH657"/>
    <mergeCell ref="M632:P634"/>
    <mergeCell ref="AO638:AS638"/>
    <mergeCell ref="Q640:S640"/>
    <mergeCell ref="AC640:AE640"/>
    <mergeCell ref="AO642:AS642"/>
    <mergeCell ref="T744:W744"/>
    <mergeCell ref="O741:S741"/>
    <mergeCell ref="K739:N739"/>
    <mergeCell ref="X744:AB744"/>
    <mergeCell ref="T743:W743"/>
    <mergeCell ref="X738:AB738"/>
    <mergeCell ref="G667:R667"/>
    <mergeCell ref="C644:L644"/>
    <mergeCell ref="N673:O673"/>
    <mergeCell ref="AK639:AN639"/>
    <mergeCell ref="AK640:AN640"/>
    <mergeCell ref="W641:Y641"/>
    <mergeCell ref="W639:Y639"/>
    <mergeCell ref="AK636:AN63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AH525:AK525"/>
    <mergeCell ref="H314:R314"/>
    <mergeCell ref="H313:R313"/>
    <mergeCell ref="H312:R312"/>
    <mergeCell ref="H315:R315"/>
    <mergeCell ref="H330:R330"/>
    <mergeCell ref="H329:R329"/>
    <mergeCell ref="H328:R328"/>
    <mergeCell ref="P430:R430"/>
    <mergeCell ref="A21:AL21"/>
    <mergeCell ref="M27:Q27"/>
    <mergeCell ref="A13:AT14"/>
    <mergeCell ref="H16:AJ16"/>
    <mergeCell ref="A69:AT70"/>
    <mergeCell ref="A72:AT73"/>
    <mergeCell ref="M367:N367"/>
    <mergeCell ref="H18:AJ18"/>
    <mergeCell ref="O33:P33"/>
    <mergeCell ref="M26:Q26"/>
    <mergeCell ref="W642:Y642"/>
    <mergeCell ref="AI589:AK589"/>
    <mergeCell ref="AC638:AE638"/>
    <mergeCell ref="AI567:AL567"/>
    <mergeCell ref="Q638:S638"/>
    <mergeCell ref="G597:L597"/>
    <mergeCell ref="G577:R577"/>
    <mergeCell ref="H590:R590"/>
    <mergeCell ref="Z587:AK587"/>
    <mergeCell ref="G609:R609"/>
    <mergeCell ref="H296:R296"/>
    <mergeCell ref="AM572:AS572"/>
    <mergeCell ref="Z639:AB639"/>
    <mergeCell ref="AO639:AS639"/>
    <mergeCell ref="AM567:AS567"/>
    <mergeCell ref="AM564:AS564"/>
    <mergeCell ref="W479:Y479"/>
    <mergeCell ref="AK635:AN635"/>
    <mergeCell ref="AM573:AS573"/>
    <mergeCell ref="AE571:AH571"/>
    <mergeCell ref="Z576:AK576"/>
    <mergeCell ref="Z579:AK579"/>
    <mergeCell ref="AI572:AL572"/>
    <mergeCell ref="T569:V569"/>
    <mergeCell ref="AC511:AF511"/>
    <mergeCell ref="AC521:AF521"/>
    <mergeCell ref="AC526:AF526"/>
    <mergeCell ref="AH512:AK512"/>
    <mergeCell ref="Z609:AK609"/>
    <mergeCell ref="EM644:EQ644"/>
    <mergeCell ref="DX645:EB645"/>
    <mergeCell ref="EM649:EQ649"/>
    <mergeCell ref="ER663:EV663"/>
    <mergeCell ref="EH656:EL656"/>
    <mergeCell ref="EH659:EL659"/>
    <mergeCell ref="A360:AT361"/>
    <mergeCell ref="I401:N401"/>
    <mergeCell ref="M366:N366"/>
    <mergeCell ref="Q643:S643"/>
    <mergeCell ref="Z601:AK601"/>
    <mergeCell ref="AK637:AN637"/>
    <mergeCell ref="C641:L641"/>
    <mergeCell ref="AI340:AK340"/>
    <mergeCell ref="Z632:AB634"/>
    <mergeCell ref="P621:R621"/>
    <mergeCell ref="W640:Y640"/>
    <mergeCell ref="AC524:AF524"/>
    <mergeCell ref="M573:P573"/>
    <mergeCell ref="AI570:AL570"/>
    <mergeCell ref="ER647:EV647"/>
    <mergeCell ref="DX652:EB652"/>
    <mergeCell ref="DX650:EB650"/>
    <mergeCell ref="ER659:EV659"/>
    <mergeCell ref="ER660:EV660"/>
    <mergeCell ref="DX653:EB653"/>
    <mergeCell ref="EH655:EL655"/>
    <mergeCell ref="EM655:EQ655"/>
    <mergeCell ref="DX656:EB656"/>
    <mergeCell ref="EH650:EL650"/>
    <mergeCell ref="EM650:EQ650"/>
    <mergeCell ref="ER650:EV650"/>
    <mergeCell ref="X740:AB740"/>
    <mergeCell ref="AH741:AJ741"/>
    <mergeCell ref="CP802:CT802"/>
    <mergeCell ref="DE744:DI744"/>
    <mergeCell ref="CM748:CN748"/>
    <mergeCell ref="EM656:EQ656"/>
    <mergeCell ref="EH663:EL663"/>
    <mergeCell ref="EM663:EQ663"/>
    <mergeCell ref="DU726:DY726"/>
    <mergeCell ref="DU729:DY729"/>
    <mergeCell ref="EE729:EI729"/>
    <mergeCell ref="EJ729:EN729"/>
    <mergeCell ref="DZ729:ED729"/>
    <mergeCell ref="DZ730:ED730"/>
    <mergeCell ref="DU725:DY725"/>
    <mergeCell ref="CP797:CT797"/>
    <mergeCell ref="DU747:DY747"/>
    <mergeCell ref="DZ747:ED747"/>
    <mergeCell ref="AA664:AK664"/>
    <mergeCell ref="Z694:AK694"/>
    <mergeCell ref="DJ742:DN742"/>
    <mergeCell ref="X739:AB739"/>
    <mergeCell ref="DU727:DY727"/>
    <mergeCell ref="EE725:EI725"/>
    <mergeCell ref="EJ728:EN728"/>
    <mergeCell ref="DE782:DI782"/>
    <mergeCell ref="T742:W742"/>
    <mergeCell ref="AF643:AJ643"/>
    <mergeCell ref="AO643:AS643"/>
    <mergeCell ref="EC645:EG645"/>
    <mergeCell ref="AK734:AO734"/>
    <mergeCell ref="CU729:CY729"/>
    <mergeCell ref="DO735:DS735"/>
    <mergeCell ref="CZ753:DD753"/>
    <mergeCell ref="DE753:DI753"/>
    <mergeCell ref="DE731:DI731"/>
    <mergeCell ref="DO729:DS729"/>
    <mergeCell ref="DO733:DS733"/>
    <mergeCell ref="DJ730:DN730"/>
    <mergeCell ref="DO740:DS740"/>
    <mergeCell ref="DO799:DS799"/>
    <mergeCell ref="DU759:DY759"/>
    <mergeCell ref="DZ745:ED745"/>
    <mergeCell ref="EE761:EI761"/>
    <mergeCell ref="DZ746:ED746"/>
    <mergeCell ref="EE746:EI746"/>
    <mergeCell ref="EC669:EG669"/>
    <mergeCell ref="EH669:EL669"/>
    <mergeCell ref="DX649:EB649"/>
    <mergeCell ref="EC652:EG652"/>
    <mergeCell ref="EH652:EL652"/>
    <mergeCell ref="EC657:EG657"/>
    <mergeCell ref="DU728:DY728"/>
    <mergeCell ref="DX662:EB662"/>
    <mergeCell ref="DX659:EB659"/>
    <mergeCell ref="EC659:EG659"/>
    <mergeCell ref="EH674:EL674"/>
    <mergeCell ref="EC662:EG662"/>
    <mergeCell ref="CU800:CY800"/>
    <mergeCell ref="CU801:CY801"/>
    <mergeCell ref="CU802:CY802"/>
    <mergeCell ref="EH658:EL658"/>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EJ747:EN747"/>
    <mergeCell ref="DJ746:DN746"/>
    <mergeCell ref="EO745:ES745"/>
    <mergeCell ref="AK745:AO745"/>
    <mergeCell ref="AK757:AO757"/>
    <mergeCell ref="AK759:AO759"/>
    <mergeCell ref="EE749:EI749"/>
    <mergeCell ref="DU753:DY753"/>
    <mergeCell ref="DZ753:ED753"/>
    <mergeCell ref="CK759:CL759"/>
    <mergeCell ref="CZ756:DD756"/>
    <mergeCell ref="DE756:DI756"/>
    <mergeCell ref="CZ755:DD755"/>
    <mergeCell ref="DE755:DI755"/>
    <mergeCell ref="EO760:ES760"/>
    <mergeCell ref="CP798:CT798"/>
    <mergeCell ref="DO785:DS785"/>
    <mergeCell ref="CZ785:DD785"/>
    <mergeCell ref="DE785:DI785"/>
    <mergeCell ref="DE783:DI783"/>
    <mergeCell ref="DZ759:ED759"/>
    <mergeCell ref="DU760:DY760"/>
    <mergeCell ref="DZ760:ED760"/>
    <mergeCell ref="DJ760:DN760"/>
    <mergeCell ref="DJ781:DN781"/>
    <mergeCell ref="DJ785:DN785"/>
    <mergeCell ref="CZ782:DD782"/>
    <mergeCell ref="CZ760:DD760"/>
    <mergeCell ref="CZ761:DD761"/>
    <mergeCell ref="DJ783:DN783"/>
    <mergeCell ref="CZ781:DD781"/>
    <mergeCell ref="DJ782:DN782"/>
    <mergeCell ref="DZ795:ED795"/>
    <mergeCell ref="DZ796:ED796"/>
    <mergeCell ref="DZ797:ED797"/>
    <mergeCell ref="DZ798:ED798"/>
    <mergeCell ref="DO795:DS795"/>
    <mergeCell ref="DO796:DS796"/>
    <mergeCell ref="DO797:DS797"/>
    <mergeCell ref="DO798:DS798"/>
    <mergeCell ref="DE784:DI784"/>
    <mergeCell ref="DO782:DS782"/>
    <mergeCell ref="CZ754:DD754"/>
    <mergeCell ref="CZ749:DD749"/>
    <mergeCell ref="DZ744:ED744"/>
    <mergeCell ref="EE744:EI744"/>
    <mergeCell ref="EJ744:EN744"/>
    <mergeCell ref="DO781:DS781"/>
    <mergeCell ref="DE748:DI748"/>
    <mergeCell ref="DU748:DY748"/>
    <mergeCell ref="DZ748:ED748"/>
    <mergeCell ref="EE748:EI748"/>
    <mergeCell ref="EE753:EI753"/>
    <mergeCell ref="DU757:DY757"/>
    <mergeCell ref="DZ757:ED757"/>
    <mergeCell ref="DO754:DS754"/>
    <mergeCell ref="DE758:DI758"/>
    <mergeCell ref="DU761:DY761"/>
    <mergeCell ref="DZ761:ED761"/>
    <mergeCell ref="DJ750:DN750"/>
    <mergeCell ref="DE750:DI750"/>
    <mergeCell ref="DE757:DI757"/>
    <mergeCell ref="EJ760:EN760"/>
    <mergeCell ref="DJ754:DN754"/>
    <mergeCell ref="DJ758:DN758"/>
    <mergeCell ref="EE759:EI759"/>
    <mergeCell ref="EZ761:FD761"/>
    <mergeCell ref="EJ739:EN739"/>
    <mergeCell ref="ET739:EX739"/>
    <mergeCell ref="EJ735:EN735"/>
    <mergeCell ref="EO737:ES737"/>
    <mergeCell ref="EO740:ES740"/>
    <mergeCell ref="ET759:EX759"/>
    <mergeCell ref="EJ759:EN759"/>
    <mergeCell ref="EO747:ES747"/>
    <mergeCell ref="ET747:EX747"/>
    <mergeCell ref="DO746:DS746"/>
    <mergeCell ref="DE729:DI729"/>
    <mergeCell ref="DU741:DY741"/>
    <mergeCell ref="EE747:EI747"/>
    <mergeCell ref="DO761:DS761"/>
    <mergeCell ref="DJ759:DN759"/>
    <mergeCell ref="ET745:EX745"/>
    <mergeCell ref="EJ761:EN761"/>
    <mergeCell ref="DO748:DS748"/>
    <mergeCell ref="DJ748:DN748"/>
    <mergeCell ref="DE761:DI761"/>
    <mergeCell ref="DO759:DS759"/>
    <mergeCell ref="DO760:DS760"/>
    <mergeCell ref="DE759:DI759"/>
    <mergeCell ref="EE760:EI760"/>
    <mergeCell ref="DU746:DY746"/>
    <mergeCell ref="EO761:ES761"/>
    <mergeCell ref="EJ748:EN748"/>
    <mergeCell ref="EO753:ES753"/>
    <mergeCell ref="EZ734:FD734"/>
    <mergeCell ref="DO738:DS738"/>
    <mergeCell ref="DO739:DS739"/>
    <mergeCell ref="FE761:FI761"/>
    <mergeCell ref="EJ743:EN743"/>
    <mergeCell ref="EO743:ES743"/>
    <mergeCell ref="DZ743:ED743"/>
    <mergeCell ref="ET743:EX743"/>
    <mergeCell ref="EZ760:FD760"/>
    <mergeCell ref="FE760:FI760"/>
    <mergeCell ref="ET760:EX760"/>
    <mergeCell ref="EO759:ES759"/>
    <mergeCell ref="ET761:EX761"/>
    <mergeCell ref="DJ745:DN745"/>
    <mergeCell ref="EJ750:EN750"/>
    <mergeCell ref="EO750:ES750"/>
    <mergeCell ref="DO749:DS749"/>
    <mergeCell ref="EZ748:FD748"/>
    <mergeCell ref="FE748:FI748"/>
    <mergeCell ref="FE753:FI753"/>
    <mergeCell ref="DJ757:DN757"/>
    <mergeCell ref="DO757:DS757"/>
    <mergeCell ref="DJ756:DN756"/>
    <mergeCell ref="DO756:DS756"/>
    <mergeCell ref="DJ752:DN752"/>
    <mergeCell ref="DJ749:DN749"/>
    <mergeCell ref="ET744:EX744"/>
    <mergeCell ref="EE743:EI743"/>
    <mergeCell ref="FE759:FI759"/>
    <mergeCell ref="EJ757:EN757"/>
    <mergeCell ref="DJ755:DN755"/>
    <mergeCell ref="EO756:ES756"/>
    <mergeCell ref="ET756:EX756"/>
    <mergeCell ref="ET749:EX749"/>
    <mergeCell ref="DU744:DY744"/>
    <mergeCell ref="DX655:EB655"/>
    <mergeCell ref="ER669:EV669"/>
    <mergeCell ref="EO746:ES746"/>
    <mergeCell ref="EM657:EQ657"/>
    <mergeCell ref="EM662:EQ662"/>
    <mergeCell ref="ER662:EV662"/>
    <mergeCell ref="EM660:EQ660"/>
    <mergeCell ref="DX658:EB658"/>
    <mergeCell ref="EC658:EG658"/>
    <mergeCell ref="EC663:EG663"/>
    <mergeCell ref="DX675:EB675"/>
    <mergeCell ref="EW669:FA669"/>
    <mergeCell ref="EJ745:EN745"/>
    <mergeCell ref="ET742:EX742"/>
    <mergeCell ref="EM670:EQ670"/>
    <mergeCell ref="ER670:EV670"/>
    <mergeCell ref="DU735:DY735"/>
    <mergeCell ref="DU745:DY745"/>
    <mergeCell ref="DU743:DY743"/>
    <mergeCell ref="EC677:EG677"/>
    <mergeCell ref="ER657:EV657"/>
    <mergeCell ref="DZ741:ED741"/>
    <mergeCell ref="DX670:EB670"/>
    <mergeCell ref="EC670:EG670"/>
    <mergeCell ref="EE745:EI745"/>
    <mergeCell ref="EO730:ES730"/>
    <mergeCell ref="EJ746:EN746"/>
    <mergeCell ref="ET746:EX746"/>
    <mergeCell ref="EH662:EL662"/>
    <mergeCell ref="EH676:EL676"/>
    <mergeCell ref="DX665:EB665"/>
    <mergeCell ref="EE739:EI739"/>
    <mergeCell ref="DX657:EB657"/>
    <mergeCell ref="DX663:EB663"/>
    <mergeCell ref="DX664:EB664"/>
    <mergeCell ref="EC664:EG664"/>
    <mergeCell ref="EH664:EL664"/>
    <mergeCell ref="EM664:EQ664"/>
    <mergeCell ref="EH660:EL660"/>
    <mergeCell ref="ER664:EV664"/>
    <mergeCell ref="EW677:FA677"/>
    <mergeCell ref="EH661:EL661"/>
    <mergeCell ref="EM661:EQ661"/>
    <mergeCell ref="ER661:EV661"/>
    <mergeCell ref="EW663:FA663"/>
    <mergeCell ref="DX661:EB661"/>
    <mergeCell ref="EC661:EG661"/>
    <mergeCell ref="ER677:EV677"/>
    <mergeCell ref="ER676:EV676"/>
    <mergeCell ref="EW676:FA676"/>
    <mergeCell ref="EW672:FA672"/>
    <mergeCell ref="EW674:FA674"/>
    <mergeCell ref="EW662:FA662"/>
    <mergeCell ref="EJ730:EN730"/>
    <mergeCell ref="DZ725:ED725"/>
    <mergeCell ref="EJ726:EN726"/>
    <mergeCell ref="EH672:EL672"/>
    <mergeCell ref="DX674:EB674"/>
    <mergeCell ref="EC674:EG674"/>
    <mergeCell ref="EH668:EL668"/>
    <mergeCell ref="EH677:EL677"/>
    <mergeCell ref="EM677:EQ677"/>
    <mergeCell ref="ET736:EX736"/>
    <mergeCell ref="EO728:ES728"/>
    <mergeCell ref="ET735:EX735"/>
    <mergeCell ref="DZ735:ED735"/>
    <mergeCell ref="EE735:EI735"/>
    <mergeCell ref="EE731:EI731"/>
    <mergeCell ref="EJ731:EN731"/>
    <mergeCell ref="EO733:ES733"/>
    <mergeCell ref="EJ732:EN732"/>
    <mergeCell ref="EO731:ES731"/>
    <mergeCell ref="DX676:EB676"/>
    <mergeCell ref="EH670:EL670"/>
    <mergeCell ref="EO729:ES729"/>
    <mergeCell ref="EO725:ES725"/>
    <mergeCell ref="EJ725:EN725"/>
    <mergeCell ref="ER668:EV668"/>
    <mergeCell ref="EO726:ES726"/>
    <mergeCell ref="ET725:EX725"/>
    <mergeCell ref="DZ732:ED732"/>
    <mergeCell ref="ET731:EX731"/>
    <mergeCell ref="EE733:EI733"/>
    <mergeCell ref="EM678:EQ678"/>
    <mergeCell ref="EE734:EI734"/>
    <mergeCell ref="DX651:EB651"/>
    <mergeCell ref="DX648:EB648"/>
    <mergeCell ref="DX654:EB654"/>
    <mergeCell ref="EC654:EG654"/>
    <mergeCell ref="EH654:EL654"/>
    <mergeCell ref="EC650:EG650"/>
    <mergeCell ref="EC649:EG649"/>
    <mergeCell ref="EC651:EG651"/>
    <mergeCell ref="EW645:FA645"/>
    <mergeCell ref="EC653:EG653"/>
    <mergeCell ref="ER653:EV653"/>
    <mergeCell ref="EW653:FA653"/>
    <mergeCell ref="EM645:EQ645"/>
    <mergeCell ref="EM652:EQ652"/>
    <mergeCell ref="ER652:EV652"/>
    <mergeCell ref="EM654:EQ654"/>
    <mergeCell ref="EW650:FA650"/>
    <mergeCell ref="EW651:FA651"/>
    <mergeCell ref="EC647:EG647"/>
    <mergeCell ref="EH647:EL647"/>
    <mergeCell ref="EM647:EQ647"/>
    <mergeCell ref="ER654:EV654"/>
    <mergeCell ref="EW654:FA654"/>
    <mergeCell ref="DX647:EB647"/>
    <mergeCell ref="EW649:FA649"/>
    <mergeCell ref="EH645:EL645"/>
    <mergeCell ref="EC655:EG655"/>
    <mergeCell ref="ER649:EV649"/>
    <mergeCell ref="EH649:EL649"/>
    <mergeCell ref="EW652:FA652"/>
    <mergeCell ref="EW655:FA655"/>
    <mergeCell ref="EW658:FA658"/>
    <mergeCell ref="EW656:FA656"/>
    <mergeCell ref="EH651:EL651"/>
    <mergeCell ref="EM651:EQ651"/>
    <mergeCell ref="EC656:EG656"/>
    <mergeCell ref="EW647:FA647"/>
    <mergeCell ref="EC648:EG648"/>
    <mergeCell ref="EW648:FA648"/>
    <mergeCell ref="EW646:FA646"/>
    <mergeCell ref="ER651:EV651"/>
    <mergeCell ref="ER648:EV648"/>
    <mergeCell ref="ER656:EV656"/>
    <mergeCell ref="ER655:EV655"/>
    <mergeCell ref="EH653:EL653"/>
    <mergeCell ref="EM653:EQ653"/>
    <mergeCell ref="EH648:EL648"/>
    <mergeCell ref="EM648:EQ648"/>
    <mergeCell ref="EM676:EQ676"/>
    <mergeCell ref="DX678:EB678"/>
    <mergeCell ref="EM672:EQ672"/>
    <mergeCell ref="ER672:EV672"/>
    <mergeCell ref="EC675:EG675"/>
    <mergeCell ref="EH675:EL675"/>
    <mergeCell ref="EM674:EQ674"/>
    <mergeCell ref="ER674:EV674"/>
    <mergeCell ref="DX672:EB672"/>
    <mergeCell ref="EM668:EQ668"/>
    <mergeCell ref="ER665:EV665"/>
    <mergeCell ref="EM659:EQ659"/>
    <mergeCell ref="EM675:EQ675"/>
    <mergeCell ref="EW659:FA659"/>
    <mergeCell ref="EW657:FA657"/>
    <mergeCell ref="FE728:FI728"/>
    <mergeCell ref="FJ728:FN728"/>
    <mergeCell ref="EZ725:FD725"/>
    <mergeCell ref="EH657:EL657"/>
    <mergeCell ref="ER658:EV658"/>
    <mergeCell ref="EM658:EQ658"/>
    <mergeCell ref="EW660:FA660"/>
    <mergeCell ref="EO727:ES727"/>
    <mergeCell ref="ET727:EX727"/>
    <mergeCell ref="EW665:FA665"/>
    <mergeCell ref="EH667:EL667"/>
    <mergeCell ref="EW661:FA661"/>
    <mergeCell ref="EC665:EG665"/>
    <mergeCell ref="EH665:EL665"/>
    <mergeCell ref="EM665:EQ665"/>
    <mergeCell ref="EW668:FA668"/>
    <mergeCell ref="DX669:EB669"/>
    <mergeCell ref="EJ749:EN749"/>
    <mergeCell ref="EO749:ES749"/>
    <mergeCell ref="ET741:EX741"/>
    <mergeCell ref="FE725:FI725"/>
    <mergeCell ref="DX660:EB660"/>
    <mergeCell ref="EC660:EG660"/>
    <mergeCell ref="EO734:ES734"/>
    <mergeCell ref="ET734:EX734"/>
    <mergeCell ref="ET730:EX730"/>
    <mergeCell ref="ET728:EX728"/>
    <mergeCell ref="ET726:EX726"/>
    <mergeCell ref="EE727:EI727"/>
    <mergeCell ref="DZ728:ED728"/>
    <mergeCell ref="EJ727:EN727"/>
    <mergeCell ref="ET733:EX733"/>
    <mergeCell ref="DU732:DY732"/>
    <mergeCell ref="DZ727:ED727"/>
    <mergeCell ref="EO736:ES736"/>
    <mergeCell ref="EW678:FA678"/>
    <mergeCell ref="EW664:FA664"/>
    <mergeCell ref="ER675:EV675"/>
    <mergeCell ref="EW675:FA675"/>
    <mergeCell ref="EM669:EQ669"/>
    <mergeCell ref="ER678:EV678"/>
    <mergeCell ref="DX677:EB677"/>
    <mergeCell ref="EC678:EG678"/>
    <mergeCell ref="EH678:EL678"/>
    <mergeCell ref="DX667:EB667"/>
    <mergeCell ref="ET729:EX729"/>
    <mergeCell ref="EE728:EI728"/>
    <mergeCell ref="DU738:DY738"/>
    <mergeCell ref="EE736:EI736"/>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T748:FX748"/>
    <mergeCell ref="FT741:FX741"/>
    <mergeCell ref="FT742:FX742"/>
    <mergeCell ref="FY742:GC742"/>
    <mergeCell ref="EZ743:FD743"/>
    <mergeCell ref="FE743:FI743"/>
    <mergeCell ref="FJ748:FN748"/>
    <mergeCell ref="FT750:FX750"/>
    <mergeCell ref="FJ750:FN750"/>
    <mergeCell ref="FO750:FS750"/>
    <mergeCell ref="FO739:FS739"/>
    <mergeCell ref="FT739:FX739"/>
    <mergeCell ref="FY739:GC739"/>
    <mergeCell ref="FO728:FS728"/>
    <mergeCell ref="FJ745:FN745"/>
    <mergeCell ref="FO745:FS745"/>
    <mergeCell ref="FJ742:FN742"/>
    <mergeCell ref="FO742:FS742"/>
    <mergeCell ref="FY735:GC735"/>
    <mergeCell ref="FO738:FS738"/>
    <mergeCell ref="FT738:FX738"/>
    <mergeCell ref="FE735:FI735"/>
    <mergeCell ref="FJ735:FN735"/>
    <mergeCell ref="FO735:FS735"/>
    <mergeCell ref="FT735:FX735"/>
    <mergeCell ref="FY740:GC740"/>
    <mergeCell ref="FJ738:FN738"/>
    <mergeCell ref="FY736:GC736"/>
    <mergeCell ref="FJ743:FN743"/>
    <mergeCell ref="FE737:FI737"/>
    <mergeCell ref="FJ737:FN737"/>
    <mergeCell ref="FJ739:FN739"/>
    <mergeCell ref="FE740:FI740"/>
    <mergeCell ref="FJ740:FN740"/>
    <mergeCell ref="FY729:GC729"/>
    <mergeCell ref="FE730:FI730"/>
    <mergeCell ref="FJ730:FN730"/>
    <mergeCell ref="FY759:GC759"/>
    <mergeCell ref="EZ736:FD736"/>
    <mergeCell ref="FE736:FI736"/>
    <mergeCell ref="FJ736:FN736"/>
    <mergeCell ref="FO736:FS736"/>
    <mergeCell ref="FT736:FX736"/>
    <mergeCell ref="FT749:FX749"/>
    <mergeCell ref="FY746:GC746"/>
    <mergeCell ref="FY738:GC738"/>
    <mergeCell ref="FY750:GC750"/>
    <mergeCell ref="EZ751:FD751"/>
    <mergeCell ref="FO743:FS743"/>
    <mergeCell ref="FT743:FX743"/>
    <mergeCell ref="FY743:GC743"/>
    <mergeCell ref="EZ744:FD744"/>
    <mergeCell ref="FE744:FI744"/>
    <mergeCell ref="FJ744:FN744"/>
    <mergeCell ref="FO748:FS748"/>
    <mergeCell ref="FJ741:FN741"/>
    <mergeCell ref="FO741:FS741"/>
    <mergeCell ref="EZ747:FD747"/>
    <mergeCell ref="FE747:FI747"/>
    <mergeCell ref="FJ747:FN747"/>
    <mergeCell ref="FO747:FS747"/>
    <mergeCell ref="EZ738:FD738"/>
    <mergeCell ref="FY737:GC737"/>
    <mergeCell ref="FY745:GC745"/>
    <mergeCell ref="FY744:GC744"/>
    <mergeCell ref="EZ745:FD745"/>
    <mergeCell ref="FE745:FI745"/>
    <mergeCell ref="FT745:FX745"/>
    <mergeCell ref="FJ751:FN751"/>
    <mergeCell ref="FJ752:FN752"/>
    <mergeCell ref="FO752:FS752"/>
    <mergeCell ref="FT752:FX752"/>
    <mergeCell ref="EZ737:FD737"/>
    <mergeCell ref="EJ742:EN742"/>
    <mergeCell ref="EE741:EI741"/>
    <mergeCell ref="ET740:EX74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O729:FS729"/>
    <mergeCell ref="FJ733:FN733"/>
    <mergeCell ref="EZ735:FD735"/>
    <mergeCell ref="EZ739:FD739"/>
    <mergeCell ref="FE739:FI739"/>
    <mergeCell ref="FY734:GC734"/>
    <mergeCell ref="FJ759:FN759"/>
    <mergeCell ref="FE732:FI732"/>
    <mergeCell ref="M981:S981"/>
    <mergeCell ref="O784:S784"/>
    <mergeCell ref="FO740:FS740"/>
    <mergeCell ref="FT740:FX740"/>
    <mergeCell ref="O777:S780"/>
    <mergeCell ref="FE734:FI734"/>
    <mergeCell ref="K748:N748"/>
    <mergeCell ref="AC746:AG746"/>
    <mergeCell ref="AK758:AO758"/>
    <mergeCell ref="G747:J747"/>
    <mergeCell ref="FO759:FS759"/>
    <mergeCell ref="FO744:FS744"/>
    <mergeCell ref="FT744:FX744"/>
    <mergeCell ref="FT737:FX737"/>
    <mergeCell ref="FJ760:FN760"/>
    <mergeCell ref="FO760:FS760"/>
    <mergeCell ref="FT760:FX760"/>
    <mergeCell ref="EZ759:FD759"/>
    <mergeCell ref="AH737:AJ737"/>
    <mergeCell ref="FO734:FS734"/>
    <mergeCell ref="FO737:FS737"/>
    <mergeCell ref="FE738:FI738"/>
    <mergeCell ref="FE741:FI741"/>
    <mergeCell ref="FT734:FX734"/>
    <mergeCell ref="FJ734:FN734"/>
    <mergeCell ref="FT759:FX759"/>
    <mergeCell ref="FO751:FS751"/>
    <mergeCell ref="FT751:FX751"/>
    <mergeCell ref="EZ752:FD752"/>
    <mergeCell ref="FE752:FI752"/>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FJ725:FN725"/>
    <mergeCell ref="FJ729:FN729"/>
    <mergeCell ref="FO725:FS725"/>
    <mergeCell ref="EZ728:FD728"/>
    <mergeCell ref="EZ730:FD730"/>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4:Q994"/>
    <mergeCell ref="D1038:AE1038"/>
    <mergeCell ref="B1000:AA1000"/>
    <mergeCell ref="G653:R653"/>
    <mergeCell ref="AG1038:AH1038"/>
    <mergeCell ref="K743:N743"/>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B997:AI997"/>
    <mergeCell ref="AJ998:AQ998"/>
    <mergeCell ref="T982:Z982"/>
    <mergeCell ref="I956:T956"/>
    <mergeCell ref="T747:W747"/>
    <mergeCell ref="AK738:AO738"/>
    <mergeCell ref="AC738:AG738"/>
    <mergeCell ref="AC741:AG741"/>
    <mergeCell ref="H696:R696"/>
    <mergeCell ref="Q639:S639"/>
    <mergeCell ref="T640:V640"/>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1010:AE1010"/>
    <mergeCell ref="M971:S971"/>
    <mergeCell ref="R995:AA995"/>
    <mergeCell ref="T759:W759"/>
    <mergeCell ref="K756:N756"/>
    <mergeCell ref="M968:S968"/>
    <mergeCell ref="J966:S966"/>
    <mergeCell ref="AE968:AK968"/>
    <mergeCell ref="B743:F743"/>
    <mergeCell ref="B746:F746"/>
    <mergeCell ref="O755:S755"/>
    <mergeCell ref="AC740:AG740"/>
    <mergeCell ref="X741:AB741"/>
    <mergeCell ref="G740:J740"/>
    <mergeCell ref="X742:AB742"/>
    <mergeCell ref="AG764:AJ764"/>
    <mergeCell ref="M978:S978"/>
    <mergeCell ref="AA944:AF944"/>
    <mergeCell ref="AA927:AF927"/>
    <mergeCell ref="AA978:AG978"/>
    <mergeCell ref="AA958:AF958"/>
    <mergeCell ref="E894:AB894"/>
    <mergeCell ref="M839:P839"/>
    <mergeCell ref="Q839:T839"/>
    <mergeCell ref="K742:N742"/>
    <mergeCell ref="C774:AR776"/>
    <mergeCell ref="B745:F745"/>
    <mergeCell ref="K746:N746"/>
    <mergeCell ref="AA948:AF948"/>
    <mergeCell ref="M964:S964"/>
    <mergeCell ref="AE965:AK965"/>
    <mergeCell ref="U953:Z953"/>
    <mergeCell ref="I957:T957"/>
    <mergeCell ref="AC904:AH904"/>
    <mergeCell ref="B1001:AI1001"/>
    <mergeCell ref="AA977:AG977"/>
    <mergeCell ref="AE964:AK964"/>
    <mergeCell ref="I959:T959"/>
    <mergeCell ref="D1004:AE1007"/>
    <mergeCell ref="D1003:AE1003"/>
    <mergeCell ref="D1009:AE1009"/>
    <mergeCell ref="O746:S746"/>
    <mergeCell ref="X743:AB743"/>
    <mergeCell ref="D996:Q996"/>
    <mergeCell ref="B760:F760"/>
    <mergeCell ref="B759:F759"/>
    <mergeCell ref="AC755:AG755"/>
    <mergeCell ref="T760:W760"/>
    <mergeCell ref="T746:W746"/>
    <mergeCell ref="B750:F750"/>
    <mergeCell ref="B751:F751"/>
    <mergeCell ref="B744:F744"/>
    <mergeCell ref="AH743:AJ743"/>
    <mergeCell ref="O747:S747"/>
    <mergeCell ref="AH753:AJ753"/>
    <mergeCell ref="AH754:AJ754"/>
    <mergeCell ref="AH755:AJ755"/>
    <mergeCell ref="AH756:AJ756"/>
    <mergeCell ref="AE969:AK969"/>
    <mergeCell ref="AE970:AK970"/>
    <mergeCell ref="AA957:AF957"/>
    <mergeCell ref="AA981:AG981"/>
    <mergeCell ref="AA929:AF929"/>
    <mergeCell ref="G745:J745"/>
    <mergeCell ref="M976:S976"/>
    <mergeCell ref="X749:AB749"/>
    <mergeCell ref="A1109:B1109"/>
    <mergeCell ref="G741:J741"/>
    <mergeCell ref="A1103:B1103"/>
    <mergeCell ref="K740:N740"/>
    <mergeCell ref="AJ1000:AQ1000"/>
    <mergeCell ref="W874:AC874"/>
    <mergeCell ref="W888:AC888"/>
    <mergeCell ref="K741:N741"/>
    <mergeCell ref="O756:S756"/>
    <mergeCell ref="T783:W783"/>
    <mergeCell ref="C771:AR773"/>
    <mergeCell ref="AC760:AG760"/>
    <mergeCell ref="T757:W757"/>
    <mergeCell ref="K758:N758"/>
    <mergeCell ref="J791:N794"/>
    <mergeCell ref="T798:W798"/>
    <mergeCell ref="T801:W801"/>
    <mergeCell ref="O783:S783"/>
    <mergeCell ref="J800:N800"/>
    <mergeCell ref="Z814:AE814"/>
    <mergeCell ref="X799:AB799"/>
    <mergeCell ref="J796:N796"/>
    <mergeCell ref="Z822:AE822"/>
    <mergeCell ref="Z825:AE825"/>
    <mergeCell ref="P824:Y824"/>
    <mergeCell ref="T750:W750"/>
    <mergeCell ref="AB926:AE926"/>
    <mergeCell ref="AA931:AF931"/>
    <mergeCell ref="M967:S967"/>
    <mergeCell ref="D998:Q998"/>
    <mergeCell ref="M977:S977"/>
    <mergeCell ref="F941:T941"/>
    <mergeCell ref="A1134:B1134"/>
    <mergeCell ref="B740:F740"/>
    <mergeCell ref="T753:W753"/>
    <mergeCell ref="AH738:AJ738"/>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D1134:AK1136"/>
    <mergeCell ref="A1106:B1106"/>
    <mergeCell ref="AA942:AF942"/>
    <mergeCell ref="Z909:AE909"/>
    <mergeCell ref="M969:S969"/>
    <mergeCell ref="Z910:AE910"/>
    <mergeCell ref="W887:AC887"/>
    <mergeCell ref="U940:Z940"/>
    <mergeCell ref="F924:T924"/>
    <mergeCell ref="I955:T955"/>
    <mergeCell ref="AA955:AF955"/>
    <mergeCell ref="M887:V887"/>
    <mergeCell ref="U955:Z955"/>
    <mergeCell ref="F955:H955"/>
    <mergeCell ref="AA946:AF946"/>
    <mergeCell ref="F951:T951"/>
    <mergeCell ref="U951:Z951"/>
    <mergeCell ref="AA951:AF951"/>
    <mergeCell ref="C901:AB901"/>
    <mergeCell ref="U933:Z933"/>
    <mergeCell ref="U942:Z942"/>
    <mergeCell ref="U943:Z943"/>
    <mergeCell ref="F939:T939"/>
    <mergeCell ref="F940:T940"/>
    <mergeCell ref="U929:Z929"/>
    <mergeCell ref="AA952:AF952"/>
    <mergeCell ref="AA934:AF934"/>
    <mergeCell ref="AE967:AK967"/>
    <mergeCell ref="F925:T926"/>
    <mergeCell ref="F949:T949"/>
    <mergeCell ref="U948:Z948"/>
    <mergeCell ref="U949:Z949"/>
    <mergeCell ref="AA941:AF941"/>
    <mergeCell ref="F947:T947"/>
    <mergeCell ref="AA976:AG976"/>
    <mergeCell ref="F937:T937"/>
    <mergeCell ref="U935:Z935"/>
    <mergeCell ref="AA945:AF945"/>
    <mergeCell ref="U952:Z952"/>
    <mergeCell ref="U950:Z950"/>
    <mergeCell ref="W870:AC870"/>
    <mergeCell ref="M885:V885"/>
    <mergeCell ref="W877:AC877"/>
    <mergeCell ref="AC902:AH902"/>
    <mergeCell ref="U958:Z958"/>
    <mergeCell ref="C838:H838"/>
    <mergeCell ref="F839:L839"/>
    <mergeCell ref="U835:X835"/>
    <mergeCell ref="C835:H835"/>
    <mergeCell ref="I958:T958"/>
    <mergeCell ref="U947:Z947"/>
    <mergeCell ref="AA953:AF953"/>
    <mergeCell ref="AA937:AF937"/>
    <mergeCell ref="AA928:AF928"/>
    <mergeCell ref="U934:Z934"/>
    <mergeCell ref="A919:AT920"/>
    <mergeCell ref="P954:T954"/>
    <mergeCell ref="Y835:AB835"/>
    <mergeCell ref="AG835:AJ835"/>
    <mergeCell ref="AA956:AF956"/>
    <mergeCell ref="Y838:AB838"/>
    <mergeCell ref="F953:T953"/>
    <mergeCell ref="Y837:AB837"/>
    <mergeCell ref="W857:AC857"/>
    <mergeCell ref="W850:AC850"/>
    <mergeCell ref="AC894:AH894"/>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I743:CJ743"/>
    <mergeCell ref="CP741:CT741"/>
    <mergeCell ref="CK743:CL743"/>
    <mergeCell ref="CP740:CT740"/>
    <mergeCell ref="CI741:CJ741"/>
    <mergeCell ref="O801:S801"/>
    <mergeCell ref="J798:N798"/>
    <mergeCell ref="J777:N780"/>
    <mergeCell ref="AG831:AJ832"/>
    <mergeCell ref="AC834:AF834"/>
    <mergeCell ref="G749:J749"/>
    <mergeCell ref="T803:W803"/>
    <mergeCell ref="T784:W784"/>
    <mergeCell ref="Q840:T840"/>
    <mergeCell ref="O805:S805"/>
    <mergeCell ref="O796:S796"/>
    <mergeCell ref="T752:W752"/>
    <mergeCell ref="K760:N760"/>
    <mergeCell ref="U837:X837"/>
    <mergeCell ref="X760:AB760"/>
    <mergeCell ref="H672:R672"/>
    <mergeCell ref="G686:R686"/>
    <mergeCell ref="P687:R687"/>
    <mergeCell ref="AK736:AO736"/>
    <mergeCell ref="AI679:AK679"/>
    <mergeCell ref="Z684:AK684"/>
    <mergeCell ref="P679:R679"/>
    <mergeCell ref="H680:R680"/>
    <mergeCell ref="G659:R659"/>
    <mergeCell ref="G660:R660"/>
    <mergeCell ref="CI730:CJ730"/>
    <mergeCell ref="AK748:AO748"/>
    <mergeCell ref="AK749:AO749"/>
    <mergeCell ref="O749:S749"/>
    <mergeCell ref="AK746:AO746"/>
    <mergeCell ref="G746:J746"/>
    <mergeCell ref="O745:S745"/>
    <mergeCell ref="Z661:AK661"/>
    <mergeCell ref="Z687:AE687"/>
    <mergeCell ref="CG734:CH734"/>
    <mergeCell ref="AK735:AO735"/>
    <mergeCell ref="AH732:AJ732"/>
    <mergeCell ref="AC733:AG733"/>
    <mergeCell ref="AC734:AG734"/>
    <mergeCell ref="G671:L671"/>
    <mergeCell ref="G679:L679"/>
    <mergeCell ref="G670:R670"/>
    <mergeCell ref="AG689:AH689"/>
    <mergeCell ref="AI695:AK695"/>
    <mergeCell ref="J713:O713"/>
    <mergeCell ref="G683:R683"/>
    <mergeCell ref="O748:S748"/>
    <mergeCell ref="DG122:DM122"/>
    <mergeCell ref="CU122:CV122"/>
    <mergeCell ref="AH722:AJ725"/>
    <mergeCell ref="AH733:AJ733"/>
    <mergeCell ref="BI849:BL849"/>
    <mergeCell ref="AC831:AF832"/>
    <mergeCell ref="Z824:AE824"/>
    <mergeCell ref="AC781:AG781"/>
    <mergeCell ref="AC838:AF838"/>
    <mergeCell ref="Y836:AB836"/>
    <mergeCell ref="AC777:AG780"/>
    <mergeCell ref="Y840:AB840"/>
    <mergeCell ref="DJ747:DN747"/>
    <mergeCell ref="CK748:CL748"/>
    <mergeCell ref="DE760:DI760"/>
    <mergeCell ref="AF635:AJ635"/>
    <mergeCell ref="CG760:CH760"/>
    <mergeCell ref="AC839:AF839"/>
    <mergeCell ref="AH742:AJ742"/>
    <mergeCell ref="AK728:AO728"/>
    <mergeCell ref="AH726:AJ726"/>
    <mergeCell ref="Z679:AE679"/>
    <mergeCell ref="W708:AK708"/>
    <mergeCell ref="Z691:AK691"/>
    <mergeCell ref="AA696:AK696"/>
    <mergeCell ref="AE710:AF710"/>
    <mergeCell ref="CU782:CY782"/>
    <mergeCell ref="DJ740:DN740"/>
    <mergeCell ref="CU740:CY740"/>
    <mergeCell ref="Y833:AB833"/>
    <mergeCell ref="AC833:AF833"/>
    <mergeCell ref="T738:W738"/>
    <mergeCell ref="DZ734:ED734"/>
    <mergeCell ref="DU736:DY736"/>
    <mergeCell ref="DZ740:ED740"/>
    <mergeCell ref="EE740:EI740"/>
    <mergeCell ref="EJ740:EN740"/>
    <mergeCell ref="EO738:ES738"/>
    <mergeCell ref="ET738:EX738"/>
    <mergeCell ref="EO732:ES732"/>
    <mergeCell ref="ET732:EX732"/>
    <mergeCell ref="DU734:DY734"/>
    <mergeCell ref="DU733:DY733"/>
    <mergeCell ref="DZ733:ED733"/>
    <mergeCell ref="DU731:DY731"/>
    <mergeCell ref="DZ731:ED731"/>
    <mergeCell ref="EO741:ES741"/>
    <mergeCell ref="DU737:DY737"/>
    <mergeCell ref="DU739:DY739"/>
    <mergeCell ref="DZ736:ED736"/>
    <mergeCell ref="EE732:EI732"/>
    <mergeCell ref="EE738:EI738"/>
    <mergeCell ref="EJ738:EN738"/>
    <mergeCell ref="DZ739:ED739"/>
    <mergeCell ref="EJ733:EN733"/>
    <mergeCell ref="DZ738:ED738"/>
    <mergeCell ref="EJ737:EN737"/>
    <mergeCell ref="EJ741:EN741"/>
    <mergeCell ref="EJ736:EN736"/>
    <mergeCell ref="EO735:ES735"/>
    <mergeCell ref="ET737:EX737"/>
    <mergeCell ref="EE737:EI737"/>
    <mergeCell ref="EO739:ES739"/>
    <mergeCell ref="EJ734:EN734"/>
    <mergeCell ref="DE727:DI727"/>
    <mergeCell ref="CZ728:DD728"/>
    <mergeCell ref="AK737:AO737"/>
    <mergeCell ref="EC676:EG676"/>
    <mergeCell ref="DO726:DS726"/>
    <mergeCell ref="DO727:DS727"/>
    <mergeCell ref="DE725:DI725"/>
    <mergeCell ref="CU727:CY727"/>
    <mergeCell ref="CG726:CH726"/>
    <mergeCell ref="EE730:EI730"/>
    <mergeCell ref="DZ726:ED726"/>
    <mergeCell ref="EE726:EI726"/>
    <mergeCell ref="EC672:EG672"/>
    <mergeCell ref="CU726:CY726"/>
    <mergeCell ref="CP725:CT725"/>
    <mergeCell ref="AK722:AO725"/>
    <mergeCell ref="AK726:AO726"/>
    <mergeCell ref="DZ737:ED737"/>
    <mergeCell ref="Z678:AK678"/>
    <mergeCell ref="Z695:AE695"/>
    <mergeCell ref="DJ731:DN731"/>
    <mergeCell ref="DJ732:DN732"/>
    <mergeCell ref="DE728:DI728"/>
    <mergeCell ref="DE732:DI732"/>
    <mergeCell ref="CI725:CJ725"/>
    <mergeCell ref="DJ729:DN729"/>
    <mergeCell ref="DO734:DS734"/>
    <mergeCell ref="AK730:AO730"/>
    <mergeCell ref="DU730:DY730"/>
    <mergeCell ref="CM729:CN729"/>
    <mergeCell ref="CM730:CN730"/>
    <mergeCell ref="CG730:CH730"/>
    <mergeCell ref="DO730:DS730"/>
    <mergeCell ref="AK645:AN645"/>
    <mergeCell ref="DX673:EB673"/>
    <mergeCell ref="DO725:DS725"/>
    <mergeCell ref="CZ729:DD729"/>
    <mergeCell ref="AH729:AJ729"/>
    <mergeCell ref="AH728:AJ728"/>
    <mergeCell ref="DO728:DS728"/>
    <mergeCell ref="J712:X712"/>
    <mergeCell ref="T722:W725"/>
    <mergeCell ref="AA656:AK656"/>
    <mergeCell ref="Z651:AK651"/>
    <mergeCell ref="CZ725:DD725"/>
    <mergeCell ref="CU728:CY728"/>
    <mergeCell ref="AF644:AJ644"/>
    <mergeCell ref="AF645:AJ645"/>
    <mergeCell ref="AC644:AE644"/>
    <mergeCell ref="CZ726:DD726"/>
    <mergeCell ref="DJ726:DN726"/>
    <mergeCell ref="X728:AB728"/>
    <mergeCell ref="CI728:CJ728"/>
    <mergeCell ref="K729:N729"/>
    <mergeCell ref="AG673:AH673"/>
    <mergeCell ref="AE704:AI704"/>
    <mergeCell ref="G678:R678"/>
    <mergeCell ref="Z677:AK677"/>
    <mergeCell ref="E715:AK715"/>
    <mergeCell ref="W714:AK714"/>
    <mergeCell ref="N697:O697"/>
    <mergeCell ref="AG697:AH697"/>
    <mergeCell ref="CZ730:DD730"/>
    <mergeCell ref="AE701:AF701"/>
    <mergeCell ref="G677:R677"/>
    <mergeCell ref="W637:Y637"/>
    <mergeCell ref="Z597:AE597"/>
    <mergeCell ref="AO644:AS644"/>
    <mergeCell ref="DO731:DS731"/>
    <mergeCell ref="DO732:DS732"/>
    <mergeCell ref="AF646:AJ646"/>
    <mergeCell ref="AC646:AE646"/>
    <mergeCell ref="AI671:AK671"/>
    <mergeCell ref="AE572:AH572"/>
    <mergeCell ref="T646:V646"/>
    <mergeCell ref="T636:V636"/>
    <mergeCell ref="DJ727:DN727"/>
    <mergeCell ref="CU725:CY725"/>
    <mergeCell ref="AC643:AE643"/>
    <mergeCell ref="W643:Y643"/>
    <mergeCell ref="Z605:AE605"/>
    <mergeCell ref="AF637:AJ637"/>
    <mergeCell ref="AI621:AK621"/>
    <mergeCell ref="AA622:AK622"/>
    <mergeCell ref="AC632:AE634"/>
    <mergeCell ref="Z604:AK604"/>
    <mergeCell ref="CG727:CH727"/>
    <mergeCell ref="CI729:CJ729"/>
    <mergeCell ref="AH727:AJ727"/>
    <mergeCell ref="CI727:CJ727"/>
    <mergeCell ref="AK644:AN644"/>
    <mergeCell ref="DJ728:DN728"/>
    <mergeCell ref="DJ725:DN725"/>
    <mergeCell ref="Z644:AB644"/>
    <mergeCell ref="Z645:AB645"/>
    <mergeCell ref="Z646:AB646"/>
    <mergeCell ref="AK727:AO727"/>
    <mergeCell ref="AO649:AS649"/>
    <mergeCell ref="Z659:AK659"/>
    <mergeCell ref="AK646:AN646"/>
    <mergeCell ref="CM725:CN725"/>
    <mergeCell ref="CM727:CN727"/>
    <mergeCell ref="W711:AK711"/>
    <mergeCell ref="X727:AB727"/>
    <mergeCell ref="CM726:CN726"/>
    <mergeCell ref="AF640:AJ640"/>
    <mergeCell ref="AC639:AE639"/>
    <mergeCell ref="AF639:AJ639"/>
    <mergeCell ref="Z637:AB637"/>
    <mergeCell ref="Z612:AK612"/>
    <mergeCell ref="Z621:AE621"/>
    <mergeCell ref="Z596:AK596"/>
    <mergeCell ref="AA606:AK606"/>
    <mergeCell ref="Z610:AK610"/>
    <mergeCell ref="Z620:AK620"/>
    <mergeCell ref="AC635:AE635"/>
    <mergeCell ref="AF632:AJ634"/>
    <mergeCell ref="AO645:AS645"/>
    <mergeCell ref="Z675:AK675"/>
    <mergeCell ref="AO636:AS636"/>
    <mergeCell ref="AG615:AH615"/>
    <mergeCell ref="AO632:AS634"/>
    <mergeCell ref="Z619:AK619"/>
    <mergeCell ref="AG623:AH623"/>
    <mergeCell ref="G662:R662"/>
    <mergeCell ref="G661:R661"/>
    <mergeCell ref="AC642:AE642"/>
    <mergeCell ref="Q644:S644"/>
    <mergeCell ref="Q645:S645"/>
    <mergeCell ref="AK642:AN642"/>
    <mergeCell ref="AK643:AN643"/>
    <mergeCell ref="C645:L645"/>
    <mergeCell ref="P663:R663"/>
    <mergeCell ref="AC641:AE641"/>
    <mergeCell ref="B647:AN647"/>
    <mergeCell ref="B648:AN648"/>
    <mergeCell ref="Z654:AK654"/>
    <mergeCell ref="Z643:AB643"/>
    <mergeCell ref="C643:L643"/>
    <mergeCell ref="AK632:AN634"/>
    <mergeCell ref="M582:R582"/>
    <mergeCell ref="N623:O623"/>
    <mergeCell ref="H622:R622"/>
    <mergeCell ref="P597:R597"/>
    <mergeCell ref="C636:L636"/>
    <mergeCell ref="Z618:AK618"/>
    <mergeCell ref="AF636:AJ636"/>
    <mergeCell ref="N607:O607"/>
    <mergeCell ref="AA598:AK598"/>
    <mergeCell ref="AI597:AK597"/>
    <mergeCell ref="C646:L646"/>
    <mergeCell ref="G619:R619"/>
    <mergeCell ref="T573:V573"/>
    <mergeCell ref="Q573:S573"/>
    <mergeCell ref="AG583:AH583"/>
    <mergeCell ref="G579:R579"/>
    <mergeCell ref="AA581:AK581"/>
    <mergeCell ref="Z585:AK585"/>
    <mergeCell ref="G578:R578"/>
    <mergeCell ref="P580:R580"/>
    <mergeCell ref="G669:R669"/>
    <mergeCell ref="AG681:AH681"/>
    <mergeCell ref="H688:R688"/>
    <mergeCell ref="Z676:AK676"/>
    <mergeCell ref="G676:R676"/>
    <mergeCell ref="G694:R694"/>
    <mergeCell ref="G684:R684"/>
    <mergeCell ref="H656:R656"/>
    <mergeCell ref="C635:L635"/>
    <mergeCell ref="N591:O591"/>
    <mergeCell ref="G589:L589"/>
    <mergeCell ref="G595:R595"/>
    <mergeCell ref="G586:R586"/>
    <mergeCell ref="G588:R588"/>
    <mergeCell ref="T638:V638"/>
    <mergeCell ref="Q632:S634"/>
    <mergeCell ref="T635:V635"/>
    <mergeCell ref="G655:L655"/>
    <mergeCell ref="Q646:S646"/>
    <mergeCell ref="Z670:AK670"/>
    <mergeCell ref="AA680:AK680"/>
    <mergeCell ref="Z692:AK692"/>
    <mergeCell ref="Z683:AK683"/>
    <mergeCell ref="G675:R675"/>
    <mergeCell ref="C637:L637"/>
    <mergeCell ref="Z586:AK586"/>
    <mergeCell ref="Z652:AK652"/>
    <mergeCell ref="H606:R606"/>
    <mergeCell ref="C638:L638"/>
    <mergeCell ref="C639:L639"/>
    <mergeCell ref="M641:P641"/>
    <mergeCell ref="G652:R652"/>
    <mergeCell ref="P655:R655"/>
    <mergeCell ref="C640:L640"/>
    <mergeCell ref="M640:P640"/>
    <mergeCell ref="Q635:S635"/>
    <mergeCell ref="Q636:S636"/>
    <mergeCell ref="G620:R620"/>
    <mergeCell ref="Q637:S637"/>
    <mergeCell ref="Z640:AB640"/>
    <mergeCell ref="G621:L621"/>
    <mergeCell ref="AA614:AK614"/>
    <mergeCell ref="M638:P638"/>
    <mergeCell ref="M639:P639"/>
    <mergeCell ref="M645:P645"/>
    <mergeCell ref="M646:P646"/>
    <mergeCell ref="W646:Y646"/>
    <mergeCell ref="AF641:AJ641"/>
    <mergeCell ref="Q642:S642"/>
    <mergeCell ref="Z641:AB641"/>
    <mergeCell ref="AF638:AJ638"/>
    <mergeCell ref="T637:V637"/>
    <mergeCell ref="AK641:AN641"/>
    <mergeCell ref="Z653:AK653"/>
    <mergeCell ref="B649:AN649"/>
    <mergeCell ref="G651:R651"/>
    <mergeCell ref="AC518:AF518"/>
    <mergeCell ref="M566:P566"/>
    <mergeCell ref="AE563:AH563"/>
    <mergeCell ref="Q563:S563"/>
    <mergeCell ref="M569:P569"/>
    <mergeCell ref="C569:L569"/>
    <mergeCell ref="W571:Y571"/>
    <mergeCell ref="W566:Y566"/>
    <mergeCell ref="AE566:AH566"/>
    <mergeCell ref="Q571:S571"/>
    <mergeCell ref="Q566:S566"/>
    <mergeCell ref="AH520:AK520"/>
    <mergeCell ref="M565:P565"/>
    <mergeCell ref="AH528:AK528"/>
    <mergeCell ref="AC545:AF545"/>
    <mergeCell ref="AE567:AH567"/>
    <mergeCell ref="T571:V571"/>
    <mergeCell ref="DE730:DI730"/>
    <mergeCell ref="CK731:CL731"/>
    <mergeCell ref="CM744:CN744"/>
    <mergeCell ref="CM743:CN743"/>
    <mergeCell ref="CK742:CL742"/>
    <mergeCell ref="CM742:CN742"/>
    <mergeCell ref="CK737:CL737"/>
    <mergeCell ref="CP731:CT731"/>
    <mergeCell ref="CU735:CY735"/>
    <mergeCell ref="CK732:CL732"/>
    <mergeCell ref="CZ731:DD731"/>
    <mergeCell ref="CI731:CJ731"/>
    <mergeCell ref="C565:L565"/>
    <mergeCell ref="AC637:AE637"/>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CG743:CH743"/>
    <mergeCell ref="AO640:AS640"/>
    <mergeCell ref="M567:P567"/>
    <mergeCell ref="DJ733:DN733"/>
    <mergeCell ref="DE733:DI733"/>
    <mergeCell ref="CP734:CT734"/>
    <mergeCell ref="DE737:DI737"/>
    <mergeCell ref="CK740:CL740"/>
    <mergeCell ref="CP733:CT733"/>
    <mergeCell ref="CZ735:DD735"/>
    <mergeCell ref="DE734:DI734"/>
    <mergeCell ref="CZ732:DD732"/>
    <mergeCell ref="CZ733:DD733"/>
    <mergeCell ref="DJ738:DN738"/>
    <mergeCell ref="DJ735:DN735"/>
    <mergeCell ref="DJ734:DN734"/>
    <mergeCell ref="CI733:CJ733"/>
    <mergeCell ref="CZ740:DD740"/>
    <mergeCell ref="DJ736:DN736"/>
    <mergeCell ref="CI736:CJ736"/>
    <mergeCell ref="CZ738:DD738"/>
    <mergeCell ref="CM735:CN735"/>
    <mergeCell ref="CK734:CL734"/>
    <mergeCell ref="DE735:DI735"/>
    <mergeCell ref="DE738:DI738"/>
    <mergeCell ref="CM738:CN738"/>
    <mergeCell ref="CK735:CL735"/>
    <mergeCell ref="CU732:CY732"/>
    <mergeCell ref="CU733:CY733"/>
    <mergeCell ref="DE739:DI739"/>
    <mergeCell ref="CP736:CT736"/>
    <mergeCell ref="CU736:CY736"/>
    <mergeCell ref="CI739:CJ739"/>
    <mergeCell ref="CZ737:DD737"/>
    <mergeCell ref="CZ739:DD739"/>
    <mergeCell ref="BD911:BE911"/>
    <mergeCell ref="BD909:BE909"/>
    <mergeCell ref="U941:Z941"/>
    <mergeCell ref="AH757:AJ757"/>
    <mergeCell ref="AH747:AJ747"/>
    <mergeCell ref="AH748:AJ748"/>
    <mergeCell ref="W851:AC851"/>
    <mergeCell ref="O738:S738"/>
    <mergeCell ref="N681:O681"/>
    <mergeCell ref="G695:L695"/>
    <mergeCell ref="Z685:AK685"/>
    <mergeCell ref="AH734:AJ734"/>
    <mergeCell ref="O802:S802"/>
    <mergeCell ref="X777:AB780"/>
    <mergeCell ref="T777:W780"/>
    <mergeCell ref="AC801:AG801"/>
    <mergeCell ref="X783:AB783"/>
    <mergeCell ref="X784:AB784"/>
    <mergeCell ref="Q835:T835"/>
    <mergeCell ref="C837:H837"/>
    <mergeCell ref="B722:F725"/>
    <mergeCell ref="G722:J725"/>
    <mergeCell ref="AK729:AO729"/>
    <mergeCell ref="G733:J733"/>
    <mergeCell ref="O737:S737"/>
    <mergeCell ref="G734:J734"/>
    <mergeCell ref="X753:AB753"/>
    <mergeCell ref="G687:L687"/>
    <mergeCell ref="AC835:AF835"/>
    <mergeCell ref="B742:F742"/>
    <mergeCell ref="X797:AB797"/>
    <mergeCell ref="K745:N745"/>
    <mergeCell ref="AA950:AF950"/>
    <mergeCell ref="AA938:AF938"/>
    <mergeCell ref="U939:Z939"/>
    <mergeCell ref="AA939:AF939"/>
    <mergeCell ref="T791:W794"/>
    <mergeCell ref="X781:AB781"/>
    <mergeCell ref="O797:S797"/>
    <mergeCell ref="J783:N783"/>
    <mergeCell ref="AC784:AG784"/>
    <mergeCell ref="AC800:AG800"/>
    <mergeCell ref="O795:S795"/>
    <mergeCell ref="Q834:T834"/>
    <mergeCell ref="Y831:AB832"/>
    <mergeCell ref="M837:P837"/>
    <mergeCell ref="Z823:AE823"/>
    <mergeCell ref="Z816:AE816"/>
    <mergeCell ref="AC785:AG785"/>
    <mergeCell ref="T802:W802"/>
    <mergeCell ref="T800:W800"/>
    <mergeCell ref="O785:S785"/>
    <mergeCell ref="X796:AB796"/>
    <mergeCell ref="J857:V857"/>
    <mergeCell ref="AG838:AJ838"/>
    <mergeCell ref="U840:X840"/>
    <mergeCell ref="F946:T946"/>
    <mergeCell ref="U946:Z946"/>
    <mergeCell ref="F935:T935"/>
    <mergeCell ref="F945:T945"/>
    <mergeCell ref="U931:Z931"/>
    <mergeCell ref="J782:N782"/>
    <mergeCell ref="AC783:AG783"/>
    <mergeCell ref="AC791:AG794"/>
    <mergeCell ref="AG837:AJ837"/>
    <mergeCell ref="W879:AC879"/>
    <mergeCell ref="W881:AC881"/>
    <mergeCell ref="AC893:AH893"/>
    <mergeCell ref="M884:V884"/>
    <mergeCell ref="W886:AC886"/>
    <mergeCell ref="BD908:BE908"/>
    <mergeCell ref="BD910:BE910"/>
    <mergeCell ref="AC895:AH895"/>
    <mergeCell ref="AC901:AH901"/>
    <mergeCell ref="W875:AC875"/>
    <mergeCell ref="W867:AC867"/>
    <mergeCell ref="M886:V886"/>
    <mergeCell ref="W878:AC878"/>
    <mergeCell ref="W885:AC885"/>
    <mergeCell ref="AZ859:BA859"/>
    <mergeCell ref="AC899:AH899"/>
    <mergeCell ref="Q838:T838"/>
    <mergeCell ref="AG839:AJ839"/>
    <mergeCell ref="Q837:T837"/>
    <mergeCell ref="AC896:AH896"/>
    <mergeCell ref="W855:AC855"/>
    <mergeCell ref="W853:AC853"/>
    <mergeCell ref="M854:V854"/>
    <mergeCell ref="M869:V869"/>
    <mergeCell ref="X745:AB745"/>
    <mergeCell ref="X798:AB798"/>
    <mergeCell ref="AW927:AY927"/>
    <mergeCell ref="AA935:AF935"/>
    <mergeCell ref="U936:Z936"/>
    <mergeCell ref="AA936:AF936"/>
    <mergeCell ref="F938:T938"/>
    <mergeCell ref="AC837:AF837"/>
    <mergeCell ref="Y834:AB834"/>
    <mergeCell ref="M840:P840"/>
    <mergeCell ref="AA949:AF949"/>
    <mergeCell ref="W861:AC861"/>
    <mergeCell ref="W869:AC869"/>
    <mergeCell ref="F948:T948"/>
    <mergeCell ref="W865:AC865"/>
    <mergeCell ref="Y839:AB839"/>
    <mergeCell ref="W859:AC859"/>
    <mergeCell ref="W863:AC863"/>
    <mergeCell ref="W860:AC860"/>
    <mergeCell ref="W862:AC862"/>
    <mergeCell ref="C845:AJ845"/>
    <mergeCell ref="U839:X839"/>
    <mergeCell ref="U945:Z945"/>
    <mergeCell ref="C904:AB904"/>
    <mergeCell ref="F936:T936"/>
    <mergeCell ref="AA933:AF933"/>
    <mergeCell ref="W884:AC884"/>
    <mergeCell ref="AA940:AF940"/>
    <mergeCell ref="W880:AC880"/>
    <mergeCell ref="M838:P838"/>
    <mergeCell ref="C840:L840"/>
    <mergeCell ref="U932:Z932"/>
    <mergeCell ref="BD913:BE913"/>
    <mergeCell ref="BD915:BF915"/>
    <mergeCell ref="BD914:BF914"/>
    <mergeCell ref="BD919:BE919"/>
    <mergeCell ref="BD912:BE912"/>
    <mergeCell ref="AC898:AH898"/>
    <mergeCell ref="AC903:AH903"/>
    <mergeCell ref="Z908:AE908"/>
    <mergeCell ref="AC897:AH897"/>
    <mergeCell ref="AA947:AF947"/>
    <mergeCell ref="M836:P836"/>
    <mergeCell ref="M835:P835"/>
    <mergeCell ref="J805:N805"/>
    <mergeCell ref="J803:N803"/>
    <mergeCell ref="AC782:AG782"/>
    <mergeCell ref="X785:AB785"/>
    <mergeCell ref="X731:AB731"/>
    <mergeCell ref="J802:N802"/>
    <mergeCell ref="J797:N797"/>
    <mergeCell ref="X803:AB803"/>
    <mergeCell ref="Z821:AE821"/>
    <mergeCell ref="C806:AN807"/>
    <mergeCell ref="J801:N801"/>
    <mergeCell ref="G760:J760"/>
    <mergeCell ref="Y809:AC809"/>
    <mergeCell ref="Y808:AC808"/>
    <mergeCell ref="T749:W749"/>
    <mergeCell ref="AC804:AG804"/>
    <mergeCell ref="AC796:AG796"/>
    <mergeCell ref="O791:S794"/>
    <mergeCell ref="M833:P833"/>
    <mergeCell ref="AK754:AO754"/>
    <mergeCell ref="M883:V883"/>
    <mergeCell ref="K749:N749"/>
    <mergeCell ref="B739:F739"/>
    <mergeCell ref="B738:F738"/>
    <mergeCell ref="G691:R691"/>
    <mergeCell ref="N689:O689"/>
    <mergeCell ref="O800:S800"/>
    <mergeCell ref="X736:AB736"/>
    <mergeCell ref="B741:F741"/>
    <mergeCell ref="W854:AC854"/>
    <mergeCell ref="T866:V866"/>
    <mergeCell ref="T868:V868"/>
    <mergeCell ref="W883:AC883"/>
    <mergeCell ref="M880:V880"/>
    <mergeCell ref="W876:AC876"/>
    <mergeCell ref="Q836:T836"/>
    <mergeCell ref="M834:P834"/>
    <mergeCell ref="Q833:T833"/>
    <mergeCell ref="C836:H836"/>
    <mergeCell ref="C834:H834"/>
    <mergeCell ref="X800:AB800"/>
    <mergeCell ref="AC805:AG805"/>
    <mergeCell ref="U834:X834"/>
    <mergeCell ref="Z826:AE826"/>
    <mergeCell ref="X734:AB734"/>
    <mergeCell ref="G729:J729"/>
    <mergeCell ref="O764:R764"/>
    <mergeCell ref="X758:AB758"/>
    <mergeCell ref="AC757:AG757"/>
    <mergeCell ref="J799:N799"/>
    <mergeCell ref="AG833:AJ833"/>
    <mergeCell ref="O727:S727"/>
    <mergeCell ref="U836:X836"/>
    <mergeCell ref="AG836:AJ836"/>
    <mergeCell ref="Z815:AE815"/>
    <mergeCell ref="O782:S782"/>
    <mergeCell ref="T755:W755"/>
    <mergeCell ref="AC756:AG756"/>
    <mergeCell ref="AH761:AJ761"/>
    <mergeCell ref="AH749:AJ749"/>
    <mergeCell ref="K751:N751"/>
    <mergeCell ref="K753:N753"/>
    <mergeCell ref="T748:W748"/>
    <mergeCell ref="O804:S804"/>
    <mergeCell ref="T795:W795"/>
    <mergeCell ref="T796:W796"/>
    <mergeCell ref="T797:W797"/>
    <mergeCell ref="AH759:AJ759"/>
    <mergeCell ref="K757:N757"/>
    <mergeCell ref="O757:S757"/>
    <mergeCell ref="X759:AB759"/>
    <mergeCell ref="O798:S798"/>
    <mergeCell ref="X801:AB801"/>
    <mergeCell ref="T799:W799"/>
    <mergeCell ref="O803:S803"/>
    <mergeCell ref="AC799:AG799"/>
    <mergeCell ref="AC836:AF836"/>
    <mergeCell ref="AG834:AJ834"/>
    <mergeCell ref="AC761:AG761"/>
    <mergeCell ref="O761:S761"/>
    <mergeCell ref="U833:X833"/>
    <mergeCell ref="O734:S734"/>
    <mergeCell ref="G736:J736"/>
    <mergeCell ref="G737:J737"/>
    <mergeCell ref="B728:F728"/>
    <mergeCell ref="B735:F735"/>
    <mergeCell ref="K728:N728"/>
    <mergeCell ref="K733:N733"/>
    <mergeCell ref="B762:AH763"/>
    <mergeCell ref="X782:AB782"/>
    <mergeCell ref="T781:W781"/>
    <mergeCell ref="J781:N781"/>
    <mergeCell ref="O781:S781"/>
    <mergeCell ref="J784:N784"/>
    <mergeCell ref="U831:X832"/>
    <mergeCell ref="Q831:T832"/>
    <mergeCell ref="Z817:AE817"/>
    <mergeCell ref="O799:S799"/>
    <mergeCell ref="X730:AB730"/>
    <mergeCell ref="K732:N732"/>
    <mergeCell ref="B730:F730"/>
    <mergeCell ref="B736:F736"/>
    <mergeCell ref="O730:S730"/>
    <mergeCell ref="K735:N735"/>
    <mergeCell ref="K734:N734"/>
    <mergeCell ref="K731:N731"/>
    <mergeCell ref="G731:J731"/>
    <mergeCell ref="O733:S733"/>
    <mergeCell ref="C833:H833"/>
    <mergeCell ref="B761:F761"/>
    <mergeCell ref="O760:S760"/>
    <mergeCell ref="X729:AB729"/>
    <mergeCell ref="X804:AB804"/>
    <mergeCell ref="B747:F747"/>
    <mergeCell ref="K744:N744"/>
    <mergeCell ref="G744:J744"/>
    <mergeCell ref="G761:J761"/>
    <mergeCell ref="T632:V634"/>
    <mergeCell ref="Z589:AE589"/>
    <mergeCell ref="Z594:AK594"/>
    <mergeCell ref="P605:R605"/>
    <mergeCell ref="G605:L605"/>
    <mergeCell ref="G610:R610"/>
    <mergeCell ref="W635:Y635"/>
    <mergeCell ref="P589:R589"/>
    <mergeCell ref="N599:O599"/>
    <mergeCell ref="AG607:AH607"/>
    <mergeCell ref="G603:R603"/>
    <mergeCell ref="G604:R604"/>
    <mergeCell ref="G594:R594"/>
    <mergeCell ref="AC753:AG753"/>
    <mergeCell ref="AC754:AG754"/>
    <mergeCell ref="G730:J730"/>
    <mergeCell ref="G728:J728"/>
    <mergeCell ref="O726:S726"/>
    <mergeCell ref="K726:N726"/>
    <mergeCell ref="G726:J726"/>
    <mergeCell ref="P695:R695"/>
    <mergeCell ref="R713:T713"/>
    <mergeCell ref="X735:AB735"/>
    <mergeCell ref="X732:AB732"/>
    <mergeCell ref="O736:S736"/>
    <mergeCell ref="O735:S735"/>
    <mergeCell ref="O739:S739"/>
    <mergeCell ref="X802:AB802"/>
    <mergeCell ref="O722:S725"/>
    <mergeCell ref="AC797:AG797"/>
    <mergeCell ref="AC798:AG798"/>
    <mergeCell ref="T782:W782"/>
    <mergeCell ref="AC750:AG750"/>
    <mergeCell ref="AC751:AG751"/>
    <mergeCell ref="G617:R617"/>
    <mergeCell ref="M636:P636"/>
    <mergeCell ref="Z613:AE613"/>
    <mergeCell ref="Z617:AK617"/>
    <mergeCell ref="N615:O615"/>
    <mergeCell ref="G601:R601"/>
    <mergeCell ref="G613:L613"/>
    <mergeCell ref="H614:R614"/>
    <mergeCell ref="AI605:AK605"/>
    <mergeCell ref="G618:R618"/>
    <mergeCell ref="A625:AT626"/>
    <mergeCell ref="B632:L634"/>
    <mergeCell ref="G602:R602"/>
    <mergeCell ref="Z602:AK602"/>
    <mergeCell ref="P613:R613"/>
    <mergeCell ref="Z611:AK611"/>
    <mergeCell ref="Z671:AE671"/>
    <mergeCell ref="G692:R692"/>
    <mergeCell ref="K738:N738"/>
    <mergeCell ref="X791:AB794"/>
    <mergeCell ref="X795:AB795"/>
    <mergeCell ref="O743:S743"/>
    <mergeCell ref="B737:F737"/>
    <mergeCell ref="B749:F749"/>
    <mergeCell ref="X756:AB756"/>
    <mergeCell ref="H598:R598"/>
    <mergeCell ref="Z603:AK603"/>
    <mergeCell ref="G611:R611"/>
    <mergeCell ref="Q569:S569"/>
    <mergeCell ref="Z570:AD570"/>
    <mergeCell ref="W569:Y569"/>
    <mergeCell ref="W570:Y570"/>
    <mergeCell ref="AI573:AL573"/>
    <mergeCell ref="AE570:AH570"/>
    <mergeCell ref="Q570:S570"/>
    <mergeCell ref="G576:R576"/>
    <mergeCell ref="G593:R593"/>
    <mergeCell ref="AI571:AL571"/>
    <mergeCell ref="Z571:AD571"/>
    <mergeCell ref="C571:L571"/>
    <mergeCell ref="AO635:AS635"/>
    <mergeCell ref="AI613:AK613"/>
    <mergeCell ref="G612:R612"/>
    <mergeCell ref="G585:R585"/>
    <mergeCell ref="AG599:AH599"/>
    <mergeCell ref="AG591:AH591"/>
    <mergeCell ref="G596:R596"/>
    <mergeCell ref="M570:P570"/>
    <mergeCell ref="M571:P571"/>
    <mergeCell ref="AI569:AL569"/>
    <mergeCell ref="Q572:S572"/>
    <mergeCell ref="AE569:AH569"/>
    <mergeCell ref="Z569:AD569"/>
    <mergeCell ref="Z572:AD572"/>
    <mergeCell ref="Z573:AD573"/>
    <mergeCell ref="Z580:AE580"/>
    <mergeCell ref="G580:L580"/>
    <mergeCell ref="AF582:AK582"/>
    <mergeCell ref="Z593:AK593"/>
    <mergeCell ref="G587:R587"/>
    <mergeCell ref="AH527:AK527"/>
    <mergeCell ref="D453:AF453"/>
    <mergeCell ref="R420:S420"/>
    <mergeCell ref="W564:Y564"/>
    <mergeCell ref="Q564:S564"/>
    <mergeCell ref="M562:P562"/>
    <mergeCell ref="W473:Y473"/>
    <mergeCell ref="W477:Y477"/>
    <mergeCell ref="D477:V477"/>
    <mergeCell ref="AH509:AK509"/>
    <mergeCell ref="AI562:AL562"/>
    <mergeCell ref="AI566:AL566"/>
    <mergeCell ref="M563:P563"/>
    <mergeCell ref="A552:AT553"/>
    <mergeCell ref="A488:AT489"/>
    <mergeCell ref="T564:V564"/>
    <mergeCell ref="AC528:AF528"/>
    <mergeCell ref="AC535:AF535"/>
    <mergeCell ref="C573:L573"/>
    <mergeCell ref="C572:L572"/>
    <mergeCell ref="M572:P572"/>
    <mergeCell ref="W563:Y563"/>
    <mergeCell ref="Z566:AD566"/>
    <mergeCell ref="M568:P568"/>
    <mergeCell ref="AH517:AK517"/>
    <mergeCell ref="W568:Y568"/>
    <mergeCell ref="C568:L568"/>
    <mergeCell ref="Z568:AD568"/>
    <mergeCell ref="AC515:AF515"/>
    <mergeCell ref="W427:Y427"/>
    <mergeCell ref="AD420:AE420"/>
    <mergeCell ref="F436:AH437"/>
    <mergeCell ref="D451:AF451"/>
    <mergeCell ref="AF427:AH427"/>
    <mergeCell ref="R421:S421"/>
    <mergeCell ref="Q438:R438"/>
    <mergeCell ref="P434:Q434"/>
    <mergeCell ref="I427:K427"/>
    <mergeCell ref="S422:T422"/>
    <mergeCell ref="AC541:AF541"/>
    <mergeCell ref="AH544:AK544"/>
    <mergeCell ref="AG457:AJ457"/>
    <mergeCell ref="AH536:AK536"/>
    <mergeCell ref="W562:Y562"/>
    <mergeCell ref="AA310:AK310"/>
    <mergeCell ref="AA305:AK305"/>
    <mergeCell ref="W559:Y561"/>
    <mergeCell ref="AH529:AK529"/>
    <mergeCell ref="AC538:AF538"/>
    <mergeCell ref="G482:V482"/>
    <mergeCell ref="AH534:AK534"/>
    <mergeCell ref="W476:Y476"/>
    <mergeCell ref="B511:H516"/>
    <mergeCell ref="D459:AF459"/>
    <mergeCell ref="N379:Q379"/>
    <mergeCell ref="AA342:AK342"/>
    <mergeCell ref="H348:M348"/>
    <mergeCell ref="P348:R348"/>
    <mergeCell ref="AA350:AK350"/>
    <mergeCell ref="E377:AH378"/>
    <mergeCell ref="Q374:AG374"/>
    <mergeCell ref="D447:AF447"/>
    <mergeCell ref="AG449:AJ449"/>
    <mergeCell ref="D452:AF452"/>
    <mergeCell ref="E429:AJ429"/>
    <mergeCell ref="D446:AF446"/>
    <mergeCell ref="Z443:AA443"/>
    <mergeCell ref="Z441:AA441"/>
    <mergeCell ref="Q495:AK495"/>
    <mergeCell ref="Q494:AK494"/>
    <mergeCell ref="AH510:AK510"/>
    <mergeCell ref="AC507:AK507"/>
    <mergeCell ref="AG458:AJ458"/>
    <mergeCell ref="S497:AK498"/>
    <mergeCell ref="P433:Q433"/>
    <mergeCell ref="AC509:AF509"/>
    <mergeCell ref="AG447:AJ447"/>
    <mergeCell ref="B509:H510"/>
    <mergeCell ref="D450:AF450"/>
    <mergeCell ref="AC463:AF463"/>
    <mergeCell ref="D481:V481"/>
    <mergeCell ref="AC465:AF465"/>
    <mergeCell ref="AG448:AJ448"/>
    <mergeCell ref="AD421:AE421"/>
    <mergeCell ref="H423:AE424"/>
    <mergeCell ref="AE434:AF434"/>
    <mergeCell ref="N372:O372"/>
    <mergeCell ref="H342:R342"/>
    <mergeCell ref="D415:AJ416"/>
    <mergeCell ref="AG451:AJ451"/>
    <mergeCell ref="E427:G427"/>
    <mergeCell ref="P358:AE358"/>
    <mergeCell ref="H350:R350"/>
    <mergeCell ref="AE411:AJ411"/>
    <mergeCell ref="Q398:U398"/>
    <mergeCell ref="AJ366:AK366"/>
    <mergeCell ref="H310:R310"/>
    <mergeCell ref="L286:AD286"/>
    <mergeCell ref="AA341:AF341"/>
    <mergeCell ref="H341:M341"/>
    <mergeCell ref="AI324:AK324"/>
    <mergeCell ref="AA338:AK338"/>
    <mergeCell ref="H334:R334"/>
    <mergeCell ref="H316:M316"/>
    <mergeCell ref="H338:R338"/>
    <mergeCell ref="H339:R339"/>
    <mergeCell ref="P340:R340"/>
    <mergeCell ref="AA333:AF333"/>
    <mergeCell ref="H337:R337"/>
    <mergeCell ref="H349:M349"/>
    <mergeCell ref="AA348:AF348"/>
    <mergeCell ref="AI332:AK332"/>
    <mergeCell ref="H326:R326"/>
    <mergeCell ref="I430:K430"/>
    <mergeCell ref="P427:R427"/>
    <mergeCell ref="Z272:AE272"/>
    <mergeCell ref="M272:R272"/>
    <mergeCell ref="M274:T274"/>
    <mergeCell ref="AA312:AK312"/>
    <mergeCell ref="AA340:AF340"/>
    <mergeCell ref="P324:R324"/>
    <mergeCell ref="H336:R336"/>
    <mergeCell ref="AA313:AK313"/>
    <mergeCell ref="AA318:AK318"/>
    <mergeCell ref="AA332:AF332"/>
    <mergeCell ref="H332:M332"/>
    <mergeCell ref="AA339:AK339"/>
    <mergeCell ref="H333:M333"/>
    <mergeCell ref="AA334:AK334"/>
    <mergeCell ref="H324:M324"/>
    <mergeCell ref="L285:S285"/>
    <mergeCell ref="L287:Q287"/>
    <mergeCell ref="H331:R331"/>
    <mergeCell ref="H322:R322"/>
    <mergeCell ref="H320:R320"/>
    <mergeCell ref="H321:R321"/>
    <mergeCell ref="H323:R323"/>
    <mergeCell ref="H306:R306"/>
    <mergeCell ref="H305:R305"/>
    <mergeCell ref="H304:R304"/>
    <mergeCell ref="H307:R307"/>
    <mergeCell ref="AA316:AF316"/>
    <mergeCell ref="AA314:AK314"/>
    <mergeCell ref="AA326:AK326"/>
    <mergeCell ref="AI308:AK308"/>
    <mergeCell ref="AA337:AK337"/>
    <mergeCell ref="AA336:AK336"/>
    <mergeCell ref="P332:R332"/>
    <mergeCell ref="AA324:AF324"/>
    <mergeCell ref="AI348:AK348"/>
    <mergeCell ref="H340:M340"/>
    <mergeCell ref="AA325:AF325"/>
    <mergeCell ref="AI316:AK316"/>
    <mergeCell ref="H325:M325"/>
    <mergeCell ref="H318:R318"/>
    <mergeCell ref="AA315:AK315"/>
    <mergeCell ref="H317:M317"/>
    <mergeCell ref="P316:R316"/>
    <mergeCell ref="F150:T150"/>
    <mergeCell ref="AH255:AK255"/>
    <mergeCell ref="AF260:AK260"/>
    <mergeCell ref="M253:AE253"/>
    <mergeCell ref="M256:R256"/>
    <mergeCell ref="O159:T159"/>
    <mergeCell ref="T287:V287"/>
    <mergeCell ref="P300:R300"/>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AA317:AF317"/>
    <mergeCell ref="AA307:AK307"/>
    <mergeCell ref="P308:R308"/>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T196:U196"/>
    <mergeCell ref="D220:Z220"/>
    <mergeCell ref="T193:AI193"/>
    <mergeCell ref="AI236:AJ236"/>
    <mergeCell ref="Y123:AK123"/>
    <mergeCell ref="P113:S113"/>
    <mergeCell ref="AC220:AQ220"/>
    <mergeCell ref="D205:M205"/>
    <mergeCell ref="D208:M208"/>
    <mergeCell ref="O160:T160"/>
    <mergeCell ref="J173:S173"/>
    <mergeCell ref="J174:AB174"/>
    <mergeCell ref="T212:U212"/>
    <mergeCell ref="M273:AE273"/>
    <mergeCell ref="AA297:AK297"/>
    <mergeCell ref="AA296:AK296"/>
    <mergeCell ref="AA299:AK299"/>
    <mergeCell ref="AA298:AK298"/>
    <mergeCell ref="Y120:AK120"/>
    <mergeCell ref="O155:AH155"/>
    <mergeCell ref="O156:AH156"/>
    <mergeCell ref="O157:X157"/>
    <mergeCell ref="T195:U195"/>
    <mergeCell ref="AA306:AK306"/>
    <mergeCell ref="M262:T262"/>
    <mergeCell ref="L283:AJ283"/>
    <mergeCell ref="H300:M300"/>
    <mergeCell ref="H308:M308"/>
    <mergeCell ref="AA266:AK266"/>
    <mergeCell ref="M269:AE269"/>
    <mergeCell ref="AA274:AK274"/>
    <mergeCell ref="M270:T270"/>
    <mergeCell ref="M263:AE263"/>
    <mergeCell ref="AH271:AK271"/>
    <mergeCell ref="T276:X276"/>
    <mergeCell ref="D279:H279"/>
    <mergeCell ref="H301:M301"/>
    <mergeCell ref="H299:R299"/>
    <mergeCell ref="H297:R297"/>
    <mergeCell ref="H298:R298"/>
    <mergeCell ref="AI178:AK178"/>
    <mergeCell ref="D204:M204"/>
    <mergeCell ref="AA301:AF301"/>
    <mergeCell ref="M268:AE268"/>
    <mergeCell ref="AA302:AK302"/>
    <mergeCell ref="L289:AD289"/>
    <mergeCell ref="L284:AD284"/>
    <mergeCell ref="AB285:AD285"/>
    <mergeCell ref="Y287:AD287"/>
    <mergeCell ref="AA304:AK304"/>
    <mergeCell ref="AF268:AK268"/>
    <mergeCell ref="AC270:AE270"/>
    <mergeCell ref="M271:AE271"/>
    <mergeCell ref="AA300:AF300"/>
    <mergeCell ref="AI300:AK300"/>
    <mergeCell ref="V285:W285"/>
    <mergeCell ref="AH263:AK263"/>
    <mergeCell ref="V225:W225"/>
    <mergeCell ref="V224:W224"/>
    <mergeCell ref="V226:W226"/>
    <mergeCell ref="V227:W227"/>
    <mergeCell ref="V228:W228"/>
    <mergeCell ref="M258:T258"/>
    <mergeCell ref="Z256:AE256"/>
    <mergeCell ref="U256:W256"/>
    <mergeCell ref="AA258:AK258"/>
    <mergeCell ref="W262:X262"/>
    <mergeCell ref="X279:AC279"/>
    <mergeCell ref="U264:W264"/>
    <mergeCell ref="M257:AE257"/>
    <mergeCell ref="AF252:AK252"/>
    <mergeCell ref="M243:T243"/>
    <mergeCell ref="W243:X243"/>
    <mergeCell ref="M261:AE261"/>
    <mergeCell ref="AC262:AE262"/>
    <mergeCell ref="H302:R302"/>
    <mergeCell ref="AA309:AF309"/>
    <mergeCell ref="W270:X270"/>
    <mergeCell ref="U272:W272"/>
    <mergeCell ref="M266:T266"/>
    <mergeCell ref="M265:AE265"/>
    <mergeCell ref="W254:X254"/>
    <mergeCell ref="M246:AE246"/>
    <mergeCell ref="U175:V175"/>
    <mergeCell ref="R177:S177"/>
    <mergeCell ref="M252:AE252"/>
    <mergeCell ref="M247:T247"/>
    <mergeCell ref="T197:U197"/>
    <mergeCell ref="AA308:AF308"/>
    <mergeCell ref="H309:M309"/>
    <mergeCell ref="AJ364:AK364"/>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V229:W229"/>
    <mergeCell ref="P352:AE352"/>
    <mergeCell ref="AA349:AF349"/>
    <mergeCell ref="P353:AE353"/>
    <mergeCell ref="P354:AE354"/>
    <mergeCell ref="M242:AE242"/>
    <mergeCell ref="D211:M211"/>
    <mergeCell ref="AI237:AJ237"/>
    <mergeCell ref="M244:AE244"/>
    <mergeCell ref="U245:W245"/>
    <mergeCell ref="T189:AE189"/>
    <mergeCell ref="M364:N364"/>
    <mergeCell ref="D448:AF448"/>
    <mergeCell ref="AI406:AJ406"/>
    <mergeCell ref="T408:AJ408"/>
    <mergeCell ref="E187:AE188"/>
    <mergeCell ref="I189:P189"/>
    <mergeCell ref="AH197:AI197"/>
    <mergeCell ref="Z205:AN205"/>
    <mergeCell ref="A231:AT232"/>
    <mergeCell ref="T200:U200"/>
    <mergeCell ref="X198:AT199"/>
    <mergeCell ref="AH194:AI194"/>
    <mergeCell ref="AC379:AF379"/>
    <mergeCell ref="AF439:AG439"/>
    <mergeCell ref="AG446:AJ446"/>
    <mergeCell ref="AJ365:AK365"/>
    <mergeCell ref="AD386:AE386"/>
    <mergeCell ref="S411:U411"/>
    <mergeCell ref="P357:Z357"/>
    <mergeCell ref="N382:AF383"/>
    <mergeCell ref="P355:AE355"/>
    <mergeCell ref="Q399:U399"/>
    <mergeCell ref="I419:AE419"/>
    <mergeCell ref="AI398:AJ398"/>
    <mergeCell ref="P356:Z356"/>
    <mergeCell ref="T407:AJ407"/>
    <mergeCell ref="S410:U410"/>
    <mergeCell ref="AG410:AJ410"/>
    <mergeCell ref="V397:AJ397"/>
    <mergeCell ref="AG404:AJ404"/>
    <mergeCell ref="AI401:AJ401"/>
    <mergeCell ref="AG403:AJ403"/>
    <mergeCell ref="V386:W386"/>
    <mergeCell ref="S386:T386"/>
    <mergeCell ref="Q402:U402"/>
    <mergeCell ref="AG389:AH389"/>
    <mergeCell ref="V390:W390"/>
    <mergeCell ref="AG386:AH386"/>
    <mergeCell ref="AC356:AE356"/>
    <mergeCell ref="AG402:AJ402"/>
    <mergeCell ref="AG400:AJ400"/>
    <mergeCell ref="K413:AJ413"/>
    <mergeCell ref="K412:AJ412"/>
    <mergeCell ref="M365:N365"/>
    <mergeCell ref="Y373:Z373"/>
    <mergeCell ref="N387:P387"/>
    <mergeCell ref="Q403:U403"/>
    <mergeCell ref="AC380:AF380"/>
    <mergeCell ref="AG454:AJ454"/>
    <mergeCell ref="Q499:AK499"/>
    <mergeCell ref="AH503:AK503"/>
    <mergeCell ref="D457:AF457"/>
    <mergeCell ref="D458:AF458"/>
    <mergeCell ref="AG455:AJ455"/>
    <mergeCell ref="AG456:AJ456"/>
    <mergeCell ref="D475:V475"/>
    <mergeCell ref="B528:H550"/>
    <mergeCell ref="W481:Y481"/>
    <mergeCell ref="O543:AA543"/>
    <mergeCell ref="AH531:AK531"/>
    <mergeCell ref="AH532:AK532"/>
    <mergeCell ref="AH533:AK533"/>
    <mergeCell ref="Q500:AK500"/>
    <mergeCell ref="D455:AF455"/>
    <mergeCell ref="D456:AF456"/>
    <mergeCell ref="AC529:AF529"/>
    <mergeCell ref="M503:P503"/>
    <mergeCell ref="W474:Y474"/>
    <mergeCell ref="AH508:AK508"/>
    <mergeCell ref="Q501:AK501"/>
    <mergeCell ref="AC510:AF510"/>
    <mergeCell ref="B522:H524"/>
    <mergeCell ref="B525:H527"/>
    <mergeCell ref="D454:AF454"/>
    <mergeCell ref="D460:AJ461"/>
    <mergeCell ref="D478:V478"/>
    <mergeCell ref="AC512:AF512"/>
    <mergeCell ref="O534:AA534"/>
    <mergeCell ref="AC537:AF537"/>
    <mergeCell ref="AH538:AK538"/>
    <mergeCell ref="C570:L570"/>
    <mergeCell ref="AM565:AS565"/>
    <mergeCell ref="W638:Y638"/>
    <mergeCell ref="Z667:AK667"/>
    <mergeCell ref="AM571:AS571"/>
    <mergeCell ref="AM569:AS569"/>
    <mergeCell ref="Q565:S565"/>
    <mergeCell ref="Z565:AD565"/>
    <mergeCell ref="AA590:AK590"/>
    <mergeCell ref="H581:R581"/>
    <mergeCell ref="B574:AL574"/>
    <mergeCell ref="AE568:AH568"/>
    <mergeCell ref="N583:O583"/>
    <mergeCell ref="O537:AA537"/>
    <mergeCell ref="AH541:AK541"/>
    <mergeCell ref="W475:Y475"/>
    <mergeCell ref="W478:Y478"/>
    <mergeCell ref="D479:V479"/>
    <mergeCell ref="O540:AA540"/>
    <mergeCell ref="AH513:AK513"/>
    <mergeCell ref="AC540:AF540"/>
    <mergeCell ref="L516:AB516"/>
    <mergeCell ref="Q497:R498"/>
    <mergeCell ref="Q502:AK502"/>
    <mergeCell ref="Z564:AD564"/>
    <mergeCell ref="AI563:AL563"/>
    <mergeCell ref="T566:V566"/>
    <mergeCell ref="AI564:AL564"/>
    <mergeCell ref="T565:V565"/>
    <mergeCell ref="AE573:AH573"/>
    <mergeCell ref="W572:Y572"/>
    <mergeCell ref="W573:Y573"/>
    <mergeCell ref="T734:W734"/>
    <mergeCell ref="AH731:AJ731"/>
    <mergeCell ref="AK731:AO731"/>
    <mergeCell ref="Z693:AK693"/>
    <mergeCell ref="AE706:AI706"/>
    <mergeCell ref="AC722:AG725"/>
    <mergeCell ref="AC645:AE645"/>
    <mergeCell ref="X722:AB725"/>
    <mergeCell ref="AE702:AF702"/>
    <mergeCell ref="A717:AT719"/>
    <mergeCell ref="G668:R668"/>
    <mergeCell ref="T642:V642"/>
    <mergeCell ref="AF642:AJ642"/>
    <mergeCell ref="W645:Y645"/>
    <mergeCell ref="AG665:AH665"/>
    <mergeCell ref="Z642:AB642"/>
    <mergeCell ref="K722:N725"/>
    <mergeCell ref="B734:F734"/>
    <mergeCell ref="AC731:AG731"/>
    <mergeCell ref="G727:J727"/>
    <mergeCell ref="B727:F727"/>
    <mergeCell ref="T726:W726"/>
    <mergeCell ref="Z669:AK669"/>
    <mergeCell ref="AA688:AK688"/>
    <mergeCell ref="Z655:AE655"/>
    <mergeCell ref="C642:L642"/>
    <mergeCell ref="M642:P642"/>
    <mergeCell ref="N665:O665"/>
    <mergeCell ref="Z668:AK668"/>
    <mergeCell ref="N657:O657"/>
    <mergeCell ref="Z663:AE663"/>
    <mergeCell ref="AI655:AK655"/>
    <mergeCell ref="AC737:AG737"/>
    <mergeCell ref="X748:AB748"/>
    <mergeCell ref="X733:AB733"/>
    <mergeCell ref="CG750:CH750"/>
    <mergeCell ref="O531:AA531"/>
    <mergeCell ref="G693:R693"/>
    <mergeCell ref="M643:P643"/>
    <mergeCell ref="G654:R654"/>
    <mergeCell ref="Z660:AK660"/>
    <mergeCell ref="CP726:CT726"/>
    <mergeCell ref="CI726:CJ726"/>
    <mergeCell ref="CI732:CJ732"/>
    <mergeCell ref="T731:W731"/>
    <mergeCell ref="CG737:CH737"/>
    <mergeCell ref="CK729:CL729"/>
    <mergeCell ref="AH736:AJ736"/>
    <mergeCell ref="CP738:CT738"/>
    <mergeCell ref="CI734:CJ734"/>
    <mergeCell ref="AC732:AG732"/>
    <mergeCell ref="AC735:AG735"/>
    <mergeCell ref="AC736:AG736"/>
    <mergeCell ref="CM732:CN732"/>
    <mergeCell ref="CM731:CN731"/>
    <mergeCell ref="CG733:CH733"/>
    <mergeCell ref="CG735:CH735"/>
    <mergeCell ref="CP727:CT727"/>
    <mergeCell ref="CP732:CT732"/>
    <mergeCell ref="CK727:CL727"/>
    <mergeCell ref="CG732:CH732"/>
    <mergeCell ref="CG738:CH738"/>
    <mergeCell ref="CG736:CH736"/>
    <mergeCell ref="AC727:AG727"/>
    <mergeCell ref="CG746:CH746"/>
    <mergeCell ref="CI750:CJ750"/>
    <mergeCell ref="CK750:CL750"/>
    <mergeCell ref="CZ734:DD734"/>
    <mergeCell ref="AK732:AO732"/>
    <mergeCell ref="AK733:AO733"/>
    <mergeCell ref="CG729:CH729"/>
    <mergeCell ref="T732:W732"/>
    <mergeCell ref="T729:W729"/>
    <mergeCell ref="O751:S751"/>
    <mergeCell ref="CP753:CT753"/>
    <mergeCell ref="CP752:CT752"/>
    <mergeCell ref="AC752:AG752"/>
    <mergeCell ref="AC748:AG748"/>
    <mergeCell ref="AC749:AG749"/>
    <mergeCell ref="AC745:AG745"/>
    <mergeCell ref="CG731:CH731"/>
    <mergeCell ref="CK739:CL739"/>
    <mergeCell ref="CU737:CY737"/>
    <mergeCell ref="CM737:CN737"/>
    <mergeCell ref="CM733:CN733"/>
    <mergeCell ref="AK750:AO750"/>
    <mergeCell ref="AH735:AJ735"/>
    <mergeCell ref="AC744:AG744"/>
    <mergeCell ref="CG751:CH751"/>
    <mergeCell ref="CK749:CL749"/>
    <mergeCell ref="CM749:CN749"/>
    <mergeCell ref="CP735:CT735"/>
    <mergeCell ref="CI735:CJ735"/>
    <mergeCell ref="CG739:CH739"/>
    <mergeCell ref="CG741:CH741"/>
    <mergeCell ref="CI742:CJ742"/>
    <mergeCell ref="CM728:CN728"/>
    <mergeCell ref="CP728:CT728"/>
    <mergeCell ref="CM736:CN736"/>
    <mergeCell ref="CZ742:DD742"/>
    <mergeCell ref="CK738:CL738"/>
    <mergeCell ref="CP739:CT739"/>
    <mergeCell ref="CI737:CJ737"/>
    <mergeCell ref="CP737:CT737"/>
    <mergeCell ref="CZ736:DD736"/>
    <mergeCell ref="CU738:CY738"/>
    <mergeCell ref="CK736:CL736"/>
    <mergeCell ref="CK728:CL728"/>
    <mergeCell ref="CU739:CY739"/>
    <mergeCell ref="CP730:CT730"/>
    <mergeCell ref="CI747:CJ747"/>
    <mergeCell ref="CI745:CJ745"/>
    <mergeCell ref="CU731:CY731"/>
    <mergeCell ref="CK747:CL747"/>
    <mergeCell ref="CU730:CY730"/>
    <mergeCell ref="CZ741:DD741"/>
    <mergeCell ref="CZ744:DD744"/>
    <mergeCell ref="CM739:CN739"/>
    <mergeCell ref="CI740:CJ740"/>
    <mergeCell ref="CK744:CL744"/>
    <mergeCell ref="CK733:CL733"/>
    <mergeCell ref="CZ727:DD727"/>
    <mergeCell ref="CP729:CT729"/>
    <mergeCell ref="CU746:CY746"/>
    <mergeCell ref="T568:V568"/>
    <mergeCell ref="Z638:AB638"/>
    <mergeCell ref="CM740:CN740"/>
    <mergeCell ref="AE703:AI703"/>
    <mergeCell ref="AH758:AJ758"/>
    <mergeCell ref="CG753:CH753"/>
    <mergeCell ref="CI753:CJ753"/>
    <mergeCell ref="CG744:CH744"/>
    <mergeCell ref="CI748:CJ748"/>
    <mergeCell ref="AH745:AJ745"/>
    <mergeCell ref="AH746:AJ746"/>
    <mergeCell ref="AH744:AJ744"/>
    <mergeCell ref="CG728:CH728"/>
    <mergeCell ref="CG749:CH749"/>
    <mergeCell ref="AE707:AI707"/>
    <mergeCell ref="AI687:AK687"/>
    <mergeCell ref="AH740:AJ740"/>
    <mergeCell ref="AC729:AG729"/>
    <mergeCell ref="AC730:AG730"/>
    <mergeCell ref="AC728:AG728"/>
    <mergeCell ref="AM568:AS568"/>
    <mergeCell ref="AI568:AL568"/>
    <mergeCell ref="CI757:CJ757"/>
    <mergeCell ref="AK751:AO751"/>
    <mergeCell ref="AK752:AO752"/>
    <mergeCell ref="X751:AB751"/>
    <mergeCell ref="CM751:CN751"/>
    <mergeCell ref="T751:W751"/>
    <mergeCell ref="T735:W735"/>
    <mergeCell ref="AM563:AS563"/>
    <mergeCell ref="AI565:AL565"/>
    <mergeCell ref="AM559:AS561"/>
    <mergeCell ref="AH730:AJ730"/>
    <mergeCell ref="Z595:AK595"/>
    <mergeCell ref="AI580:AK580"/>
    <mergeCell ref="T572:V572"/>
    <mergeCell ref="AM562:AS562"/>
    <mergeCell ref="AO647:AS647"/>
    <mergeCell ref="AO637:AS637"/>
    <mergeCell ref="AO646:AS646"/>
    <mergeCell ref="AC527:AF527"/>
    <mergeCell ref="AC531:AF531"/>
    <mergeCell ref="AH524:AK524"/>
    <mergeCell ref="Z636:AB636"/>
    <mergeCell ref="T567:V567"/>
    <mergeCell ref="Z577:AK577"/>
    <mergeCell ref="AC726:AG726"/>
    <mergeCell ref="X726:AB726"/>
    <mergeCell ref="AC536:AF536"/>
    <mergeCell ref="AM570:AS570"/>
    <mergeCell ref="Z635:AB635"/>
    <mergeCell ref="Z662:AK662"/>
    <mergeCell ref="AI663:AK663"/>
    <mergeCell ref="Z588:AK588"/>
    <mergeCell ref="T641:V641"/>
    <mergeCell ref="T639:V639"/>
    <mergeCell ref="AC636:AE636"/>
    <mergeCell ref="AM566:AS566"/>
    <mergeCell ref="AM574:AS574"/>
    <mergeCell ref="AH535:AK535"/>
    <mergeCell ref="AC525:AF525"/>
    <mergeCell ref="AE433:AF433"/>
    <mergeCell ref="N380:Q380"/>
    <mergeCell ref="V391:W391"/>
    <mergeCell ref="J376:K376"/>
    <mergeCell ref="S414:AJ414"/>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6:AK496"/>
    <mergeCell ref="O528:AA528"/>
    <mergeCell ref="AH526:AK526"/>
    <mergeCell ref="AH522:AK522"/>
    <mergeCell ref="AH547:AK547"/>
    <mergeCell ref="D473:V473"/>
    <mergeCell ref="AC517:AF517"/>
    <mergeCell ref="Q493:AK493"/>
    <mergeCell ref="W482:Y482"/>
    <mergeCell ref="AH518:AK518"/>
    <mergeCell ref="AH521:AK521"/>
    <mergeCell ref="AC464:AF464"/>
    <mergeCell ref="D474:V474"/>
    <mergeCell ref="M564:P564"/>
    <mergeCell ref="C567:L567"/>
    <mergeCell ref="B559:L561"/>
    <mergeCell ref="Z567:AD567"/>
    <mergeCell ref="AH539:AK539"/>
    <mergeCell ref="AH548:AK548"/>
    <mergeCell ref="AC523:AF523"/>
    <mergeCell ref="AH546:AK546"/>
    <mergeCell ref="Q567:S567"/>
    <mergeCell ref="C566:L566"/>
    <mergeCell ref="AH543:AK543"/>
    <mergeCell ref="AC547:AF547"/>
    <mergeCell ref="T563:V563"/>
    <mergeCell ref="W567:Y567"/>
    <mergeCell ref="AC533:AF533"/>
    <mergeCell ref="AH523:AK523"/>
    <mergeCell ref="AH549:AK549"/>
    <mergeCell ref="AC543:AF543"/>
    <mergeCell ref="Q559:S561"/>
    <mergeCell ref="T559:V561"/>
    <mergeCell ref="AE564:AH564"/>
    <mergeCell ref="Z563:AD563"/>
    <mergeCell ref="AE562:AH562"/>
    <mergeCell ref="C562:L562"/>
    <mergeCell ref="AI559:AL561"/>
    <mergeCell ref="Z559:AD561"/>
    <mergeCell ref="AC539:AF539"/>
    <mergeCell ref="Q562:S562"/>
    <mergeCell ref="AH537:AK537"/>
    <mergeCell ref="AH542:AK542"/>
    <mergeCell ref="Z578:AK578"/>
    <mergeCell ref="AG452:AJ452"/>
    <mergeCell ref="AG453:AJ453"/>
    <mergeCell ref="AC549:AF549"/>
    <mergeCell ref="D449:AF449"/>
    <mergeCell ref="W565:Y565"/>
    <mergeCell ref="AC534:AF534"/>
    <mergeCell ref="AE565:AH565"/>
    <mergeCell ref="T570:V570"/>
    <mergeCell ref="AH511:AK511"/>
    <mergeCell ref="AC508:AF508"/>
    <mergeCell ref="AH540:AK540"/>
    <mergeCell ref="AC530:AF530"/>
    <mergeCell ref="T562:V562"/>
    <mergeCell ref="AC532:AF532"/>
    <mergeCell ref="AH514:AK514"/>
    <mergeCell ref="AH516:AK516"/>
    <mergeCell ref="AC548:AF548"/>
    <mergeCell ref="AC516:AF516"/>
    <mergeCell ref="AH545:AK545"/>
    <mergeCell ref="AC542:AF542"/>
    <mergeCell ref="AH550:AK550"/>
    <mergeCell ref="AH515:AK515"/>
    <mergeCell ref="AG459:AJ459"/>
    <mergeCell ref="AG450:AJ450"/>
    <mergeCell ref="AC546:AF546"/>
    <mergeCell ref="Z562:AD562"/>
    <mergeCell ref="D480:V480"/>
    <mergeCell ref="W480:Y480"/>
    <mergeCell ref="AE559:AH561"/>
    <mergeCell ref="C563:L563"/>
    <mergeCell ref="C564:L564"/>
    <mergeCell ref="AK747:AO747"/>
    <mergeCell ref="CM750:CN750"/>
    <mergeCell ref="DE726:DI726"/>
    <mergeCell ref="CK726:CL726"/>
    <mergeCell ref="CK730:CL730"/>
    <mergeCell ref="B731:F731"/>
    <mergeCell ref="G742:J742"/>
    <mergeCell ref="T740:W740"/>
    <mergeCell ref="T739:W739"/>
    <mergeCell ref="T728:W728"/>
    <mergeCell ref="T727:W727"/>
    <mergeCell ref="B726:F726"/>
    <mergeCell ref="AC522:AF522"/>
    <mergeCell ref="EJ753:EN753"/>
    <mergeCell ref="EM667:EQ667"/>
    <mergeCell ref="CU750:CY750"/>
    <mergeCell ref="CZ750:DD750"/>
    <mergeCell ref="DU750:DY750"/>
    <mergeCell ref="DZ750:ED750"/>
    <mergeCell ref="O750:S750"/>
    <mergeCell ref="CU744:CY744"/>
    <mergeCell ref="DJ739:DN739"/>
    <mergeCell ref="DJ737:DN737"/>
    <mergeCell ref="B732:F732"/>
    <mergeCell ref="K736:N736"/>
    <mergeCell ref="O729:S729"/>
    <mergeCell ref="K730:N730"/>
    <mergeCell ref="G743:J743"/>
    <mergeCell ref="G738:J738"/>
    <mergeCell ref="DJ741:DN741"/>
    <mergeCell ref="B733:F733"/>
    <mergeCell ref="Q568:S568"/>
    <mergeCell ref="O740:S740"/>
    <mergeCell ref="O731:S731"/>
    <mergeCell ref="O732:S732"/>
    <mergeCell ref="T733:W733"/>
    <mergeCell ref="G732:J732"/>
    <mergeCell ref="T737:W737"/>
    <mergeCell ref="G735:J735"/>
    <mergeCell ref="T730:W730"/>
    <mergeCell ref="K737:N737"/>
    <mergeCell ref="B729:F729"/>
    <mergeCell ref="T736:W736"/>
    <mergeCell ref="EZ753:FD753"/>
    <mergeCell ref="CU753:CY753"/>
    <mergeCell ref="EO755:ES755"/>
    <mergeCell ref="ET755:EX755"/>
    <mergeCell ref="DU756:DY756"/>
    <mergeCell ref="DZ756:ED756"/>
    <mergeCell ref="EE756:EI756"/>
    <mergeCell ref="EJ756:EN756"/>
    <mergeCell ref="DE749:DI749"/>
    <mergeCell ref="CK741:CL741"/>
    <mergeCell ref="CU752:CY752"/>
    <mergeCell ref="DZ749:ED749"/>
    <mergeCell ref="CP742:CT742"/>
    <mergeCell ref="CU748:CY748"/>
    <mergeCell ref="CG747:CH747"/>
    <mergeCell ref="CG748:CH748"/>
    <mergeCell ref="CK745:CL745"/>
    <mergeCell ref="CM741:CN741"/>
    <mergeCell ref="CG742:CH742"/>
    <mergeCell ref="CP747:CT747"/>
    <mergeCell ref="CM746:CN746"/>
    <mergeCell ref="DZ742:ED742"/>
    <mergeCell ref="DU742:DY742"/>
    <mergeCell ref="EO742:ES742"/>
    <mergeCell ref="EE742:EI742"/>
    <mergeCell ref="EZ741:FD741"/>
    <mergeCell ref="EO748:ES748"/>
    <mergeCell ref="AK740:AO740"/>
    <mergeCell ref="AK741:AO741"/>
    <mergeCell ref="AK742:AO742"/>
    <mergeCell ref="AK743:AO743"/>
    <mergeCell ref="CK751:CL751"/>
    <mergeCell ref="FY752:GC752"/>
    <mergeCell ref="DU751:DY751"/>
    <mergeCell ref="DZ751:ED751"/>
    <mergeCell ref="EE751:EI751"/>
    <mergeCell ref="EJ751:EN751"/>
    <mergeCell ref="EO751:ES751"/>
    <mergeCell ref="ET751:EX751"/>
    <mergeCell ref="DU752:DY752"/>
    <mergeCell ref="DZ752:ED752"/>
    <mergeCell ref="EE752:EI752"/>
    <mergeCell ref="EJ752:EN752"/>
    <mergeCell ref="EO752:ES752"/>
    <mergeCell ref="ET752:EX752"/>
    <mergeCell ref="CG740:CH740"/>
    <mergeCell ref="DU740:DY740"/>
    <mergeCell ref="FY751:GC751"/>
    <mergeCell ref="EZ740:FD740"/>
    <mergeCell ref="DO745:DS745"/>
    <mergeCell ref="ET748:EX748"/>
    <mergeCell ref="ET750:EX750"/>
    <mergeCell ref="FE750:FI750"/>
    <mergeCell ref="FO757:FS757"/>
    <mergeCell ref="FY753:GC753"/>
    <mergeCell ref="EZ754:FD754"/>
    <mergeCell ref="ET753:EX753"/>
    <mergeCell ref="DU754:DY754"/>
    <mergeCell ref="DZ754:ED754"/>
    <mergeCell ref="EE754:EI754"/>
    <mergeCell ref="EJ754:EN754"/>
    <mergeCell ref="EO754:ES754"/>
    <mergeCell ref="ET754:EX754"/>
    <mergeCell ref="DU755:DY755"/>
    <mergeCell ref="DZ755:ED755"/>
    <mergeCell ref="FT754:FX754"/>
    <mergeCell ref="FY754:GC754"/>
    <mergeCell ref="EZ755:FD755"/>
    <mergeCell ref="FE755:FI755"/>
    <mergeCell ref="FJ755:FN755"/>
    <mergeCell ref="FO755:FS755"/>
    <mergeCell ref="FT755:FX755"/>
    <mergeCell ref="FY755:GC755"/>
    <mergeCell ref="EE757:EI757"/>
    <mergeCell ref="EO757:ES757"/>
    <mergeCell ref="EE755:EI755"/>
    <mergeCell ref="EJ755:EN755"/>
    <mergeCell ref="FY757:GC757"/>
    <mergeCell ref="FE754:FI754"/>
    <mergeCell ref="FJ754:FN754"/>
    <mergeCell ref="FO754:FS754"/>
    <mergeCell ref="FT756:FX756"/>
    <mergeCell ref="FT757:FX757"/>
    <mergeCell ref="FJ756:FN756"/>
    <mergeCell ref="FO756:FS756"/>
    <mergeCell ref="FT758:FX758"/>
    <mergeCell ref="FY758:GC758"/>
    <mergeCell ref="DX666:EB666"/>
    <mergeCell ref="EC666:EG666"/>
    <mergeCell ref="EH666:EL666"/>
    <mergeCell ref="EM666:EQ666"/>
    <mergeCell ref="ER666:EV666"/>
    <mergeCell ref="EW666:FA666"/>
    <mergeCell ref="EC673:EG673"/>
    <mergeCell ref="EH673:EL673"/>
    <mergeCell ref="EM673:EQ673"/>
    <mergeCell ref="ER673:EV673"/>
    <mergeCell ref="EW673:FA673"/>
    <mergeCell ref="EW670:FA670"/>
    <mergeCell ref="DX671:EB671"/>
    <mergeCell ref="EC671:EG671"/>
    <mergeCell ref="EH671:EL671"/>
    <mergeCell ref="EM671:EQ671"/>
    <mergeCell ref="ER671:EV671"/>
    <mergeCell ref="EW671:FA671"/>
    <mergeCell ref="EC667:EG667"/>
    <mergeCell ref="EZ749:FD749"/>
    <mergeCell ref="FE749:FI749"/>
    <mergeCell ref="FJ749:FN749"/>
    <mergeCell ref="FO749:FS749"/>
    <mergeCell ref="DU749:DY749"/>
    <mergeCell ref="ET757:EX757"/>
    <mergeCell ref="FY756:GC756"/>
    <mergeCell ref="EZ757:FD757"/>
    <mergeCell ref="FE757:FI757"/>
    <mergeCell ref="FJ757:FN757"/>
    <mergeCell ref="FE756:FI756"/>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FO758:FS758"/>
    <mergeCell ref="ER667:EV667"/>
    <mergeCell ref="EW667:FA667"/>
    <mergeCell ref="DX668:EB668"/>
    <mergeCell ref="EC668:EG668"/>
    <mergeCell ref="FY749:GC749"/>
    <mergeCell ref="EZ750:FD750"/>
    <mergeCell ref="FE751:FI751"/>
    <mergeCell ref="EW644:FA644"/>
    <mergeCell ref="ER645:EV645"/>
    <mergeCell ref="FO761:FS761"/>
    <mergeCell ref="FJ761:FN761"/>
    <mergeCell ref="CK758:CL758"/>
    <mergeCell ref="CM758:CN758"/>
    <mergeCell ref="CG755:CH755"/>
    <mergeCell ref="CI755:CJ755"/>
    <mergeCell ref="CK755:CL755"/>
    <mergeCell ref="CM755:CN755"/>
    <mergeCell ref="CP750:CT750"/>
    <mergeCell ref="CP751:CT751"/>
    <mergeCell ref="DJ751:DN751"/>
    <mergeCell ref="DO751:DS751"/>
    <mergeCell ref="DO752:DS752"/>
    <mergeCell ref="CM753:CN753"/>
    <mergeCell ref="CG754:CH754"/>
    <mergeCell ref="CI754:CJ754"/>
    <mergeCell ref="DO758:DS758"/>
    <mergeCell ref="DJ753:DN753"/>
    <mergeCell ref="DO753:DS753"/>
    <mergeCell ref="CG752:CH752"/>
    <mergeCell ref="CI752:CJ752"/>
    <mergeCell ref="CG758:CH758"/>
    <mergeCell ref="DO755:DS755"/>
    <mergeCell ref="EZ756:FD756"/>
    <mergeCell ref="DU758:DY758"/>
    <mergeCell ref="DZ758:ED758"/>
    <mergeCell ref="EE758:EI758"/>
    <mergeCell ref="EJ758:EN758"/>
    <mergeCell ref="EO758:ES758"/>
    <mergeCell ref="ET758:EX758"/>
    <mergeCell ref="EE750:EI750"/>
    <mergeCell ref="CZ752:DD752"/>
    <mergeCell ref="CI751:CJ751"/>
    <mergeCell ref="CI756:CJ756"/>
    <mergeCell ref="CI749:CJ749"/>
    <mergeCell ref="AK755:AO755"/>
    <mergeCell ref="CP756:CT756"/>
    <mergeCell ref="CZ783:DD783"/>
    <mergeCell ref="J787:K787"/>
    <mergeCell ref="J795:N795"/>
    <mergeCell ref="CP759:CT759"/>
    <mergeCell ref="CM759:CN759"/>
    <mergeCell ref="AK756:AO756"/>
    <mergeCell ref="AC758:AG758"/>
    <mergeCell ref="AC759:AG759"/>
    <mergeCell ref="O753:S753"/>
    <mergeCell ref="T756:W756"/>
    <mergeCell ref="X755:AB755"/>
    <mergeCell ref="AH760:AJ760"/>
    <mergeCell ref="X754:AB754"/>
    <mergeCell ref="CK754:CL754"/>
    <mergeCell ref="CM754:CN754"/>
    <mergeCell ref="CI758:CJ758"/>
    <mergeCell ref="AD767:AF767"/>
    <mergeCell ref="O754:S754"/>
    <mergeCell ref="AC795:AG795"/>
    <mergeCell ref="CG759:CH759"/>
    <mergeCell ref="AK760:AO760"/>
    <mergeCell ref="O758:S758"/>
    <mergeCell ref="X750:AB750"/>
    <mergeCell ref="AH750:AJ750"/>
    <mergeCell ref="AK753:AO753"/>
    <mergeCell ref="CK752:CL752"/>
    <mergeCell ref="CM752:CN752"/>
    <mergeCell ref="X757:AB757"/>
    <mergeCell ref="AC747:AG747"/>
    <mergeCell ref="K752:N752"/>
    <mergeCell ref="O752:S752"/>
    <mergeCell ref="K754:N754"/>
    <mergeCell ref="T754:W754"/>
    <mergeCell ref="CG756:CH756"/>
    <mergeCell ref="CZ743:DD743"/>
    <mergeCell ref="CU742:CY742"/>
    <mergeCell ref="CP744:CT744"/>
    <mergeCell ref="G739:J739"/>
    <mergeCell ref="X746:AB746"/>
    <mergeCell ref="X737:AB737"/>
    <mergeCell ref="CU759:CY759"/>
    <mergeCell ref="CU784:CY784"/>
    <mergeCell ref="CP758:CT758"/>
    <mergeCell ref="CU758:CY758"/>
    <mergeCell ref="CU741:CY741"/>
    <mergeCell ref="K755:N755"/>
    <mergeCell ref="K759:N759"/>
    <mergeCell ref="O759:S759"/>
    <mergeCell ref="CP745:CT745"/>
    <mergeCell ref="CG745:CH745"/>
    <mergeCell ref="CZ746:DD746"/>
    <mergeCell ref="CI746:CJ746"/>
    <mergeCell ref="CP749:CT749"/>
    <mergeCell ref="CP761:CT761"/>
    <mergeCell ref="X752:AB752"/>
    <mergeCell ref="AH751:AJ751"/>
    <mergeCell ref="AH752:AJ752"/>
    <mergeCell ref="CZ757:DD757"/>
    <mergeCell ref="CI760:CJ760"/>
    <mergeCell ref="CG757:CH757"/>
    <mergeCell ref="DO805:DS805"/>
    <mergeCell ref="DO800:DS800"/>
    <mergeCell ref="DJ795:DN795"/>
    <mergeCell ref="DJ796:DN796"/>
    <mergeCell ref="DJ797:DN797"/>
    <mergeCell ref="DJ798:DN798"/>
    <mergeCell ref="DJ799:DN799"/>
    <mergeCell ref="DJ800:DN800"/>
    <mergeCell ref="DJ801:DN801"/>
    <mergeCell ref="DJ802:DN802"/>
    <mergeCell ref="DJ803:DN803"/>
    <mergeCell ref="DJ804:DN804"/>
    <mergeCell ref="DJ805:DN805"/>
    <mergeCell ref="CP805:CT805"/>
    <mergeCell ref="CI761:CJ761"/>
    <mergeCell ref="CM761:CN761"/>
    <mergeCell ref="CK760:CL760"/>
    <mergeCell ref="CU781:CY781"/>
    <mergeCell ref="DJ784:DN784"/>
    <mergeCell ref="DO784:DS784"/>
    <mergeCell ref="DO783:DS783"/>
    <mergeCell ref="DJ761:DN761"/>
    <mergeCell ref="CU795:CY795"/>
    <mergeCell ref="CU796:CY796"/>
    <mergeCell ref="CU797:CY797"/>
    <mergeCell ref="CU798:CY798"/>
    <mergeCell ref="CU799:CY799"/>
    <mergeCell ref="DO762:DS762"/>
    <mergeCell ref="CZ784:DD784"/>
    <mergeCell ref="CP803:CT803"/>
    <mergeCell ref="DE781:DI781"/>
    <mergeCell ref="DE800:DI800"/>
    <mergeCell ref="DO801:DS801"/>
    <mergeCell ref="DO802:DS802"/>
    <mergeCell ref="DO803:DS803"/>
    <mergeCell ref="DO804:DS804"/>
    <mergeCell ref="CZ758:DD758"/>
    <mergeCell ref="CK756:CL756"/>
    <mergeCell ref="CM756:CN756"/>
    <mergeCell ref="DE736:DI736"/>
    <mergeCell ref="DE742:DI742"/>
    <mergeCell ref="DE740:DI740"/>
    <mergeCell ref="DO747:DS747"/>
    <mergeCell ref="DO736:DS736"/>
    <mergeCell ref="DO741:DS741"/>
    <mergeCell ref="DO742:DS742"/>
    <mergeCell ref="DJ743:DN743"/>
    <mergeCell ref="DE745:DI745"/>
    <mergeCell ref="DE752:DI752"/>
    <mergeCell ref="CP800:CT800"/>
    <mergeCell ref="CP799:CT799"/>
    <mergeCell ref="DO737:DS737"/>
    <mergeCell ref="CK757:CL757"/>
    <mergeCell ref="CM757:CN757"/>
    <mergeCell ref="DE754:DI754"/>
    <mergeCell ref="DO750:DS750"/>
    <mergeCell ref="CU751:CY751"/>
    <mergeCell ref="CZ751:DD751"/>
    <mergeCell ref="DE751:DI751"/>
    <mergeCell ref="CU756:CY756"/>
    <mergeCell ref="CP754:CT754"/>
    <mergeCell ref="CU754:CY754"/>
    <mergeCell ref="CP748:CT748"/>
    <mergeCell ref="DE743:DI743"/>
    <mergeCell ref="CU805:CY805"/>
    <mergeCell ref="CZ795:DD795"/>
    <mergeCell ref="CZ796:DD796"/>
    <mergeCell ref="CZ797:DD797"/>
    <mergeCell ref="CZ798:DD798"/>
    <mergeCell ref="CZ799:DD799"/>
    <mergeCell ref="CZ800:DD800"/>
    <mergeCell ref="CZ801:DD801"/>
    <mergeCell ref="CZ802:DD802"/>
    <mergeCell ref="DE805:DI805"/>
    <mergeCell ref="CZ803:DD803"/>
    <mergeCell ref="CZ804:DD804"/>
    <mergeCell ref="CZ805:DD805"/>
    <mergeCell ref="DE801:DI801"/>
    <mergeCell ref="DE802:DI802"/>
    <mergeCell ref="CM745:CN745"/>
    <mergeCell ref="CU745:CY745"/>
    <mergeCell ref="CP783:CT783"/>
    <mergeCell ref="CP784:CT784"/>
    <mergeCell ref="DE795:DI795"/>
    <mergeCell ref="DE796:DI796"/>
    <mergeCell ref="DE798:DI798"/>
    <mergeCell ref="DE799:DI799"/>
    <mergeCell ref="CP795:CT795"/>
    <mergeCell ref="CU783:CY783"/>
    <mergeCell ref="CP785:CT785"/>
    <mergeCell ref="CP781:CT781"/>
    <mergeCell ref="CU760:CY760"/>
    <mergeCell ref="CP746:CT746"/>
    <mergeCell ref="DE746:DI746"/>
    <mergeCell ref="CU747:CY747"/>
    <mergeCell ref="CU803:CY803"/>
    <mergeCell ref="EO800:ES800"/>
    <mergeCell ref="EO801:ES801"/>
    <mergeCell ref="EO802:ES802"/>
    <mergeCell ref="EO803:ES803"/>
    <mergeCell ref="EO805:ES805"/>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EO795:ES795"/>
    <mergeCell ref="DZ805:ED805"/>
    <mergeCell ref="DE803:DI803"/>
    <mergeCell ref="DE804:DI804"/>
    <mergeCell ref="O728:S728"/>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Z799:ED799"/>
    <mergeCell ref="DZ800:ED800"/>
    <mergeCell ref="DZ801:ED801"/>
    <mergeCell ref="DZ802:ED802"/>
    <mergeCell ref="DZ803:ED803"/>
    <mergeCell ref="DZ804:ED804"/>
    <mergeCell ref="O153:AH153"/>
    <mergeCell ref="O154:AH154"/>
    <mergeCell ref="I185:AE185"/>
    <mergeCell ref="N191:AE192"/>
    <mergeCell ref="K727:N727"/>
    <mergeCell ref="DU801:DY801"/>
    <mergeCell ref="DU802:DY802"/>
    <mergeCell ref="DU803:DY803"/>
    <mergeCell ref="DU804:DY804"/>
    <mergeCell ref="DE797:DI797"/>
    <mergeCell ref="CU804:CY804"/>
    <mergeCell ref="CM734:CN734"/>
    <mergeCell ref="DE747:DI747"/>
    <mergeCell ref="CZ748:DD748"/>
    <mergeCell ref="CU749:CY749"/>
    <mergeCell ref="CZ747:DD747"/>
    <mergeCell ref="CK746:CL746"/>
    <mergeCell ref="CM747:CN747"/>
    <mergeCell ref="CP804:CT804"/>
    <mergeCell ref="CP801:CT801"/>
    <mergeCell ref="CP757:CT757"/>
    <mergeCell ref="CU757:CY757"/>
    <mergeCell ref="CU755:CY755"/>
    <mergeCell ref="CK753:CL753"/>
    <mergeCell ref="CP755:CT755"/>
    <mergeCell ref="CU734:CY734"/>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10" workbookViewId="0">
      <selection activeCell="E10" sqref="E10"/>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84" t="s">
        <v>621</v>
      </c>
      <c r="G1" s="1885"/>
      <c r="H1" s="1885"/>
      <c r="I1" s="1885"/>
      <c r="J1" s="1885"/>
      <c r="K1" s="1885"/>
      <c r="L1" s="1885"/>
      <c r="M1" s="1885"/>
      <c r="N1" s="1885"/>
      <c r="O1" s="1885"/>
      <c r="P1" s="1885"/>
      <c r="Q1" s="1885"/>
      <c r="R1" s="1886"/>
      <c r="S1" s="112"/>
      <c r="T1" s="111"/>
      <c r="U1" s="113"/>
    </row>
    <row r="2" spans="1:21" s="138" customFormat="1" ht="71.25" customHeight="1">
      <c r="A2" s="137"/>
      <c r="B2" s="138" t="s">
        <v>23</v>
      </c>
      <c r="C2" s="138" t="s">
        <v>374</v>
      </c>
      <c r="D2" s="138" t="s">
        <v>373</v>
      </c>
      <c r="E2" s="138" t="s">
        <v>24</v>
      </c>
      <c r="F2" s="139" t="str">
        <f>Application!B635&amp;Application!C635</f>
        <v>1)Citibank, N.A.</v>
      </c>
      <c r="G2" s="139" t="str">
        <f>Application!B636&amp;Application!C636</f>
        <v>2)Town of Mammoth Lakes</v>
      </c>
      <c r="H2" s="139" t="str">
        <f>Application!B637&amp;Application!C637</f>
        <v>3)Town of Mammoth Lakes</v>
      </c>
      <c r="I2" s="139" t="str">
        <f>Application!B638&amp;Application!C638</f>
        <v>4)West Development Ventures, LLC</v>
      </c>
      <c r="J2" s="139" t="str">
        <f>Application!B639&amp;Application!C639</f>
        <v>5)West Development Ventures, LLC</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593000</v>
      </c>
      <c r="C4" s="147">
        <v>593000</v>
      </c>
      <c r="D4" s="147"/>
      <c r="E4" s="147"/>
      <c r="F4" s="147"/>
      <c r="G4" s="147"/>
      <c r="H4" s="147">
        <v>593000</v>
      </c>
      <c r="I4" s="147"/>
      <c r="J4" s="147"/>
      <c r="K4" s="147"/>
      <c r="L4" s="147"/>
      <c r="M4" s="147"/>
      <c r="N4" s="147"/>
      <c r="O4" s="147"/>
      <c r="P4" s="147"/>
      <c r="Q4" s="147"/>
      <c r="R4" s="516">
        <f>SUM(E4:Q4)</f>
        <v>593000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593000</v>
      </c>
      <c r="C8" s="146">
        <f t="shared" ref="C8:Q8" si="0">SUM(C4:C7)</f>
        <v>593000</v>
      </c>
      <c r="D8" s="146">
        <f t="shared" si="0"/>
        <v>0</v>
      </c>
      <c r="E8" s="146">
        <f t="shared" si="0"/>
        <v>0</v>
      </c>
      <c r="F8" s="146">
        <f t="shared" si="0"/>
        <v>0</v>
      </c>
      <c r="G8" s="146">
        <f t="shared" si="0"/>
        <v>0</v>
      </c>
      <c r="H8" s="146">
        <f t="shared" si="0"/>
        <v>593000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593000</v>
      </c>
      <c r="S8" s="148"/>
      <c r="T8" s="148"/>
      <c r="U8" s="143"/>
    </row>
    <row r="9" spans="1:21" s="144" customFormat="1">
      <c r="A9" s="145" t="s">
        <v>594</v>
      </c>
      <c r="B9" s="146">
        <f>SUM(C9+D9)</f>
        <v>15069144</v>
      </c>
      <c r="C9" s="147">
        <v>15069144</v>
      </c>
      <c r="D9" s="147"/>
      <c r="E9" s="147">
        <v>2974196</v>
      </c>
      <c r="F9" s="147"/>
      <c r="G9" s="147">
        <v>8825000</v>
      </c>
      <c r="H9" s="147">
        <v>3269948</v>
      </c>
      <c r="I9" s="147"/>
      <c r="J9" s="147"/>
      <c r="K9" s="147"/>
      <c r="L9" s="147"/>
      <c r="M9" s="147"/>
      <c r="N9" s="147"/>
      <c r="O9" s="147"/>
      <c r="P9" s="147"/>
      <c r="Q9" s="147"/>
      <c r="R9" s="516">
        <f>SUM(E9:Q9)</f>
        <v>15069144</v>
      </c>
      <c r="S9" s="148"/>
      <c r="T9" s="147">
        <v>15069144</v>
      </c>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15069144</v>
      </c>
      <c r="C11" s="146">
        <f t="shared" ref="C11:Q11" si="1">SUM(C9:C10)</f>
        <v>15069144</v>
      </c>
      <c r="D11" s="146">
        <f t="shared" si="1"/>
        <v>0</v>
      </c>
      <c r="E11" s="146">
        <f t="shared" si="1"/>
        <v>2974196</v>
      </c>
      <c r="F11" s="146">
        <f t="shared" si="1"/>
        <v>0</v>
      </c>
      <c r="G11" s="146">
        <f t="shared" si="1"/>
        <v>8825000</v>
      </c>
      <c r="H11" s="146">
        <f t="shared" si="1"/>
        <v>3269948</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15069144</v>
      </c>
      <c r="S11" s="148"/>
      <c r="T11" s="150">
        <f>SUM(T9:T10)</f>
        <v>15069144</v>
      </c>
      <c r="U11" s="143"/>
    </row>
    <row r="12" spans="1:21" s="144" customFormat="1">
      <c r="A12" s="149" t="s">
        <v>84</v>
      </c>
      <c r="B12" s="146">
        <f t="shared" ref="B12:Q12" si="2">SUM(B8+B11)</f>
        <v>15662144</v>
      </c>
      <c r="C12" s="146">
        <f t="shared" si="2"/>
        <v>15662144</v>
      </c>
      <c r="D12" s="146">
        <f t="shared" si="2"/>
        <v>0</v>
      </c>
      <c r="E12" s="146">
        <f t="shared" si="2"/>
        <v>2974196</v>
      </c>
      <c r="F12" s="146">
        <f t="shared" si="2"/>
        <v>0</v>
      </c>
      <c r="G12" s="146">
        <f t="shared" si="2"/>
        <v>8825000</v>
      </c>
      <c r="H12" s="146">
        <f t="shared" si="2"/>
        <v>3862948</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15662144</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1632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9361560</v>
      </c>
      <c r="C18" s="147">
        <v>9361560</v>
      </c>
      <c r="D18" s="147"/>
      <c r="E18" s="147">
        <v>2720539</v>
      </c>
      <c r="F18" s="147">
        <v>6440000</v>
      </c>
      <c r="G18" s="147"/>
      <c r="H18" s="147"/>
      <c r="I18" s="147"/>
      <c r="J18" s="147">
        <v>201021</v>
      </c>
      <c r="K18" s="147"/>
      <c r="L18" s="147"/>
      <c r="M18" s="147"/>
      <c r="N18" s="147"/>
      <c r="O18" s="147"/>
      <c r="P18" s="147"/>
      <c r="Q18" s="147"/>
      <c r="R18" s="516">
        <f>SUM(E18:Q18)</f>
        <v>9361560</v>
      </c>
      <c r="S18" s="147">
        <v>9361560</v>
      </c>
      <c r="T18" s="147"/>
      <c r="U18" s="143"/>
    </row>
    <row r="19" spans="1:21" s="144" customFormat="1">
      <c r="A19" s="145" t="s">
        <v>600</v>
      </c>
      <c r="B19" s="146">
        <f t="shared" si="3"/>
        <v>187232</v>
      </c>
      <c r="C19" s="147">
        <v>187232</v>
      </c>
      <c r="D19" s="147"/>
      <c r="E19" s="147">
        <v>187232</v>
      </c>
      <c r="F19" s="147"/>
      <c r="G19" s="147"/>
      <c r="H19" s="147"/>
      <c r="I19" s="147"/>
      <c r="J19" s="147"/>
      <c r="K19" s="147"/>
      <c r="L19" s="147"/>
      <c r="M19" s="147"/>
      <c r="N19" s="147"/>
      <c r="O19" s="147"/>
      <c r="P19" s="147"/>
      <c r="Q19" s="147"/>
      <c r="R19" s="516">
        <f>SUM(E19:Q19)</f>
        <v>187232</v>
      </c>
      <c r="S19" s="147">
        <v>187232</v>
      </c>
      <c r="T19" s="147"/>
      <c r="U19" s="143"/>
    </row>
    <row r="20" spans="1:21" s="144" customFormat="1">
      <c r="A20" s="145" t="s">
        <v>137</v>
      </c>
      <c r="B20" s="146">
        <f t="shared" si="3"/>
        <v>561693</v>
      </c>
      <c r="C20" s="147">
        <v>561693</v>
      </c>
      <c r="D20" s="147"/>
      <c r="E20" s="147">
        <v>561693</v>
      </c>
      <c r="F20" s="147"/>
      <c r="G20" s="147"/>
      <c r="H20" s="147"/>
      <c r="I20" s="147"/>
      <c r="J20" s="147"/>
      <c r="K20" s="147"/>
      <c r="L20" s="147"/>
      <c r="M20" s="147"/>
      <c r="N20" s="147"/>
      <c r="O20" s="147"/>
      <c r="P20" s="147"/>
      <c r="Q20" s="147"/>
      <c r="R20" s="516">
        <f t="shared" ref="R20:R27" si="4">SUM(E20:Q20)</f>
        <v>561693</v>
      </c>
      <c r="S20" s="147">
        <v>561693</v>
      </c>
      <c r="T20" s="147"/>
      <c r="U20" s="143"/>
    </row>
    <row r="21" spans="1:21" s="144" customFormat="1">
      <c r="A21" s="145" t="s">
        <v>138</v>
      </c>
      <c r="B21" s="146">
        <f t="shared" si="3"/>
        <v>561693</v>
      </c>
      <c r="C21" s="147">
        <v>561693</v>
      </c>
      <c r="D21" s="147"/>
      <c r="E21" s="147">
        <v>561693</v>
      </c>
      <c r="F21" s="147"/>
      <c r="G21" s="147"/>
      <c r="H21" s="147"/>
      <c r="I21" s="147"/>
      <c r="J21" s="147"/>
      <c r="K21" s="147"/>
      <c r="L21" s="147"/>
      <c r="M21" s="147"/>
      <c r="N21" s="147"/>
      <c r="O21" s="147"/>
      <c r="P21" s="147"/>
      <c r="Q21" s="147"/>
      <c r="R21" s="516">
        <f t="shared" si="4"/>
        <v>561693</v>
      </c>
      <c r="S21" s="147">
        <v>561693</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116083</v>
      </c>
      <c r="C23" s="147">
        <v>116083</v>
      </c>
      <c r="D23" s="147"/>
      <c r="E23" s="147">
        <v>116083</v>
      </c>
      <c r="F23" s="147"/>
      <c r="G23" s="147"/>
      <c r="H23" s="147"/>
      <c r="I23" s="147"/>
      <c r="J23" s="147"/>
      <c r="K23" s="147"/>
      <c r="L23" s="147"/>
      <c r="M23" s="147"/>
      <c r="N23" s="147"/>
      <c r="O23" s="147"/>
      <c r="P23" s="147"/>
      <c r="Q23" s="147"/>
      <c r="R23" s="516">
        <f t="shared" si="4"/>
        <v>116083</v>
      </c>
      <c r="S23" s="147">
        <v>116083</v>
      </c>
      <c r="T23" s="147"/>
      <c r="U23" s="143"/>
    </row>
    <row r="24" spans="1:21" s="144" customFormat="1">
      <c r="A24" s="508" t="s">
        <v>1629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2752</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10788261</v>
      </c>
      <c r="C26" s="146">
        <f>SUM(C17:C25)</f>
        <v>10788261</v>
      </c>
      <c r="D26" s="146">
        <f t="shared" ref="D26:Q26" si="5">SUM(D17:D25)</f>
        <v>0</v>
      </c>
      <c r="E26" s="146">
        <f t="shared" si="5"/>
        <v>4147240</v>
      </c>
      <c r="F26" s="146">
        <f t="shared" si="5"/>
        <v>6440000</v>
      </c>
      <c r="G26" s="146">
        <f t="shared" si="5"/>
        <v>0</v>
      </c>
      <c r="H26" s="146">
        <f t="shared" si="5"/>
        <v>0</v>
      </c>
      <c r="I26" s="146">
        <f t="shared" si="5"/>
        <v>0</v>
      </c>
      <c r="J26" s="146">
        <f t="shared" si="5"/>
        <v>201021</v>
      </c>
      <c r="K26" s="146">
        <f t="shared" si="5"/>
        <v>0</v>
      </c>
      <c r="L26" s="146">
        <f t="shared" si="5"/>
        <v>0</v>
      </c>
      <c r="M26" s="146">
        <f t="shared" si="5"/>
        <v>0</v>
      </c>
      <c r="N26" s="146">
        <f t="shared" si="5"/>
        <v>0</v>
      </c>
      <c r="O26" s="146">
        <f t="shared" si="5"/>
        <v>0</v>
      </c>
      <c r="P26" s="146">
        <f t="shared" si="5"/>
        <v>0</v>
      </c>
      <c r="Q26" s="146">
        <f t="shared" si="5"/>
        <v>0</v>
      </c>
      <c r="R26" s="342">
        <f>SUM(R17:R25)</f>
        <v>10788261</v>
      </c>
      <c r="S26" s="150">
        <f>SUM(S17:S25)</f>
        <v>10788261</v>
      </c>
      <c r="T26" s="150">
        <f>SUM(T17:T25)</f>
        <v>0</v>
      </c>
      <c r="U26" s="143"/>
    </row>
    <row r="27" spans="1:21" s="144" customFormat="1">
      <c r="A27" s="149" t="s">
        <v>141</v>
      </c>
      <c r="B27" s="146">
        <f>SUM(C27:D27)</f>
        <v>667931</v>
      </c>
      <c r="C27" s="147">
        <v>667931</v>
      </c>
      <c r="D27" s="147"/>
      <c r="E27" s="147">
        <v>667931</v>
      </c>
      <c r="F27" s="147"/>
      <c r="G27" s="147"/>
      <c r="H27" s="147"/>
      <c r="I27" s="147"/>
      <c r="J27" s="147"/>
      <c r="K27" s="147"/>
      <c r="L27" s="147"/>
      <c r="M27" s="147"/>
      <c r="N27" s="147"/>
      <c r="O27" s="147"/>
      <c r="P27" s="147"/>
      <c r="Q27" s="147"/>
      <c r="R27" s="516">
        <f t="shared" si="4"/>
        <v>667931</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599</v>
      </c>
      <c r="B30" s="146">
        <f t="shared" si="6"/>
        <v>0</v>
      </c>
      <c r="C30" s="147"/>
      <c r="D30" s="147"/>
      <c r="E30" s="147"/>
      <c r="F30" s="147"/>
      <c r="G30" s="147"/>
      <c r="H30" s="147"/>
      <c r="I30" s="147"/>
      <c r="J30" s="147"/>
      <c r="K30" s="147"/>
      <c r="L30" s="147"/>
      <c r="M30" s="147"/>
      <c r="N30" s="147"/>
      <c r="O30" s="147"/>
      <c r="P30" s="147"/>
      <c r="Q30" s="147"/>
      <c r="R30" s="516">
        <f t="shared" si="7"/>
        <v>0</v>
      </c>
      <c r="S30" s="147"/>
      <c r="T30" s="147"/>
      <c r="U30" s="143"/>
    </row>
    <row r="31" spans="1:21" s="144" customFormat="1">
      <c r="A31" s="145" t="s">
        <v>600</v>
      </c>
      <c r="B31" s="146">
        <f t="shared" si="6"/>
        <v>0</v>
      </c>
      <c r="C31" s="147"/>
      <c r="D31" s="147"/>
      <c r="E31" s="147"/>
      <c r="F31" s="147"/>
      <c r="G31" s="147"/>
      <c r="H31" s="147"/>
      <c r="I31" s="147"/>
      <c r="J31" s="147"/>
      <c r="K31" s="147"/>
      <c r="L31" s="147"/>
      <c r="M31" s="147"/>
      <c r="N31" s="147"/>
      <c r="O31" s="147"/>
      <c r="P31" s="147"/>
      <c r="Q31" s="147"/>
      <c r="R31" s="516">
        <f t="shared" si="7"/>
        <v>0</v>
      </c>
      <c r="S31" s="147"/>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16">
        <f t="shared" si="7"/>
        <v>0</v>
      </c>
      <c r="S32" s="147"/>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16">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6">
        <f t="shared" si="7"/>
        <v>0</v>
      </c>
      <c r="S35" s="147"/>
      <c r="T35" s="147"/>
      <c r="U35" s="143"/>
    </row>
    <row r="36" spans="1:21" s="144" customFormat="1">
      <c r="A36" s="283" t="s">
        <v>1629</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192500</v>
      </c>
      <c r="C40" s="147">
        <v>192500</v>
      </c>
      <c r="D40" s="147"/>
      <c r="E40" s="147">
        <v>192500</v>
      </c>
      <c r="F40" s="147"/>
      <c r="G40" s="147"/>
      <c r="H40" s="147"/>
      <c r="I40" s="147"/>
      <c r="J40" s="147"/>
      <c r="K40" s="147"/>
      <c r="L40" s="147"/>
      <c r="M40" s="147"/>
      <c r="N40" s="147"/>
      <c r="O40" s="147"/>
      <c r="P40" s="147"/>
      <c r="Q40" s="147"/>
      <c r="R40" s="516">
        <f>SUM(E40:Q40)</f>
        <v>192500</v>
      </c>
      <c r="S40" s="147">
        <v>192500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192500</v>
      </c>
      <c r="C42" s="146">
        <f>SUM(C39:C41)</f>
        <v>192500</v>
      </c>
      <c r="D42" s="146">
        <f>SUM(D39:D41)</f>
        <v>0</v>
      </c>
      <c r="E42" s="146">
        <f t="shared" ref="E42:T42" si="9">SUM(E40:E41)</f>
        <v>192500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192500</v>
      </c>
      <c r="S42" s="150">
        <f t="shared" si="9"/>
        <v>192500</v>
      </c>
      <c r="T42" s="150">
        <f t="shared" si="9"/>
        <v>0</v>
      </c>
      <c r="U42" s="143"/>
    </row>
    <row r="43" spans="1:21" s="144" customFormat="1">
      <c r="A43" s="149" t="s">
        <v>148</v>
      </c>
      <c r="B43" s="146">
        <f>SUM(C43:D43)</f>
        <v>14500</v>
      </c>
      <c r="C43" s="147">
        <v>14500</v>
      </c>
      <c r="D43" s="147"/>
      <c r="E43" s="147">
        <v>14500</v>
      </c>
      <c r="F43" s="147"/>
      <c r="G43" s="147"/>
      <c r="H43" s="147"/>
      <c r="I43" s="147"/>
      <c r="J43" s="147"/>
      <c r="K43" s="147"/>
      <c r="L43" s="147"/>
      <c r="M43" s="147"/>
      <c r="N43" s="147"/>
      <c r="O43" s="147"/>
      <c r="P43" s="147"/>
      <c r="Q43" s="147"/>
      <c r="R43" s="516">
        <f>SUM(E43:Q43)</f>
        <v>14500</v>
      </c>
      <c r="S43" s="147">
        <v>14500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691127</v>
      </c>
      <c r="C45" s="147">
        <v>691127</v>
      </c>
      <c r="D45" s="147"/>
      <c r="E45" s="147">
        <v>691127</v>
      </c>
      <c r="F45" s="147"/>
      <c r="G45" s="147"/>
      <c r="H45" s="147"/>
      <c r="I45" s="147"/>
      <c r="J45" s="147"/>
      <c r="K45" s="147"/>
      <c r="L45" s="147"/>
      <c r="M45" s="147"/>
      <c r="N45" s="147"/>
      <c r="O45" s="147"/>
      <c r="P45" s="147"/>
      <c r="Q45" s="147"/>
      <c r="R45" s="516">
        <f t="shared" ref="R45:R53" si="11">SUM(E45:Q45)</f>
        <v>691127</v>
      </c>
      <c r="S45" s="147">
        <v>518448</v>
      </c>
      <c r="T45" s="147"/>
      <c r="U45" s="143"/>
    </row>
    <row r="46" spans="1:21" s="144" customFormat="1">
      <c r="A46" s="145" t="s">
        <v>151</v>
      </c>
      <c r="B46" s="146">
        <f t="shared" si="10"/>
        <v>250000</v>
      </c>
      <c r="C46" s="147">
        <v>250000</v>
      </c>
      <c r="D46" s="147"/>
      <c r="E46" s="147">
        <v>250000</v>
      </c>
      <c r="F46" s="147"/>
      <c r="G46" s="147"/>
      <c r="H46" s="147"/>
      <c r="I46" s="147"/>
      <c r="J46" s="147"/>
      <c r="K46" s="147"/>
      <c r="L46" s="147"/>
      <c r="M46" s="147"/>
      <c r="N46" s="147"/>
      <c r="O46" s="147"/>
      <c r="P46" s="147"/>
      <c r="Q46" s="147"/>
      <c r="R46" s="516">
        <f t="shared" si="11"/>
        <v>250000</v>
      </c>
      <c r="S46" s="147">
        <v>250000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0</v>
      </c>
      <c r="C49" s="147"/>
      <c r="D49" s="147"/>
      <c r="E49" s="147"/>
      <c r="F49" s="147"/>
      <c r="G49" s="147"/>
      <c r="H49" s="147"/>
      <c r="I49" s="147"/>
      <c r="J49" s="147"/>
      <c r="K49" s="147"/>
      <c r="L49" s="147"/>
      <c r="M49" s="147"/>
      <c r="N49" s="147"/>
      <c r="O49" s="147"/>
      <c r="P49" s="147"/>
      <c r="Q49" s="147"/>
      <c r="R49" s="516">
        <f t="shared" si="11"/>
        <v>0</v>
      </c>
      <c r="S49" s="147"/>
      <c r="T49" s="147"/>
      <c r="U49" s="143"/>
    </row>
    <row r="50" spans="1:21" s="144" customFormat="1">
      <c r="A50" s="145" t="s">
        <v>156</v>
      </c>
      <c r="B50" s="146">
        <f t="shared" si="10"/>
        <v>40000</v>
      </c>
      <c r="C50" s="147">
        <v>40000</v>
      </c>
      <c r="D50" s="147"/>
      <c r="E50" s="147">
        <v>40000</v>
      </c>
      <c r="F50" s="147"/>
      <c r="G50" s="147"/>
      <c r="H50" s="147"/>
      <c r="I50" s="147"/>
      <c r="J50" s="147"/>
      <c r="K50" s="147"/>
      <c r="L50" s="147"/>
      <c r="M50" s="147"/>
      <c r="N50" s="147"/>
      <c r="O50" s="147"/>
      <c r="P50" s="147"/>
      <c r="Q50" s="147"/>
      <c r="R50" s="516">
        <f t="shared" si="11"/>
        <v>40000</v>
      </c>
      <c r="S50" s="147">
        <v>40000</v>
      </c>
      <c r="T50" s="147"/>
      <c r="U50" s="143"/>
    </row>
    <row r="51" spans="1:21" s="144" customFormat="1">
      <c r="A51" s="283" t="s">
        <v>154</v>
      </c>
      <c r="B51" s="146">
        <f t="shared" si="10"/>
        <v>0</v>
      </c>
      <c r="C51" s="147"/>
      <c r="D51" s="147"/>
      <c r="E51" s="147"/>
      <c r="F51" s="147"/>
      <c r="G51" s="147"/>
      <c r="H51" s="147"/>
      <c r="I51" s="147"/>
      <c r="J51" s="147"/>
      <c r="K51" s="147"/>
      <c r="L51" s="147"/>
      <c r="M51" s="147"/>
      <c r="N51" s="147"/>
      <c r="O51" s="147"/>
      <c r="P51" s="147"/>
      <c r="Q51" s="147"/>
      <c r="R51" s="516">
        <f t="shared" si="11"/>
        <v>0</v>
      </c>
      <c r="S51" s="147"/>
      <c r="T51" s="147"/>
      <c r="U51" s="143"/>
    </row>
    <row r="52" spans="1:21" s="144" customFormat="1">
      <c r="A52" s="145" t="s">
        <v>155</v>
      </c>
      <c r="B52" s="146">
        <f t="shared" si="10"/>
        <v>58500</v>
      </c>
      <c r="C52" s="147">
        <v>58500</v>
      </c>
      <c r="D52" s="147"/>
      <c r="E52" s="147">
        <v>58500</v>
      </c>
      <c r="F52" s="147"/>
      <c r="G52" s="147"/>
      <c r="H52" s="147"/>
      <c r="I52" s="147"/>
      <c r="J52" s="147"/>
      <c r="K52" s="147"/>
      <c r="L52" s="147"/>
      <c r="M52" s="147"/>
      <c r="N52" s="147"/>
      <c r="O52" s="147"/>
      <c r="P52" s="147"/>
      <c r="Q52" s="147"/>
      <c r="R52" s="516">
        <f t="shared" si="11"/>
        <v>58500</v>
      </c>
      <c r="S52" s="147"/>
      <c r="T52" s="147"/>
      <c r="U52" s="143"/>
    </row>
    <row r="53" spans="1:21" s="144" customFormat="1">
      <c r="A53" s="1143" t="s">
        <v>2777</v>
      </c>
      <c r="B53" s="146">
        <f t="shared" si="10"/>
        <v>135800</v>
      </c>
      <c r="C53" s="147">
        <v>135800</v>
      </c>
      <c r="D53" s="147"/>
      <c r="E53" s="147">
        <v>135800</v>
      </c>
      <c r="F53" s="147"/>
      <c r="G53" s="147"/>
      <c r="H53" s="147"/>
      <c r="I53" s="147"/>
      <c r="J53" s="147"/>
      <c r="K53" s="147"/>
      <c r="L53" s="147"/>
      <c r="M53" s="147"/>
      <c r="N53" s="147"/>
      <c r="O53" s="147"/>
      <c r="P53" s="147"/>
      <c r="Q53" s="147"/>
      <c r="R53" s="516">
        <f t="shared" si="11"/>
        <v>135800</v>
      </c>
      <c r="S53" s="147">
        <v>135800</v>
      </c>
      <c r="T53" s="147"/>
      <c r="U53" s="143"/>
    </row>
    <row r="54" spans="1:21" s="153" customFormat="1">
      <c r="A54" s="149" t="s">
        <v>157</v>
      </c>
      <c r="B54" s="150">
        <f>SUM(C54:D54)</f>
        <v>1175427</v>
      </c>
      <c r="C54" s="150">
        <f t="shared" ref="C54:T54" si="12">SUM(C45:C53)</f>
        <v>1175427</v>
      </c>
      <c r="D54" s="150">
        <f t="shared" si="12"/>
        <v>0</v>
      </c>
      <c r="E54" s="150">
        <f t="shared" si="12"/>
        <v>1175427</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1175427</v>
      </c>
      <c r="S54" s="150">
        <f t="shared" si="12"/>
        <v>944248</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10000</v>
      </c>
      <c r="C56" s="147">
        <v>10000</v>
      </c>
      <c r="D56" s="147"/>
      <c r="E56" s="147">
        <v>10000</v>
      </c>
      <c r="F56" s="147"/>
      <c r="G56" s="147"/>
      <c r="H56" s="147"/>
      <c r="I56" s="147"/>
      <c r="J56" s="147"/>
      <c r="K56" s="147"/>
      <c r="L56" s="147"/>
      <c r="M56" s="147"/>
      <c r="N56" s="147"/>
      <c r="O56" s="147"/>
      <c r="P56" s="147"/>
      <c r="Q56" s="147"/>
      <c r="R56" s="516">
        <f t="shared" ref="R56:R61" si="14">SUM(E56:Q56)</f>
        <v>10000</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16">
        <f t="shared" si="14"/>
        <v>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3" t="s">
        <v>2777</v>
      </c>
      <c r="B61" s="146">
        <f t="shared" si="13"/>
        <v>229680</v>
      </c>
      <c r="C61" s="147">
        <v>229680</v>
      </c>
      <c r="D61" s="147"/>
      <c r="E61" s="147">
        <v>229680</v>
      </c>
      <c r="F61" s="147"/>
      <c r="G61" s="147"/>
      <c r="H61" s="147"/>
      <c r="I61" s="147"/>
      <c r="J61" s="147"/>
      <c r="K61" s="147"/>
      <c r="L61" s="147"/>
      <c r="M61" s="147"/>
      <c r="N61" s="147"/>
      <c r="O61" s="147"/>
      <c r="P61" s="147"/>
      <c r="Q61" s="147"/>
      <c r="R61" s="516">
        <f t="shared" si="14"/>
        <v>229680</v>
      </c>
      <c r="S61" s="148"/>
      <c r="T61" s="148"/>
      <c r="U61" s="143"/>
    </row>
    <row r="62" spans="1:21" s="144" customFormat="1" ht="13.7" customHeight="1">
      <c r="A62" s="149" t="s">
        <v>301</v>
      </c>
      <c r="B62" s="146">
        <f>SUM(C62:D62)</f>
        <v>239680</v>
      </c>
      <c r="C62" s="146">
        <f t="shared" ref="C62:R62" si="15">SUM(C56:C61)</f>
        <v>239680</v>
      </c>
      <c r="D62" s="146">
        <f t="shared" si="15"/>
        <v>0</v>
      </c>
      <c r="E62" s="146">
        <f t="shared" si="15"/>
        <v>239680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239680</v>
      </c>
      <c r="S62" s="148"/>
      <c r="T62" s="148"/>
      <c r="U62" s="143"/>
    </row>
    <row r="63" spans="1:21" s="144" customFormat="1">
      <c r="A63" s="154" t="s">
        <v>302</v>
      </c>
      <c r="B63" s="146">
        <f t="shared" ref="B63:R63" si="16">SUM(B8+B11+B13+B14+B15+B26+B27+B38+B42+B43+B54+B62)</f>
        <v>28740443</v>
      </c>
      <c r="C63" s="146">
        <f t="shared" si="16"/>
        <v>28740443</v>
      </c>
      <c r="D63" s="146">
        <f t="shared" si="16"/>
        <v>0</v>
      </c>
      <c r="E63" s="146">
        <f t="shared" si="16"/>
        <v>9411474</v>
      </c>
      <c r="F63" s="146">
        <f t="shared" si="16"/>
        <v>6440000</v>
      </c>
      <c r="G63" s="146">
        <f t="shared" si="16"/>
        <v>8825000</v>
      </c>
      <c r="H63" s="146">
        <f t="shared" si="16"/>
        <v>3862948</v>
      </c>
      <c r="I63" s="146">
        <f t="shared" si="16"/>
        <v>0</v>
      </c>
      <c r="J63" s="146">
        <f t="shared" si="16"/>
        <v>201021</v>
      </c>
      <c r="K63" s="146">
        <f t="shared" si="16"/>
        <v>0</v>
      </c>
      <c r="L63" s="146">
        <f t="shared" si="16"/>
        <v>0</v>
      </c>
      <c r="M63" s="146">
        <f t="shared" si="16"/>
        <v>0</v>
      </c>
      <c r="N63" s="146">
        <f t="shared" si="16"/>
        <v>0</v>
      </c>
      <c r="O63" s="146">
        <f t="shared" si="16"/>
        <v>0</v>
      </c>
      <c r="P63" s="146">
        <f t="shared" si="16"/>
        <v>0</v>
      </c>
      <c r="Q63" s="146">
        <f t="shared" si="16"/>
        <v>0</v>
      </c>
      <c r="R63" s="342">
        <f t="shared" si="16"/>
        <v>28740443</v>
      </c>
      <c r="S63" s="146">
        <f>SUM(S10+S13+S14+S15+S26+S27+S38+S42+S43+S54)</f>
        <v>11939509</v>
      </c>
      <c r="T63" s="146">
        <f>SUM(T11+T13+T14+T15+T26+T27+T38+T42+T43+T54)</f>
        <v>15069144</v>
      </c>
      <c r="U63" s="143"/>
    </row>
    <row r="64" spans="1:21" s="144" customFormat="1" ht="24">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60000</v>
      </c>
      <c r="C65" s="147">
        <v>60000</v>
      </c>
      <c r="D65" s="147"/>
      <c r="E65" s="147">
        <v>60000</v>
      </c>
      <c r="F65" s="147"/>
      <c r="G65" s="147"/>
      <c r="H65" s="147"/>
      <c r="I65" s="147"/>
      <c r="J65" s="147"/>
      <c r="K65" s="147"/>
      <c r="L65" s="147"/>
      <c r="M65" s="147"/>
      <c r="N65" s="147"/>
      <c r="O65" s="147"/>
      <c r="P65" s="147"/>
      <c r="Q65" s="147"/>
      <c r="R65" s="516">
        <f>SUM(E65:Q65)</f>
        <v>60000</v>
      </c>
      <c r="S65" s="147">
        <v>60000</v>
      </c>
      <c r="T65" s="147"/>
      <c r="U65" s="143"/>
    </row>
    <row r="66" spans="1:21" s="144" customFormat="1" ht="24" customHeight="1">
      <c r="A66" s="283" t="s">
        <v>1630</v>
      </c>
      <c r="B66" s="146">
        <f>SUM(C66+D66)</f>
        <v>22000</v>
      </c>
      <c r="C66" s="147">
        <v>22000</v>
      </c>
      <c r="D66" s="147"/>
      <c r="E66" s="147">
        <v>22000</v>
      </c>
      <c r="F66" s="147"/>
      <c r="G66" s="147"/>
      <c r="H66" s="147"/>
      <c r="I66" s="147"/>
      <c r="J66" s="147"/>
      <c r="K66" s="147"/>
      <c r="L66" s="147"/>
      <c r="M66" s="147"/>
      <c r="N66" s="147"/>
      <c r="O66" s="147"/>
      <c r="P66" s="147"/>
      <c r="Q66" s="147"/>
      <c r="R66" s="516">
        <f>SUM(E66:Q66)</f>
        <v>22000</v>
      </c>
      <c r="S66" s="147"/>
      <c r="T66" s="147"/>
      <c r="U66" s="143"/>
    </row>
    <row r="67" spans="1:21" s="144" customFormat="1" ht="24" customHeight="1">
      <c r="A67" s="283" t="s">
        <v>1631</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1637</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2753</v>
      </c>
      <c r="B69" s="146">
        <f>SUM(C69+D69)</f>
        <v>135000</v>
      </c>
      <c r="C69" s="147">
        <v>135000</v>
      </c>
      <c r="D69" s="147"/>
      <c r="E69" s="147">
        <v>135000</v>
      </c>
      <c r="F69" s="147"/>
      <c r="G69" s="147"/>
      <c r="H69" s="147"/>
      <c r="I69" s="147"/>
      <c r="J69" s="147"/>
      <c r="K69" s="147"/>
      <c r="L69" s="147"/>
      <c r="M69" s="147"/>
      <c r="N69" s="147"/>
      <c r="O69" s="147"/>
      <c r="P69" s="147"/>
      <c r="Q69" s="147"/>
      <c r="R69" s="516">
        <f>SUM(E69:Q69)</f>
        <v>135000</v>
      </c>
      <c r="S69" s="147">
        <v>67500</v>
      </c>
      <c r="T69" s="147"/>
      <c r="U69" s="143"/>
    </row>
    <row r="70" spans="1:21" s="144" customFormat="1">
      <c r="A70" s="149" t="s">
        <v>1634</v>
      </c>
      <c r="B70" s="146">
        <f>SUM(C70:D70)</f>
        <v>217000</v>
      </c>
      <c r="C70" s="146">
        <f>SUM(C65:C69)</f>
        <v>217000</v>
      </c>
      <c r="D70" s="146">
        <f>SUM(D65:D69)</f>
        <v>0</v>
      </c>
      <c r="E70" s="146">
        <f t="shared" ref="E70:T70" si="17">SUM(E65:E69)</f>
        <v>217000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217000</v>
      </c>
      <c r="S70" s="150">
        <f t="shared" si="17"/>
        <v>127500</v>
      </c>
      <c r="T70" s="150">
        <f t="shared" si="17"/>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302717</v>
      </c>
      <c r="C75" s="147">
        <v>302717</v>
      </c>
      <c r="D75" s="147"/>
      <c r="E75" s="147"/>
      <c r="F75" s="147"/>
      <c r="G75" s="147"/>
      <c r="H75" s="147"/>
      <c r="I75" s="147"/>
      <c r="J75" s="147">
        <v>302717</v>
      </c>
      <c r="K75" s="147"/>
      <c r="L75" s="147"/>
      <c r="M75" s="147"/>
      <c r="N75" s="147"/>
      <c r="O75" s="147"/>
      <c r="P75" s="147"/>
      <c r="Q75" s="147"/>
      <c r="R75" s="516">
        <f>SUM(E75:Q75)</f>
        <v>302717</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302717</v>
      </c>
      <c r="C77" s="146">
        <f>SUM(C72:C76)</f>
        <v>302717</v>
      </c>
      <c r="D77" s="146">
        <f>SUM(D72:D76)</f>
        <v>0</v>
      </c>
      <c r="E77" s="146">
        <f t="shared" ref="E77:Q77" si="18">SUM(E72:E76)</f>
        <v>0</v>
      </c>
      <c r="F77" s="146">
        <f t="shared" si="18"/>
        <v>0</v>
      </c>
      <c r="G77" s="146">
        <f t="shared" si="18"/>
        <v>0</v>
      </c>
      <c r="H77" s="146">
        <f t="shared" si="18"/>
        <v>0</v>
      </c>
      <c r="I77" s="146">
        <f t="shared" si="18"/>
        <v>0</v>
      </c>
      <c r="J77" s="146">
        <f t="shared" si="18"/>
        <v>302717</v>
      </c>
      <c r="K77" s="146">
        <f t="shared" si="18"/>
        <v>0</v>
      </c>
      <c r="L77" s="146">
        <f t="shared" si="18"/>
        <v>0</v>
      </c>
      <c r="M77" s="146">
        <f t="shared" si="18"/>
        <v>0</v>
      </c>
      <c r="N77" s="146">
        <f t="shared" si="18"/>
        <v>0</v>
      </c>
      <c r="O77" s="146">
        <f t="shared" si="18"/>
        <v>0</v>
      </c>
      <c r="P77" s="146">
        <f t="shared" si="18"/>
        <v>0</v>
      </c>
      <c r="Q77" s="146">
        <f t="shared" si="18"/>
        <v>0</v>
      </c>
      <c r="R77" s="342">
        <f>SUM(R72:R76)</f>
        <v>302717</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936156</v>
      </c>
      <c r="C79" s="147">
        <v>936156</v>
      </c>
      <c r="D79" s="147"/>
      <c r="E79" s="147">
        <v>936156</v>
      </c>
      <c r="F79" s="147"/>
      <c r="G79" s="147"/>
      <c r="H79" s="147"/>
      <c r="I79" s="147"/>
      <c r="J79" s="147"/>
      <c r="K79" s="147"/>
      <c r="L79" s="147"/>
      <c r="M79" s="147"/>
      <c r="N79" s="147"/>
      <c r="O79" s="147"/>
      <c r="P79" s="147"/>
      <c r="Q79" s="147"/>
      <c r="R79" s="516">
        <f>SUM(E79:Q79)</f>
        <v>936156</v>
      </c>
      <c r="S79" s="147">
        <v>936156</v>
      </c>
      <c r="T79" s="147"/>
      <c r="U79" s="143"/>
    </row>
    <row r="80" spans="1:21" s="144" customFormat="1">
      <c r="A80" s="283" t="s">
        <v>58</v>
      </c>
      <c r="B80" s="146">
        <f>SUM(C80:D80)</f>
        <v>157500</v>
      </c>
      <c r="C80" s="147">
        <v>157500</v>
      </c>
      <c r="D80" s="147"/>
      <c r="E80" s="147">
        <v>157500</v>
      </c>
      <c r="F80" s="147"/>
      <c r="G80" s="147"/>
      <c r="H80" s="147"/>
      <c r="I80" s="147"/>
      <c r="J80" s="147"/>
      <c r="K80" s="147"/>
      <c r="L80" s="147"/>
      <c r="M80" s="147"/>
      <c r="N80" s="147"/>
      <c r="O80" s="147"/>
      <c r="P80" s="147"/>
      <c r="Q80" s="147"/>
      <c r="R80" s="516">
        <f>SUM(E80:Q80)</f>
        <v>157500</v>
      </c>
      <c r="S80" s="147">
        <v>39375</v>
      </c>
      <c r="T80" s="147"/>
      <c r="U80" s="143"/>
    </row>
    <row r="81" spans="1:21" s="144" customFormat="1">
      <c r="A81" s="149" t="s">
        <v>1209</v>
      </c>
      <c r="B81" s="146">
        <f>SUM(C81:D81)</f>
        <v>1093656</v>
      </c>
      <c r="C81" s="509">
        <f>SUM(C79:C80)</f>
        <v>1093656</v>
      </c>
      <c r="D81" s="509">
        <f t="shared" ref="D81:T81" si="19">SUM(D79:D80)</f>
        <v>0</v>
      </c>
      <c r="E81" s="509">
        <f t="shared" si="19"/>
        <v>1093656</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1093656</v>
      </c>
      <c r="S81" s="509">
        <f t="shared" si="19"/>
        <v>975531</v>
      </c>
      <c r="T81" s="509">
        <f t="shared" si="19"/>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2051</v>
      </c>
      <c r="B83" s="146">
        <f t="shared" ref="B83:B95" si="20">SUM(C83+D83)</f>
        <v>43093</v>
      </c>
      <c r="C83" s="147">
        <v>43093</v>
      </c>
      <c r="D83" s="147"/>
      <c r="E83" s="147">
        <v>43093</v>
      </c>
      <c r="F83" s="147"/>
      <c r="G83" s="147"/>
      <c r="H83" s="147"/>
      <c r="I83" s="147"/>
      <c r="J83" s="147"/>
      <c r="K83" s="147"/>
      <c r="L83" s="147"/>
      <c r="M83" s="147"/>
      <c r="N83" s="147"/>
      <c r="O83" s="147"/>
      <c r="P83" s="147"/>
      <c r="Q83" s="147"/>
      <c r="R83" s="516">
        <f t="shared" ref="R83:R95" si="21">SUM(E83:Q83)</f>
        <v>43093</v>
      </c>
      <c r="S83" s="148"/>
      <c r="T83" s="148"/>
      <c r="U83" s="143"/>
    </row>
    <row r="84" spans="1:21" s="144" customFormat="1">
      <c r="A84" s="145" t="s">
        <v>767</v>
      </c>
      <c r="B84" s="146">
        <f t="shared" si="20"/>
        <v>85200</v>
      </c>
      <c r="C84" s="147">
        <v>85200</v>
      </c>
      <c r="D84" s="147"/>
      <c r="E84" s="147">
        <v>85200</v>
      </c>
      <c r="F84" s="147"/>
      <c r="G84" s="147"/>
      <c r="H84" s="147"/>
      <c r="I84" s="147"/>
      <c r="J84" s="147"/>
      <c r="K84" s="147"/>
      <c r="L84" s="147"/>
      <c r="M84" s="147"/>
      <c r="N84" s="147"/>
      <c r="O84" s="147"/>
      <c r="P84" s="147"/>
      <c r="Q84" s="147"/>
      <c r="R84" s="516">
        <f t="shared" si="21"/>
        <v>85200</v>
      </c>
      <c r="S84" s="147">
        <v>85200</v>
      </c>
      <c r="T84" s="147"/>
      <c r="U84" s="143"/>
    </row>
    <row r="85" spans="1:21" s="144" customFormat="1">
      <c r="A85" s="145" t="s">
        <v>768</v>
      </c>
      <c r="B85" s="146">
        <f t="shared" si="20"/>
        <v>0</v>
      </c>
      <c r="C85" s="147"/>
      <c r="D85" s="147"/>
      <c r="E85" s="147"/>
      <c r="F85" s="147"/>
      <c r="G85" s="147"/>
      <c r="H85" s="147"/>
      <c r="I85" s="147"/>
      <c r="J85" s="147"/>
      <c r="K85" s="147"/>
      <c r="L85" s="147"/>
      <c r="M85" s="147"/>
      <c r="N85" s="147"/>
      <c r="O85" s="147"/>
      <c r="P85" s="147"/>
      <c r="Q85" s="147"/>
      <c r="R85" s="516">
        <f t="shared" si="21"/>
        <v>0</v>
      </c>
      <c r="S85" s="147"/>
      <c r="T85" s="147"/>
      <c r="U85" s="143"/>
    </row>
    <row r="86" spans="1:21" s="144" customFormat="1">
      <c r="A86" s="145" t="s">
        <v>769</v>
      </c>
      <c r="B86" s="146">
        <f t="shared" si="20"/>
        <v>0</v>
      </c>
      <c r="C86" s="147"/>
      <c r="D86" s="147"/>
      <c r="E86" s="147"/>
      <c r="F86" s="147"/>
      <c r="G86" s="147"/>
      <c r="H86" s="147"/>
      <c r="I86" s="147"/>
      <c r="J86" s="147"/>
      <c r="K86" s="147"/>
      <c r="L86" s="147"/>
      <c r="M86" s="147"/>
      <c r="N86" s="147"/>
      <c r="O86" s="147"/>
      <c r="P86" s="147"/>
      <c r="Q86" s="147"/>
      <c r="R86" s="516">
        <f t="shared" si="21"/>
        <v>0</v>
      </c>
      <c r="S86" s="147"/>
      <c r="T86" s="147"/>
      <c r="U86" s="143"/>
    </row>
    <row r="87" spans="1:21" s="144" customFormat="1">
      <c r="A87" s="145" t="s">
        <v>770</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771</v>
      </c>
      <c r="B88" s="146">
        <f t="shared" si="20"/>
        <v>0</v>
      </c>
      <c r="C88" s="147"/>
      <c r="D88" s="147"/>
      <c r="E88" s="147"/>
      <c r="F88" s="147"/>
      <c r="G88" s="147"/>
      <c r="H88" s="147"/>
      <c r="I88" s="147"/>
      <c r="J88" s="147"/>
      <c r="K88" s="147"/>
      <c r="L88" s="147"/>
      <c r="M88" s="147"/>
      <c r="N88" s="147"/>
      <c r="O88" s="147"/>
      <c r="P88" s="147"/>
      <c r="Q88" s="147"/>
      <c r="R88" s="516">
        <f t="shared" si="21"/>
        <v>0</v>
      </c>
      <c r="S88" s="148"/>
      <c r="T88" s="148"/>
      <c r="U88" s="143"/>
    </row>
    <row r="89" spans="1:21" s="144" customFormat="1">
      <c r="A89" s="145" t="s">
        <v>772</v>
      </c>
      <c r="B89" s="146">
        <f t="shared" si="20"/>
        <v>75000</v>
      </c>
      <c r="C89" s="147">
        <v>75000</v>
      </c>
      <c r="D89" s="147"/>
      <c r="E89" s="147">
        <v>75000</v>
      </c>
      <c r="F89" s="147"/>
      <c r="G89" s="147"/>
      <c r="H89" s="147"/>
      <c r="I89" s="147"/>
      <c r="J89" s="147"/>
      <c r="K89" s="147"/>
      <c r="L89" s="147"/>
      <c r="M89" s="147"/>
      <c r="N89" s="147"/>
      <c r="O89" s="147"/>
      <c r="P89" s="147"/>
      <c r="Q89" s="147"/>
      <c r="R89" s="516">
        <f t="shared" si="21"/>
        <v>75000</v>
      </c>
      <c r="S89" s="147">
        <v>75000</v>
      </c>
      <c r="T89" s="147"/>
      <c r="U89" s="143"/>
    </row>
    <row r="90" spans="1:21" s="144" customFormat="1">
      <c r="A90" s="145" t="s">
        <v>773</v>
      </c>
      <c r="B90" s="146">
        <f t="shared" si="20"/>
        <v>5000</v>
      </c>
      <c r="C90" s="147">
        <v>5000</v>
      </c>
      <c r="D90" s="147"/>
      <c r="E90" s="147">
        <v>5000</v>
      </c>
      <c r="F90" s="147"/>
      <c r="G90" s="147"/>
      <c r="H90" s="147"/>
      <c r="I90" s="147"/>
      <c r="J90" s="147"/>
      <c r="K90" s="147"/>
      <c r="L90" s="147"/>
      <c r="M90" s="147"/>
      <c r="N90" s="147"/>
      <c r="O90" s="147"/>
      <c r="P90" s="147"/>
      <c r="Q90" s="147"/>
      <c r="R90" s="516">
        <f t="shared" si="21"/>
        <v>5000</v>
      </c>
      <c r="S90" s="147">
        <v>5000</v>
      </c>
      <c r="T90" s="147"/>
      <c r="U90" s="143"/>
    </row>
    <row r="91" spans="1:21" s="144" customFormat="1">
      <c r="A91" s="145" t="s">
        <v>372</v>
      </c>
      <c r="B91" s="146">
        <f t="shared" si="20"/>
        <v>35000</v>
      </c>
      <c r="C91" s="147">
        <v>35000</v>
      </c>
      <c r="D91" s="147"/>
      <c r="E91" s="147">
        <v>35000</v>
      </c>
      <c r="F91" s="147"/>
      <c r="G91" s="147"/>
      <c r="H91" s="147"/>
      <c r="I91" s="147"/>
      <c r="J91" s="147"/>
      <c r="K91" s="147"/>
      <c r="L91" s="147"/>
      <c r="M91" s="147"/>
      <c r="N91" s="147"/>
      <c r="O91" s="147"/>
      <c r="P91" s="147"/>
      <c r="Q91" s="147"/>
      <c r="R91" s="516">
        <f t="shared" si="21"/>
        <v>35000</v>
      </c>
      <c r="S91" s="147">
        <v>20000</v>
      </c>
      <c r="T91" s="147"/>
      <c r="U91" s="143"/>
    </row>
    <row r="92" spans="1:21" s="144" customFormat="1">
      <c r="A92" s="283" t="s">
        <v>1211</v>
      </c>
      <c r="B92" s="146">
        <f t="shared" si="20"/>
        <v>10000</v>
      </c>
      <c r="C92" s="147">
        <v>10000</v>
      </c>
      <c r="D92" s="147"/>
      <c r="E92" s="147">
        <v>10000</v>
      </c>
      <c r="F92" s="147"/>
      <c r="G92" s="147"/>
      <c r="H92" s="147"/>
      <c r="I92" s="147"/>
      <c r="J92" s="147"/>
      <c r="K92" s="147"/>
      <c r="L92" s="147"/>
      <c r="M92" s="147"/>
      <c r="N92" s="147"/>
      <c r="O92" s="147"/>
      <c r="P92" s="147"/>
      <c r="Q92" s="147"/>
      <c r="R92" s="516">
        <f t="shared" si="21"/>
        <v>10000</v>
      </c>
      <c r="S92" s="147">
        <v>10000</v>
      </c>
      <c r="T92" s="147"/>
      <c r="U92" s="143"/>
    </row>
    <row r="93" spans="1:21" s="144" customFormat="1">
      <c r="A93" s="1143" t="s">
        <v>34</v>
      </c>
      <c r="B93" s="146">
        <f t="shared" si="20"/>
        <v>0</v>
      </c>
      <c r="C93" s="147"/>
      <c r="D93" s="147"/>
      <c r="E93" s="147"/>
      <c r="F93" s="147"/>
      <c r="G93" s="147"/>
      <c r="H93" s="147"/>
      <c r="I93" s="147"/>
      <c r="J93" s="147"/>
      <c r="K93" s="147"/>
      <c r="L93" s="147"/>
      <c r="M93" s="147"/>
      <c r="N93" s="147"/>
      <c r="O93" s="147"/>
      <c r="P93" s="147"/>
      <c r="Q93" s="147"/>
      <c r="R93" s="516">
        <f t="shared" si="21"/>
        <v>0</v>
      </c>
      <c r="S93" s="147"/>
      <c r="T93" s="147"/>
      <c r="U93" s="143"/>
    </row>
    <row r="94" spans="1:21" s="144" customFormat="1">
      <c r="A94" s="1143"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3"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774</v>
      </c>
      <c r="B96" s="146">
        <f>SUM(C96:D96)</f>
        <v>253293</v>
      </c>
      <c r="C96" s="146">
        <f t="shared" ref="C96:R96" si="22">SUM(C83:C95)</f>
        <v>253293</v>
      </c>
      <c r="D96" s="146">
        <f t="shared" si="22"/>
        <v>0</v>
      </c>
      <c r="E96" s="146">
        <f t="shared" si="22"/>
        <v>253293</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253293</v>
      </c>
      <c r="S96" s="150">
        <f>SUM(S84:S87,S89:S95)</f>
        <v>195200</v>
      </c>
      <c r="T96" s="146">
        <f>SUM(T84:T87,T89:T95)</f>
        <v>0</v>
      </c>
      <c r="U96" s="143"/>
    </row>
    <row r="97" spans="1:21" s="144" customFormat="1">
      <c r="A97" s="149" t="s">
        <v>775</v>
      </c>
      <c r="B97" s="146">
        <f>SUM(C97:D97)</f>
        <v>30607109</v>
      </c>
      <c r="C97" s="146">
        <f t="shared" ref="C97:R97" si="23">SUM(C63+C70+C77+C81+C96)</f>
        <v>30607109</v>
      </c>
      <c r="D97" s="146">
        <f t="shared" si="23"/>
        <v>0</v>
      </c>
      <c r="E97" s="146">
        <f t="shared" si="23"/>
        <v>10975423</v>
      </c>
      <c r="F97" s="146">
        <f t="shared" si="23"/>
        <v>6440000</v>
      </c>
      <c r="G97" s="146">
        <f t="shared" si="23"/>
        <v>8825000</v>
      </c>
      <c r="H97" s="146">
        <f t="shared" si="23"/>
        <v>3862948</v>
      </c>
      <c r="I97" s="146">
        <f t="shared" si="23"/>
        <v>0</v>
      </c>
      <c r="J97" s="146">
        <f t="shared" si="23"/>
        <v>503738</v>
      </c>
      <c r="K97" s="146">
        <f t="shared" si="23"/>
        <v>0</v>
      </c>
      <c r="L97" s="146">
        <f t="shared" si="23"/>
        <v>0</v>
      </c>
      <c r="M97" s="146">
        <f t="shared" si="23"/>
        <v>0</v>
      </c>
      <c r="N97" s="146">
        <f t="shared" si="23"/>
        <v>0</v>
      </c>
      <c r="O97" s="146">
        <f t="shared" si="23"/>
        <v>0</v>
      </c>
      <c r="P97" s="146">
        <f t="shared" si="23"/>
        <v>0</v>
      </c>
      <c r="Q97" s="146">
        <f t="shared" si="23"/>
        <v>0</v>
      </c>
      <c r="R97" s="146">
        <f t="shared" si="23"/>
        <v>30607109</v>
      </c>
      <c r="S97" s="146">
        <f>SUM(S63+S70+S81+S96)</f>
        <v>13237740</v>
      </c>
      <c r="T97" s="146">
        <f>SUM(T63+T70+T81+T96)</f>
        <v>15069144</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2739118</v>
      </c>
      <c r="C99" s="974">
        <v>2739118</v>
      </c>
      <c r="D99" s="974"/>
      <c r="E99" s="974">
        <v>278206</v>
      </c>
      <c r="F99" s="147"/>
      <c r="G99" s="147"/>
      <c r="H99" s="147"/>
      <c r="I99" s="147">
        <v>2460912</v>
      </c>
      <c r="J99" s="147"/>
      <c r="K99" s="147"/>
      <c r="L99" s="147"/>
      <c r="M99" s="147"/>
      <c r="N99" s="147"/>
      <c r="O99" s="147"/>
      <c r="P99" s="147"/>
      <c r="Q99" s="147"/>
      <c r="R99" s="516">
        <f>SUM(E99:Q99)</f>
        <v>2739118</v>
      </c>
      <c r="S99" s="147">
        <v>1985661</v>
      </c>
      <c r="T99" s="147">
        <v>753457</v>
      </c>
      <c r="U99" s="143"/>
    </row>
    <row r="100" spans="1:21" s="144" customFormat="1">
      <c r="A100" s="283" t="s">
        <v>1635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2739118</v>
      </c>
      <c r="C104" s="146">
        <f>SUM(C99:C103)</f>
        <v>2739118</v>
      </c>
      <c r="D104" s="146">
        <f t="shared" ref="D104:T104" si="24">SUM(D99:D103)</f>
        <v>0</v>
      </c>
      <c r="E104" s="146">
        <f t="shared" si="24"/>
        <v>278206</v>
      </c>
      <c r="F104" s="146">
        <f t="shared" si="24"/>
        <v>0</v>
      </c>
      <c r="G104" s="146">
        <f t="shared" si="24"/>
        <v>0</v>
      </c>
      <c r="H104" s="146">
        <f t="shared" si="24"/>
        <v>0</v>
      </c>
      <c r="I104" s="146">
        <f t="shared" si="24"/>
        <v>2460912</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2739118</v>
      </c>
      <c r="S104" s="150">
        <f t="shared" si="24"/>
        <v>1985661</v>
      </c>
      <c r="T104" s="150">
        <f t="shared" si="24"/>
        <v>753457</v>
      </c>
      <c r="U104" s="143"/>
    </row>
    <row r="105" spans="1:21" s="144" customFormat="1">
      <c r="A105" s="149" t="s">
        <v>780</v>
      </c>
      <c r="B105" s="150">
        <f>SUM(C105:D105)</f>
        <v>33346227</v>
      </c>
      <c r="C105" s="150">
        <f t="shared" ref="C105:R105" si="25">SUM(C97+C104)</f>
        <v>33346227</v>
      </c>
      <c r="D105" s="150">
        <f t="shared" si="25"/>
        <v>0</v>
      </c>
      <c r="E105" s="150">
        <f t="shared" si="25"/>
        <v>11253629</v>
      </c>
      <c r="F105" s="150">
        <f t="shared" si="25"/>
        <v>6440000</v>
      </c>
      <c r="G105" s="150">
        <f t="shared" si="25"/>
        <v>8825000</v>
      </c>
      <c r="H105" s="150">
        <f t="shared" si="25"/>
        <v>3862948</v>
      </c>
      <c r="I105" s="150">
        <f t="shared" si="25"/>
        <v>2460912</v>
      </c>
      <c r="J105" s="150">
        <f t="shared" si="25"/>
        <v>503738</v>
      </c>
      <c r="K105" s="150">
        <f t="shared" si="25"/>
        <v>0</v>
      </c>
      <c r="L105" s="150">
        <f t="shared" si="25"/>
        <v>0</v>
      </c>
      <c r="M105" s="150">
        <f t="shared" si="25"/>
        <v>0</v>
      </c>
      <c r="N105" s="150">
        <f t="shared" si="25"/>
        <v>0</v>
      </c>
      <c r="O105" s="150">
        <f t="shared" si="25"/>
        <v>0</v>
      </c>
      <c r="P105" s="150">
        <f t="shared" si="25"/>
        <v>0</v>
      </c>
      <c r="Q105" s="150">
        <f t="shared" si="25"/>
        <v>0</v>
      </c>
      <c r="R105" s="342">
        <f t="shared" si="25"/>
        <v>33346227</v>
      </c>
      <c r="S105" s="150">
        <f>S97+S104</f>
        <v>15223401</v>
      </c>
      <c r="T105" s="150">
        <f>T97+T104</f>
        <v>15822601</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15223401</v>
      </c>
      <c r="T107" s="150">
        <f>T105+T106</f>
        <v>15822601</v>
      </c>
    </row>
    <row r="108" spans="1:21" s="189" customFormat="1">
      <c r="A108" s="162" t="s">
        <v>879</v>
      </c>
      <c r="B108" s="157"/>
      <c r="C108" s="157"/>
      <c r="D108" s="157"/>
      <c r="E108" s="301">
        <f>Application!AO648</f>
        <v>11253629</v>
      </c>
      <c r="F108" s="301">
        <f>Application!AO635</f>
        <v>6440000</v>
      </c>
      <c r="G108" s="301">
        <f>Application!AO636</f>
        <v>8825000</v>
      </c>
      <c r="H108" s="301">
        <f>Application!AO637</f>
        <v>3862948</v>
      </c>
      <c r="I108" s="301">
        <f>Application!AO638</f>
        <v>2460912</v>
      </c>
      <c r="J108" s="301">
        <f>Application!AO639</f>
        <v>503738</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2052</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88" t="s">
        <v>990</v>
      </c>
      <c r="E122" s="1888"/>
      <c r="F122" s="1888"/>
      <c r="G122" s="324"/>
      <c r="H122" s="324"/>
      <c r="I122" s="324"/>
      <c r="J122" s="324"/>
      <c r="K122" s="324"/>
      <c r="L122" s="324"/>
      <c r="M122" s="324"/>
      <c r="N122" s="324"/>
      <c r="O122" s="324"/>
      <c r="P122" s="324"/>
      <c r="Q122" s="324"/>
      <c r="R122" s="324"/>
      <c r="S122" s="324"/>
      <c r="T122" s="324"/>
      <c r="U122" s="326"/>
    </row>
    <row r="123" spans="1:21">
      <c r="A123" s="324" t="s">
        <v>991</v>
      </c>
      <c r="B123" s="333"/>
      <c r="C123" s="324"/>
      <c r="D123" s="1880" t="s">
        <v>1224</v>
      </c>
      <c r="E123" s="1572"/>
      <c r="F123" s="1572"/>
      <c r="G123" s="1572"/>
      <c r="H123" s="1572"/>
      <c r="I123" s="1572"/>
      <c r="J123" s="1572"/>
      <c r="K123" s="1572"/>
      <c r="L123" s="1572"/>
      <c r="M123" s="1572"/>
      <c r="N123" s="1572"/>
      <c r="O123" s="1572"/>
      <c r="P123" s="1572"/>
      <c r="Q123" s="1572"/>
      <c r="R123" s="1572"/>
      <c r="S123" s="1572"/>
      <c r="T123" s="324"/>
      <c r="U123" s="326"/>
    </row>
    <row r="124" spans="1:21" ht="12.75">
      <c r="A124" s="117" t="s">
        <v>992</v>
      </c>
      <c r="B124" s="333"/>
      <c r="C124" s="117"/>
      <c r="D124" s="1572"/>
      <c r="E124" s="1572"/>
      <c r="F124" s="1572"/>
      <c r="G124" s="1572"/>
      <c r="H124" s="1572"/>
      <c r="I124" s="1572"/>
      <c r="J124" s="1572"/>
      <c r="K124" s="1572"/>
      <c r="L124" s="1572"/>
      <c r="M124" s="1572"/>
      <c r="N124" s="1572"/>
      <c r="O124" s="1572"/>
      <c r="P124" s="1572"/>
      <c r="Q124" s="1572"/>
      <c r="R124" s="1572"/>
      <c r="S124" s="1572"/>
      <c r="T124" s="324"/>
      <c r="U124" s="326"/>
    </row>
    <row r="125" spans="1:21" ht="12.75">
      <c r="A125" s="117" t="s">
        <v>993</v>
      </c>
      <c r="B125" s="333"/>
      <c r="C125" s="117"/>
      <c r="D125" s="1572"/>
      <c r="E125" s="1572"/>
      <c r="F125" s="1572"/>
      <c r="G125" s="1572"/>
      <c r="H125" s="1572"/>
      <c r="I125" s="1572"/>
      <c r="J125" s="1572"/>
      <c r="K125" s="1572"/>
      <c r="L125" s="1572"/>
      <c r="M125" s="1572"/>
      <c r="N125" s="1572"/>
      <c r="O125" s="1572"/>
      <c r="P125" s="1572"/>
      <c r="Q125" s="1572"/>
      <c r="R125" s="1572"/>
      <c r="S125" s="1572"/>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83"/>
      <c r="E128" s="1883"/>
      <c r="F128" s="1883"/>
      <c r="G128" s="1883"/>
      <c r="H128" s="1883"/>
      <c r="I128" s="117"/>
      <c r="J128" s="1879"/>
      <c r="K128" s="1879"/>
      <c r="L128" s="117"/>
      <c r="M128" s="117"/>
      <c r="N128" s="117"/>
      <c r="O128" s="117"/>
      <c r="P128" s="117"/>
      <c r="Q128" s="117"/>
      <c r="R128" s="117"/>
      <c r="S128" s="117"/>
      <c r="T128" s="324"/>
      <c r="U128" s="326"/>
    </row>
    <row r="129" spans="1:21" ht="12.75">
      <c r="A129" s="117" t="s">
        <v>300</v>
      </c>
      <c r="B129" s="333"/>
      <c r="C129" s="117"/>
      <c r="D129" s="1887" t="s">
        <v>997</v>
      </c>
      <c r="E129" s="1887"/>
      <c r="F129" s="1887"/>
      <c r="G129" s="1887"/>
      <c r="H129" s="1887"/>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537"/>
      <c r="E131" s="1537"/>
      <c r="F131" s="1537"/>
      <c r="G131" s="1537"/>
      <c r="H131" s="1537"/>
      <c r="I131" s="117"/>
      <c r="J131" s="1537"/>
      <c r="K131" s="1537"/>
      <c r="L131" s="1537"/>
      <c r="M131" s="1537"/>
      <c r="N131" s="117"/>
      <c r="O131" s="117"/>
      <c r="P131" s="117"/>
      <c r="Q131" s="117"/>
      <c r="R131" s="117"/>
      <c r="S131" s="117"/>
      <c r="T131" s="324"/>
      <c r="U131" s="326"/>
    </row>
    <row r="132" spans="1:21" ht="12" customHeight="1">
      <c r="A132" s="336"/>
      <c r="B132" s="117"/>
      <c r="C132" s="117"/>
      <c r="D132" s="1881" t="s">
        <v>1000</v>
      </c>
      <c r="E132" s="1881"/>
      <c r="F132" s="1881"/>
      <c r="G132" s="1881"/>
      <c r="H132" s="1881"/>
      <c r="I132" s="117"/>
      <c r="J132" s="1881" t="s">
        <v>1001</v>
      </c>
      <c r="K132" s="1881"/>
      <c r="L132" s="1881"/>
      <c r="M132" s="1881"/>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82"/>
      <c r="B138" s="1883"/>
      <c r="C138" s="1883"/>
      <c r="D138" s="328"/>
      <c r="E138" s="1879"/>
      <c r="F138" s="1879"/>
      <c r="G138" s="117"/>
      <c r="H138" s="117"/>
      <c r="I138" s="117"/>
      <c r="J138" s="117"/>
      <c r="K138" s="117"/>
      <c r="L138" s="117"/>
      <c r="M138" s="117"/>
      <c r="N138" s="117"/>
      <c r="O138" s="117"/>
      <c r="P138" s="117"/>
      <c r="Q138" s="117"/>
      <c r="R138" s="117"/>
      <c r="S138" s="117"/>
      <c r="T138" s="330"/>
      <c r="U138" s="331"/>
    </row>
    <row r="139" spans="1:21" ht="12.75">
      <c r="A139" s="1878" t="s">
        <v>1004</v>
      </c>
      <c r="B139" s="1878"/>
      <c r="C139" s="1878"/>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91" t="s">
        <v>1227</v>
      </c>
      <c r="B1" s="1892"/>
      <c r="C1" s="1892"/>
      <c r="D1" s="1892"/>
      <c r="E1" s="1892"/>
      <c r="F1" s="1892"/>
      <c r="G1" s="1892"/>
      <c r="H1" s="1892"/>
      <c r="I1" s="1892"/>
      <c r="J1" s="1893"/>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593000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593000</v>
      </c>
      <c r="C8" s="361">
        <f>SUM(C4:C7)</f>
        <v>0</v>
      </c>
      <c r="D8" s="361">
        <f>SUM(D4:D7)</f>
        <v>0</v>
      </c>
      <c r="E8" s="363"/>
      <c r="F8" s="363"/>
      <c r="G8" s="363"/>
      <c r="H8" s="363"/>
      <c r="I8" s="363"/>
      <c r="J8" s="363"/>
      <c r="K8" s="359"/>
    </row>
    <row r="9" spans="1:11" s="360" customFormat="1">
      <c r="A9" s="364" t="s">
        <v>594</v>
      </c>
      <c r="B9" s="361">
        <f>'Sources and Uses Budget'!C9</f>
        <v>15069144</v>
      </c>
      <c r="C9" s="362"/>
      <c r="D9" s="362"/>
      <c r="E9" s="363"/>
      <c r="F9" s="363"/>
      <c r="G9" s="363"/>
      <c r="H9" s="361">
        <f>'Sources and Uses Budget'!T9</f>
        <v>15069144</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15069144</v>
      </c>
      <c r="C11" s="361">
        <f>SUM(C9:C10)</f>
        <v>0</v>
      </c>
      <c r="D11" s="361">
        <f>SUM(D9:D10)</f>
        <v>0</v>
      </c>
      <c r="E11" s="363"/>
      <c r="F11" s="363"/>
      <c r="G11" s="363"/>
      <c r="H11" s="361">
        <f>'Sources and Uses Budget'!T11</f>
        <v>15069144</v>
      </c>
      <c r="I11" s="361">
        <f>SUM(I9:I10)</f>
        <v>0</v>
      </c>
      <c r="J11" s="361">
        <f>SUM(J9:J10)</f>
        <v>0</v>
      </c>
      <c r="K11" s="359"/>
    </row>
    <row r="12" spans="1:11" s="360" customFormat="1">
      <c r="A12" s="365" t="s">
        <v>84</v>
      </c>
      <c r="B12" s="361">
        <f>'Sources and Uses Budget'!C12</f>
        <v>15662144</v>
      </c>
      <c r="C12" s="361">
        <f>SUM(C8+C11)</f>
        <v>0</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9361560</v>
      </c>
      <c r="C18" s="362"/>
      <c r="D18" s="362"/>
      <c r="E18" s="361">
        <f>'Sources and Uses Budget'!S18</f>
        <v>9361560</v>
      </c>
      <c r="F18" s="362"/>
      <c r="G18" s="362"/>
      <c r="H18" s="361">
        <f>'Sources and Uses Budget'!T18</f>
        <v>0</v>
      </c>
      <c r="I18" s="362"/>
      <c r="J18" s="362"/>
      <c r="K18" s="359"/>
    </row>
    <row r="19" spans="1:11" s="360" customFormat="1">
      <c r="A19" s="364" t="s">
        <v>600</v>
      </c>
      <c r="B19" s="361">
        <f>'Sources and Uses Budget'!C19</f>
        <v>187232</v>
      </c>
      <c r="C19" s="362"/>
      <c r="D19" s="362"/>
      <c r="E19" s="361">
        <f>'Sources and Uses Budget'!S19</f>
        <v>187232</v>
      </c>
      <c r="F19" s="362"/>
      <c r="G19" s="362"/>
      <c r="H19" s="361">
        <f>'Sources and Uses Budget'!T19</f>
        <v>0</v>
      </c>
      <c r="I19" s="362"/>
      <c r="J19" s="362"/>
      <c r="K19" s="359"/>
    </row>
    <row r="20" spans="1:11" s="360" customFormat="1">
      <c r="A20" s="364" t="s">
        <v>137</v>
      </c>
      <c r="B20" s="361">
        <f>'Sources and Uses Budget'!C20</f>
        <v>561693</v>
      </c>
      <c r="C20" s="362"/>
      <c r="D20" s="362"/>
      <c r="E20" s="361">
        <f>'Sources and Uses Budget'!S20</f>
        <v>561693</v>
      </c>
      <c r="F20" s="362"/>
      <c r="G20" s="362"/>
      <c r="H20" s="361">
        <f>'Sources and Uses Budget'!T20</f>
        <v>0</v>
      </c>
      <c r="I20" s="362"/>
      <c r="J20" s="362"/>
      <c r="K20" s="359"/>
    </row>
    <row r="21" spans="1:11" s="360" customFormat="1">
      <c r="A21" s="364" t="s">
        <v>138</v>
      </c>
      <c r="B21" s="361">
        <f>'Sources and Uses Budget'!C21</f>
        <v>561693</v>
      </c>
      <c r="C21" s="362"/>
      <c r="D21" s="362"/>
      <c r="E21" s="361">
        <f>'Sources and Uses Budget'!S21</f>
        <v>561693</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116083</v>
      </c>
      <c r="C23" s="362"/>
      <c r="D23" s="362"/>
      <c r="E23" s="361">
        <f>'Sources and Uses Budget'!S23</f>
        <v>116083</v>
      </c>
      <c r="F23" s="362"/>
      <c r="G23" s="362"/>
      <c r="H23" s="361">
        <f>'Sources and Uses Budget'!T23</f>
        <v>0</v>
      </c>
      <c r="I23" s="362"/>
      <c r="J23" s="362"/>
      <c r="K23" s="359"/>
    </row>
    <row r="24" spans="1:11" s="360" customFormat="1">
      <c r="A24" s="508" t="s">
        <v>1629</v>
      </c>
      <c r="B24" s="361">
        <f>'Sources and Uses Budget'!C24</f>
        <v>0</v>
      </c>
      <c r="C24" s="362"/>
      <c r="D24" s="362"/>
      <c r="E24" s="361">
        <f>'Sources and Uses Budget'!S24</f>
        <v>0</v>
      </c>
      <c r="F24" s="362"/>
      <c r="G24" s="362"/>
      <c r="H24" s="361">
        <f>'Sources and Uses Budget'!T24</f>
        <v>0</v>
      </c>
      <c r="I24" s="362"/>
      <c r="J24" s="362"/>
      <c r="K24" s="359"/>
    </row>
    <row r="25" spans="1:11" s="360" customFormat="1" ht="24">
      <c r="A25" s="364" t="str">
        <f>'Sources and Uses Budget'!$A25</f>
        <v>Other: Insurance Impound/Initial Premium</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10788261</v>
      </c>
      <c r="C26" s="361">
        <f>SUM(C17:C25)</f>
        <v>0</v>
      </c>
      <c r="D26" s="361">
        <f>SUM(D17:D25)</f>
        <v>0</v>
      </c>
      <c r="E26" s="361">
        <f>'Sources and Uses Budget'!S26</f>
        <v>10788261</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667931</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599</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600</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1629</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192500</v>
      </c>
      <c r="C40" s="362"/>
      <c r="D40" s="362"/>
      <c r="E40" s="361">
        <f>'Sources and Uses Budget'!S40</f>
        <v>192500</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192500</v>
      </c>
      <c r="C42" s="361">
        <f>SUM(C39:C41)</f>
        <v>0</v>
      </c>
      <c r="D42" s="361">
        <f>SUM(D39:D41)</f>
        <v>0</v>
      </c>
      <c r="E42" s="361">
        <f>'Sources and Uses Budget'!S42</f>
        <v>192500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14500</v>
      </c>
      <c r="C43" s="362"/>
      <c r="D43" s="362"/>
      <c r="E43" s="361">
        <f>'Sources and Uses Budget'!S43</f>
        <v>14500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691127</v>
      </c>
      <c r="C45" s="362"/>
      <c r="D45" s="362"/>
      <c r="E45" s="361">
        <f>'Sources and Uses Budget'!S45</f>
        <v>518448</v>
      </c>
      <c r="F45" s="362"/>
      <c r="G45" s="362"/>
      <c r="H45" s="361">
        <f>'Sources and Uses Budget'!T45</f>
        <v>0</v>
      </c>
      <c r="I45" s="362"/>
      <c r="J45" s="362"/>
      <c r="K45" s="359"/>
    </row>
    <row r="46" spans="1:11" s="360" customFormat="1">
      <c r="A46" s="364" t="s">
        <v>151</v>
      </c>
      <c r="B46" s="361">
        <f>'Sources and Uses Budget'!C46</f>
        <v>250000</v>
      </c>
      <c r="C46" s="362"/>
      <c r="D46" s="362"/>
      <c r="E46" s="361">
        <f>'Sources and Uses Budget'!S46</f>
        <v>250000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40000</v>
      </c>
      <c r="C50" s="362"/>
      <c r="D50" s="362"/>
      <c r="E50" s="361">
        <f>'Sources and Uses Budget'!S50</f>
        <v>40000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58500</v>
      </c>
      <c r="C52" s="362"/>
      <c r="D52" s="362"/>
      <c r="E52" s="361">
        <f>'Sources and Uses Budget'!S52</f>
        <v>0</v>
      </c>
      <c r="F52" s="362"/>
      <c r="G52" s="362"/>
      <c r="H52" s="361">
        <f>'Sources and Uses Budget'!T52</f>
        <v>0</v>
      </c>
      <c r="I52" s="362"/>
      <c r="J52" s="362"/>
      <c r="K52" s="359"/>
    </row>
    <row r="53" spans="1:11" s="360" customFormat="1">
      <c r="A53" s="364" t="str">
        <f>'Sources and Uses Budget'!$A53</f>
        <v>Costs of Issuance</v>
      </c>
      <c r="B53" s="361">
        <f>'Sources and Uses Budget'!C53</f>
        <v>135800</v>
      </c>
      <c r="C53" s="362"/>
      <c r="D53" s="362"/>
      <c r="E53" s="361">
        <f>'Sources and Uses Budget'!S53</f>
        <v>135800</v>
      </c>
      <c r="F53" s="362"/>
      <c r="G53" s="362"/>
      <c r="H53" s="361">
        <f>'Sources and Uses Budget'!T53</f>
        <v>0</v>
      </c>
      <c r="I53" s="362"/>
      <c r="J53" s="362"/>
      <c r="K53" s="359"/>
    </row>
    <row r="54" spans="1:11" s="369" customFormat="1">
      <c r="A54" s="365" t="s">
        <v>157</v>
      </c>
      <c r="B54" s="361">
        <f>'Sources and Uses Budget'!C54</f>
        <v>1175427</v>
      </c>
      <c r="C54" s="367">
        <f>SUM(C45:C53)</f>
        <v>0</v>
      </c>
      <c r="D54" s="367">
        <f>SUM(D45:D53)</f>
        <v>0</v>
      </c>
      <c r="E54" s="361">
        <f>'Sources and Uses Budget'!S54</f>
        <v>944248</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10000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Costs of Issuance</v>
      </c>
      <c r="B61" s="361">
        <f>'Sources and Uses Budget'!C61</f>
        <v>229680</v>
      </c>
      <c r="C61" s="362"/>
      <c r="D61" s="362"/>
      <c r="E61" s="363"/>
      <c r="F61" s="363"/>
      <c r="G61" s="363"/>
      <c r="H61" s="363"/>
      <c r="I61" s="363"/>
      <c r="J61" s="363"/>
      <c r="K61" s="359"/>
    </row>
    <row r="62" spans="1:11" s="360" customFormat="1" ht="13.7" customHeight="1">
      <c r="A62" s="365" t="s">
        <v>301</v>
      </c>
      <c r="B62" s="361">
        <f>'Sources and Uses Budget'!C62</f>
        <v>239680</v>
      </c>
      <c r="C62" s="361">
        <f>SUM(C56:C61)</f>
        <v>0</v>
      </c>
      <c r="D62" s="361">
        <f>SUM(D56:D61)</f>
        <v>0</v>
      </c>
      <c r="E62" s="363"/>
      <c r="F62" s="363"/>
      <c r="G62" s="363"/>
      <c r="H62" s="363"/>
      <c r="I62" s="363"/>
      <c r="J62" s="363"/>
      <c r="K62" s="359"/>
    </row>
    <row r="63" spans="1:11" s="360" customFormat="1">
      <c r="A63" s="370" t="s">
        <v>302</v>
      </c>
      <c r="B63" s="361">
        <f>'Sources and Uses Budget'!C63</f>
        <v>28740443</v>
      </c>
      <c r="C63" s="361">
        <f>SUM(C8+C11+C13+C14+C15+C26+C27+C38+C42+C43+C54+C62)</f>
        <v>0</v>
      </c>
      <c r="D63" s="361">
        <f>SUM(D8+D11+D13+D14+D15+D26+D27+D38+D42+D43+D54+D62)</f>
        <v>0</v>
      </c>
      <c r="E63" s="361">
        <f>'Sources and Uses Budget'!S63</f>
        <v>11939509</v>
      </c>
      <c r="F63" s="361">
        <f>SUM(F10+F13+F14+F15+F26+F27+F38+F42+F43+F54)</f>
        <v>0</v>
      </c>
      <c r="G63" s="361">
        <f>SUM(G10+G13+G14+G15+G26+G27+G38+G42+G43+G54)</f>
        <v>0</v>
      </c>
      <c r="H63" s="361">
        <f>'Sources and Uses Budget'!T63</f>
        <v>15069144</v>
      </c>
      <c r="I63" s="361">
        <f>SUM(I11+I13+I14+I15+I26+I27+I38+I42+I43+I54)</f>
        <v>0</v>
      </c>
      <c r="J63" s="361">
        <f>SUM(J11+J13+J14+J15+J26+J27+J38+J42+J43+J54)</f>
        <v>0</v>
      </c>
      <c r="K63" s="359"/>
    </row>
    <row r="64" spans="1:11" s="360" customFormat="1" ht="24">
      <c r="A64" s="141" t="s">
        <v>1633</v>
      </c>
      <c r="B64" s="358"/>
      <c r="C64" s="358"/>
      <c r="D64" s="358"/>
      <c r="E64" s="358"/>
      <c r="F64" s="358"/>
      <c r="G64" s="358"/>
      <c r="H64" s="358"/>
      <c r="I64" s="358"/>
      <c r="J64" s="358"/>
      <c r="K64" s="359"/>
    </row>
    <row r="65" spans="1:11" s="360" customFormat="1">
      <c r="A65" s="145" t="s">
        <v>171</v>
      </c>
      <c r="B65" s="361">
        <f>'Sources and Uses Budget'!C65</f>
        <v>60000</v>
      </c>
      <c r="C65" s="362"/>
      <c r="D65" s="362"/>
      <c r="E65" s="361">
        <f>'Sources and Uses Budget'!S65</f>
        <v>60000</v>
      </c>
      <c r="F65" s="362"/>
      <c r="G65" s="362"/>
      <c r="H65" s="361">
        <f>'Sources and Uses Budget'!T65</f>
        <v>0</v>
      </c>
      <c r="I65" s="362"/>
      <c r="J65" s="362"/>
      <c r="K65" s="359"/>
    </row>
    <row r="66" spans="1:11" s="360" customFormat="1" ht="24">
      <c r="A66" s="283" t="s">
        <v>1630</v>
      </c>
      <c r="B66" s="361">
        <f>'Sources and Uses Budget'!C66</f>
        <v>22000</v>
      </c>
      <c r="C66" s="362"/>
      <c r="D66" s="362"/>
      <c r="E66" s="361">
        <f>'Sources and Uses Budget'!S66</f>
        <v>0</v>
      </c>
      <c r="F66" s="362"/>
      <c r="G66" s="362"/>
      <c r="H66" s="361">
        <f>'Sources and Uses Budget'!T66</f>
        <v>0</v>
      </c>
      <c r="I66" s="362"/>
      <c r="J66" s="362"/>
      <c r="K66" s="359"/>
    </row>
    <row r="67" spans="1:11" s="360" customFormat="1" ht="24">
      <c r="A67" s="283" t="s">
        <v>1631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1637</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Developer Legal</v>
      </c>
      <c r="B69" s="361">
        <f>'Sources and Uses Budget'!C69</f>
        <v>135000</v>
      </c>
      <c r="C69" s="362"/>
      <c r="D69" s="362"/>
      <c r="E69" s="361">
        <f>'Sources and Uses Budget'!S69</f>
        <v>67500</v>
      </c>
      <c r="F69" s="362"/>
      <c r="G69" s="362"/>
      <c r="H69" s="361">
        <f>'Sources and Uses Budget'!T69</f>
        <v>0</v>
      </c>
      <c r="I69" s="362"/>
      <c r="J69" s="362"/>
      <c r="K69" s="359"/>
    </row>
    <row r="70" spans="1:11" s="360" customFormat="1">
      <c r="A70" s="365" t="s">
        <v>601</v>
      </c>
      <c r="B70" s="361">
        <f>'Sources and Uses Budget'!C70</f>
        <v>217000</v>
      </c>
      <c r="C70" s="361">
        <f>SUM(C64:C69)</f>
        <v>0</v>
      </c>
      <c r="D70" s="361">
        <f>SUM(D64:D69)</f>
        <v>0</v>
      </c>
      <c r="E70" s="361">
        <f>'Sources and Uses Budget'!S70</f>
        <v>127500</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302717</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302717</v>
      </c>
      <c r="C77" s="361">
        <f>SUM(C72:C76)</f>
        <v>0</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936156</v>
      </c>
      <c r="C79" s="362"/>
      <c r="D79" s="362"/>
      <c r="E79" s="361">
        <f>'Sources and Uses Budget'!S79</f>
        <v>936156</v>
      </c>
      <c r="F79" s="362"/>
      <c r="G79" s="362"/>
      <c r="H79" s="361">
        <f>'Sources and Uses Budget'!T79</f>
        <v>0</v>
      </c>
      <c r="I79" s="362"/>
      <c r="J79" s="362"/>
      <c r="K79" s="359"/>
    </row>
    <row r="80" spans="1:11" s="360" customFormat="1">
      <c r="A80" s="364" t="s">
        <v>58</v>
      </c>
      <c r="B80" s="361">
        <f>'Sources and Uses Budget'!C80</f>
        <v>157500</v>
      </c>
      <c r="C80" s="362"/>
      <c r="D80" s="362"/>
      <c r="E80" s="361">
        <f>'Sources and Uses Budget'!S80</f>
        <v>39375</v>
      </c>
      <c r="F80" s="362"/>
      <c r="G80" s="362"/>
      <c r="H80" s="361">
        <f>'Sources and Uses Budget'!T80</f>
        <v>0</v>
      </c>
      <c r="I80" s="362"/>
      <c r="J80" s="362"/>
      <c r="K80" s="359"/>
    </row>
    <row r="81" spans="1:11" s="360" customFormat="1">
      <c r="A81" s="365" t="s">
        <v>1209</v>
      </c>
      <c r="B81" s="361">
        <f>'Sources and Uses Budget'!C81</f>
        <v>1093656</v>
      </c>
      <c r="C81" s="361">
        <f>SUM(C79:C80)</f>
        <v>0</v>
      </c>
      <c r="D81" s="361">
        <f>SUM(D79:D80)</f>
        <v>0</v>
      </c>
      <c r="E81" s="361">
        <f>'Sources and Uses Budget'!S81</f>
        <v>975531</v>
      </c>
      <c r="F81" s="361">
        <f>SUM(F79:F80)</f>
        <v>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2051</v>
      </c>
      <c r="B83" s="361">
        <f>'Sources and Uses Budget'!C83</f>
        <v>43093</v>
      </c>
      <c r="C83" s="362"/>
      <c r="D83" s="362"/>
      <c r="E83" s="363"/>
      <c r="F83" s="363"/>
      <c r="G83" s="363"/>
      <c r="H83" s="363"/>
      <c r="I83" s="363"/>
      <c r="J83" s="363"/>
      <c r="K83" s="359"/>
    </row>
    <row r="84" spans="1:11" s="360" customFormat="1">
      <c r="A84" s="145" t="s">
        <v>767</v>
      </c>
      <c r="B84" s="361">
        <f>'Sources and Uses Budget'!C84</f>
        <v>85200</v>
      </c>
      <c r="C84" s="362"/>
      <c r="D84" s="362"/>
      <c r="E84" s="361">
        <f>'Sources and Uses Budget'!S84</f>
        <v>85200</v>
      </c>
      <c r="F84" s="362"/>
      <c r="G84" s="362"/>
      <c r="H84" s="361">
        <f>'Sources and Uses Budget'!T84</f>
        <v>0</v>
      </c>
      <c r="I84" s="362"/>
      <c r="J84" s="362"/>
      <c r="K84" s="359"/>
    </row>
    <row r="85" spans="1:11" s="360" customFormat="1">
      <c r="A85" s="145" t="s">
        <v>768</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769</v>
      </c>
      <c r="B86" s="361">
        <f>'Sources and Uses Budget'!C86</f>
        <v>0</v>
      </c>
      <c r="C86" s="362"/>
      <c r="D86" s="362"/>
      <c r="E86" s="361">
        <f>'Sources and Uses Budget'!S86</f>
        <v>0</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0</v>
      </c>
      <c r="C88" s="362"/>
      <c r="D88" s="362"/>
      <c r="E88" s="363"/>
      <c r="F88" s="363"/>
      <c r="G88" s="363"/>
      <c r="H88" s="363"/>
      <c r="I88" s="363"/>
      <c r="J88" s="363"/>
      <c r="K88" s="359"/>
    </row>
    <row r="89" spans="1:11" s="360" customFormat="1">
      <c r="A89" s="145" t="s">
        <v>772</v>
      </c>
      <c r="B89" s="361">
        <f>'Sources and Uses Budget'!C89</f>
        <v>75000</v>
      </c>
      <c r="C89" s="362"/>
      <c r="D89" s="362"/>
      <c r="E89" s="361">
        <f>'Sources and Uses Budget'!S89</f>
        <v>75000</v>
      </c>
      <c r="F89" s="362"/>
      <c r="G89" s="362"/>
      <c r="H89" s="361">
        <f>'Sources and Uses Budget'!T89</f>
        <v>0</v>
      </c>
      <c r="I89" s="362"/>
      <c r="J89" s="362"/>
      <c r="K89" s="359"/>
    </row>
    <row r="90" spans="1:11" s="360" customFormat="1">
      <c r="A90" s="145" t="s">
        <v>773</v>
      </c>
      <c r="B90" s="361">
        <f>'Sources and Uses Budget'!C90</f>
        <v>5000</v>
      </c>
      <c r="C90" s="362"/>
      <c r="D90" s="362"/>
      <c r="E90" s="361">
        <f>'Sources and Uses Budget'!S90</f>
        <v>5000</v>
      </c>
      <c r="F90" s="362"/>
      <c r="G90" s="362"/>
      <c r="H90" s="361">
        <f>'Sources and Uses Budget'!T90</f>
        <v>0</v>
      </c>
      <c r="I90" s="362"/>
      <c r="J90" s="362"/>
      <c r="K90" s="359"/>
    </row>
    <row r="91" spans="1:11" s="360" customFormat="1">
      <c r="A91" s="155" t="s">
        <v>372</v>
      </c>
      <c r="B91" s="361">
        <f>'Sources and Uses Budget'!C91</f>
        <v>35000</v>
      </c>
      <c r="C91" s="362"/>
      <c r="D91" s="362"/>
      <c r="E91" s="361">
        <f>'Sources and Uses Budget'!S91</f>
        <v>20000</v>
      </c>
      <c r="F91" s="362"/>
      <c r="G91" s="362"/>
      <c r="H91" s="361">
        <f>'Sources and Uses Budget'!T91</f>
        <v>0</v>
      </c>
      <c r="I91" s="362"/>
      <c r="J91" s="362"/>
      <c r="K91" s="359"/>
    </row>
    <row r="92" spans="1:11" s="360" customFormat="1">
      <c r="A92" s="508" t="s">
        <v>1211</v>
      </c>
      <c r="B92" s="361">
        <f>'Sources and Uses Budget'!C92</f>
        <v>10000</v>
      </c>
      <c r="C92" s="362"/>
      <c r="D92" s="362"/>
      <c r="E92" s="361">
        <f>'Sources and Uses Budget'!S92</f>
        <v>10000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253293</v>
      </c>
      <c r="C96" s="361">
        <f>SUM(C83:C95)</f>
        <v>0</v>
      </c>
      <c r="D96" s="361">
        <f>SUM(D83:D95)</f>
        <v>0</v>
      </c>
      <c r="E96" s="361">
        <f>'Sources and Uses Budget'!S96</f>
        <v>195200</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30607109</v>
      </c>
      <c r="C97" s="361">
        <f>SUM(C63+C70+C77+C81+C96)</f>
        <v>0</v>
      </c>
      <c r="D97" s="361">
        <f>SUM(D63+D70+D77+D81+D96)</f>
        <v>0</v>
      </c>
      <c r="E97" s="361">
        <f>'Sources and Uses Budget'!S97</f>
        <v>13237740</v>
      </c>
      <c r="F97" s="367">
        <f>SUM(+F63+F70+F81+F96)</f>
        <v>0</v>
      </c>
      <c r="G97" s="367">
        <f>SUM(+G63+G70+G81+G96)</f>
        <v>0</v>
      </c>
      <c r="H97" s="361">
        <f>'Sources and Uses Budget'!T97</f>
        <v>15069144</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2739118</v>
      </c>
      <c r="C99" s="362"/>
      <c r="D99" s="362"/>
      <c r="E99" s="361">
        <f>'Sources and Uses Budget'!S99</f>
        <v>1985661</v>
      </c>
      <c r="F99" s="362"/>
      <c r="G99" s="362"/>
      <c r="H99" s="361">
        <f>'Sources and Uses Budget'!T99</f>
        <v>753457</v>
      </c>
      <c r="I99" s="362"/>
      <c r="J99" s="362"/>
      <c r="K99" s="359"/>
    </row>
    <row r="100" spans="1:11" s="360" customFormat="1">
      <c r="A100" s="283" t="s">
        <v>1635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2739118</v>
      </c>
      <c r="C104" s="361">
        <f>SUM(C99:C103)</f>
        <v>0</v>
      </c>
      <c r="D104" s="361">
        <f>SUM(D99:D103)</f>
        <v>0</v>
      </c>
      <c r="E104" s="361">
        <f>'Sources and Uses Budget'!S104</f>
        <v>1985661</v>
      </c>
      <c r="F104" s="367">
        <f>SUM(F99:F103)</f>
        <v>0</v>
      </c>
      <c r="G104" s="367">
        <f>SUM(G99:G103)</f>
        <v>0</v>
      </c>
      <c r="H104" s="361">
        <f>'Sources and Uses Budget'!T104</f>
        <v>753457</v>
      </c>
      <c r="I104" s="367">
        <f>SUM(I99:I103)</f>
        <v>0</v>
      </c>
      <c r="J104" s="367">
        <f>SUM(J99:J103)</f>
        <v>0</v>
      </c>
      <c r="K104" s="359"/>
    </row>
    <row r="105" spans="1:11" s="360" customFormat="1">
      <c r="A105" s="365" t="s">
        <v>1030</v>
      </c>
      <c r="B105" s="361">
        <f>'Sources and Uses Budget'!C105</f>
        <v>33346227</v>
      </c>
      <c r="C105" s="367">
        <f>SUM(C97+C104)</f>
        <v>0</v>
      </c>
      <c r="D105" s="367">
        <f>SUM(D97+D104)</f>
        <v>0</v>
      </c>
      <c r="E105" s="361">
        <f>'Sources and Uses Budget'!S105</f>
        <v>15223401</v>
      </c>
      <c r="F105" s="367">
        <f>F97+F104</f>
        <v>0</v>
      </c>
      <c r="G105" s="367">
        <f>G97+G104</f>
        <v>0</v>
      </c>
      <c r="H105" s="361">
        <f>'Sources and Uses Budget'!T105</f>
        <v>15822601</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15223401</v>
      </c>
      <c r="F107" s="367">
        <f>F105+F106</f>
        <v>0</v>
      </c>
      <c r="G107" s="367">
        <f>G105+G106</f>
        <v>0</v>
      </c>
      <c r="H107" s="361">
        <f>'Sources and Uses Budget'!T107</f>
        <v>15822601</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89"/>
      <c r="E124" s="1319"/>
      <c r="F124" s="1319"/>
      <c r="G124" s="1319"/>
      <c r="H124" s="1319"/>
      <c r="I124" s="1319"/>
      <c r="J124" s="376"/>
      <c r="K124" s="359"/>
    </row>
    <row r="125" spans="1:11" s="360" customFormat="1" ht="12.75">
      <c r="A125" s="385"/>
      <c r="B125" s="384"/>
      <c r="C125" s="385"/>
      <c r="D125" s="1319"/>
      <c r="E125" s="1319"/>
      <c r="F125" s="1319"/>
      <c r="G125" s="1319"/>
      <c r="H125" s="1319"/>
      <c r="I125" s="1319"/>
      <c r="J125" s="376"/>
      <c r="K125" s="359"/>
    </row>
    <row r="126" spans="1:11" s="360" customFormat="1" ht="12.75">
      <c r="A126" s="385"/>
      <c r="B126" s="384"/>
      <c r="C126" s="385"/>
      <c r="D126" s="1319"/>
      <c r="E126" s="1319"/>
      <c r="F126" s="1319"/>
      <c r="G126" s="1319"/>
      <c r="H126" s="1319"/>
      <c r="I126" s="1319"/>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90"/>
      <c r="B139" s="1319"/>
      <c r="C139" s="1319"/>
      <c r="D139" s="356"/>
      <c r="E139" s="385"/>
      <c r="F139" s="385"/>
      <c r="G139" s="385"/>
    </row>
    <row r="140" spans="1:11" ht="12" customHeight="1">
      <c r="A140" s="1292"/>
      <c r="B140" s="1292"/>
      <c r="C140" s="1292"/>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2330" t="s">
        <v>2391</v>
      </c>
      <c r="B1" s="2331"/>
      <c r="C1" s="2331"/>
      <c r="D1" s="2331"/>
      <c r="E1" s="2331"/>
      <c r="F1" s="2331"/>
      <c r="G1" s="2331"/>
      <c r="H1" s="2331"/>
      <c r="I1" s="2331"/>
      <c r="J1" s="2331"/>
      <c r="K1" s="2331"/>
      <c r="L1" s="2331"/>
      <c r="M1" s="2331"/>
      <c r="N1" s="2331"/>
      <c r="O1" s="2331"/>
      <c r="P1" s="2331"/>
      <c r="Q1" s="2331"/>
      <c r="R1" s="2331"/>
      <c r="S1" s="2331"/>
      <c r="T1" s="2331"/>
      <c r="U1" s="2331"/>
      <c r="V1" s="2331"/>
      <c r="W1" s="2331"/>
      <c r="X1" s="2331"/>
      <c r="Y1" s="2331"/>
      <c r="Z1" s="2331"/>
      <c r="AA1" s="2331"/>
      <c r="AB1" s="2331"/>
      <c r="AC1" s="2331"/>
      <c r="AD1" s="2331"/>
      <c r="AE1" s="2331"/>
      <c r="AF1" s="2331"/>
      <c r="AG1" s="2331"/>
      <c r="AH1" s="2331"/>
      <c r="AI1" s="2331"/>
      <c r="AJ1" s="2331"/>
      <c r="AK1" s="2331"/>
      <c r="AL1" s="2331"/>
      <c r="AM1" s="2331"/>
      <c r="AN1" s="2331"/>
      <c r="AO1" s="2331"/>
      <c r="AP1" s="2331"/>
      <c r="AQ1" s="2331"/>
      <c r="AR1" s="2331"/>
      <c r="AS1" s="2331"/>
      <c r="AT1" s="2331"/>
      <c r="AU1" s="2331"/>
      <c r="AV1" s="2331"/>
      <c r="AW1" s="2331"/>
      <c r="AX1" s="2331"/>
      <c r="AY1" s="2331"/>
      <c r="AZ1" s="2331"/>
      <c r="BA1" s="2331"/>
      <c r="BB1" s="2331"/>
      <c r="BC1" s="2331"/>
      <c r="BD1" s="2331"/>
      <c r="BE1" s="2332"/>
    </row>
    <row r="2" spans="1:65" ht="15.75" customHeight="1">
      <c r="A2" s="2333" t="s">
        <v>2390</v>
      </c>
      <c r="B2" s="2334"/>
      <c r="C2" s="2334"/>
      <c r="D2" s="2334"/>
      <c r="E2" s="2334"/>
      <c r="F2" s="2334"/>
      <c r="G2" s="2334"/>
      <c r="H2" s="2334"/>
      <c r="I2" s="2334"/>
      <c r="J2" s="2334"/>
      <c r="K2" s="2334"/>
      <c r="L2" s="2334"/>
      <c r="M2" s="2334"/>
      <c r="N2" s="2334"/>
      <c r="O2" s="2334"/>
      <c r="P2" s="2334"/>
      <c r="Q2" s="2334"/>
      <c r="R2" s="2334"/>
      <c r="S2" s="2334"/>
      <c r="T2" s="2334"/>
      <c r="U2" s="2334"/>
      <c r="V2" s="2334"/>
      <c r="W2" s="2334"/>
      <c r="X2" s="2334"/>
      <c r="Y2" s="2334"/>
      <c r="Z2" s="2334"/>
      <c r="AA2" s="2334"/>
      <c r="AB2" s="2334"/>
      <c r="AC2" s="2334"/>
      <c r="AD2" s="2334"/>
      <c r="AE2" s="2334"/>
      <c r="AF2" s="2334"/>
      <c r="AG2" s="2334"/>
      <c r="AH2" s="2334"/>
      <c r="AI2" s="2334"/>
      <c r="AJ2" s="2334"/>
      <c r="AK2" s="2334"/>
      <c r="AL2" s="2334"/>
      <c r="AM2" s="2334"/>
      <c r="AN2" s="2334"/>
      <c r="AO2" s="2334"/>
      <c r="AP2" s="2334"/>
      <c r="AQ2" s="2334"/>
      <c r="AR2" s="2334"/>
      <c r="AS2" s="2334"/>
      <c r="AT2" s="2334"/>
      <c r="AU2" s="2334"/>
      <c r="AV2" s="2334"/>
      <c r="AW2" s="2334"/>
      <c r="AX2" s="2334"/>
      <c r="AY2" s="2334"/>
      <c r="AZ2" s="2334"/>
      <c r="BA2" s="2334"/>
      <c r="BB2" s="2334"/>
      <c r="BC2" s="2334"/>
      <c r="BD2" s="2334"/>
      <c r="BE2" s="2335"/>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84" t="s">
        <v>2595</v>
      </c>
      <c r="AY3" s="2185"/>
      <c r="AZ3" s="2185"/>
      <c r="BA3" s="2336"/>
      <c r="BB3" s="2184" t="s">
        <v>2596</v>
      </c>
      <c r="BC3" s="2185"/>
      <c r="BD3" s="2185"/>
      <c r="BE3" s="2336"/>
    </row>
    <row r="4" spans="1:65" ht="15.75" customHeight="1" thickBot="1">
      <c r="A4" s="1207"/>
      <c r="B4" s="1209" t="s">
        <v>656</v>
      </c>
      <c r="C4" s="1209"/>
      <c r="D4" s="1209"/>
      <c r="E4" s="1209"/>
      <c r="F4" s="1209"/>
      <c r="G4" s="1208"/>
      <c r="H4" s="1208"/>
      <c r="I4" s="1208"/>
      <c r="J4" s="1208"/>
      <c r="K4" s="1208"/>
      <c r="L4" s="2327" t="str">
        <f>IF(Application!H18="","",Application!H18)</f>
        <v xml:space="preserve">Mammoth Lakes Family Apartments </v>
      </c>
      <c r="M4" s="2328"/>
      <c r="N4" s="2328"/>
      <c r="O4" s="2328"/>
      <c r="P4" s="2328"/>
      <c r="Q4" s="2328"/>
      <c r="R4" s="2328"/>
      <c r="S4" s="2328"/>
      <c r="T4" s="2328"/>
      <c r="U4" s="2328"/>
      <c r="V4" s="2328"/>
      <c r="W4" s="2328"/>
      <c r="X4" s="2328"/>
      <c r="Y4" s="2328"/>
      <c r="Z4" s="2328"/>
      <c r="AA4" s="2328"/>
      <c r="AB4" s="2328"/>
      <c r="AC4" s="2329"/>
      <c r="AD4" s="1208"/>
      <c r="AE4" s="1208"/>
      <c r="AF4" s="2316" t="s">
        <v>2389</v>
      </c>
      <c r="AG4" s="2316"/>
      <c r="AH4" s="2316"/>
      <c r="AI4" s="2316"/>
      <c r="AJ4" s="2316"/>
      <c r="AK4" s="2316"/>
      <c r="AL4" s="2316"/>
      <c r="AM4" s="2316"/>
      <c r="AN4" s="2316"/>
      <c r="AO4" s="2316"/>
      <c r="AP4" s="2317"/>
      <c r="AQ4" s="2318"/>
      <c r="AR4" s="2318"/>
      <c r="AS4" s="2318"/>
      <c r="AT4" s="2318"/>
      <c r="AU4" s="2318"/>
      <c r="AV4" s="1208"/>
      <c r="AW4" s="1208"/>
      <c r="AX4" s="2324" t="s">
        <v>2597</v>
      </c>
      <c r="AY4" s="2325"/>
      <c r="AZ4" s="2325"/>
      <c r="BA4" s="2326"/>
      <c r="BB4" s="1210">
        <f t="array" ref="BB4">ROUNDDOWN(SUM(IF((B19:I27&gt;0)*(B19:I27&lt;=30%),J19:O27,0))/J29,2)</f>
        <v>0.1</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16" t="s">
        <v>2388</v>
      </c>
      <c r="AG5" s="2316"/>
      <c r="AH5" s="2316"/>
      <c r="AI5" s="2316"/>
      <c r="AJ5" s="2316"/>
      <c r="AK5" s="2316"/>
      <c r="AL5" s="2316"/>
      <c r="AM5" s="2316"/>
      <c r="AN5" s="2316"/>
      <c r="AO5" s="2316"/>
      <c r="AP5" s="2317"/>
      <c r="AQ5" s="2318"/>
      <c r="AR5" s="2318"/>
      <c r="AS5" s="2318"/>
      <c r="AT5" s="2318"/>
      <c r="AU5" s="2318"/>
      <c r="AV5" s="1208"/>
      <c r="AW5" s="1208"/>
      <c r="AX5" s="2324" t="s">
        <v>2598</v>
      </c>
      <c r="AY5" s="2325"/>
      <c r="AZ5" s="2325"/>
      <c r="BA5" s="2326"/>
      <c r="BB5" s="1210">
        <f t="array" ref="BB5">ROUNDDOWN(SUM(IF((B19:I27&gt;0%)*(B19:I27&lt;=50%),J19:O27,0))/J29,2)</f>
        <v>0.2</v>
      </c>
      <c r="BC5" s="1211"/>
      <c r="BD5" s="1211"/>
      <c r="BE5" s="1212"/>
    </row>
    <row r="6" spans="1:65" ht="15.75" customHeight="1" thickBot="1">
      <c r="A6" s="1207"/>
      <c r="B6" s="1209" t="s">
        <v>2387</v>
      </c>
      <c r="C6" s="1208"/>
      <c r="D6" s="1208"/>
      <c r="E6" s="1208"/>
      <c r="F6" s="1208"/>
      <c r="G6" s="1208"/>
      <c r="H6" s="1208"/>
      <c r="I6" s="1208"/>
      <c r="J6" s="1208"/>
      <c r="K6" s="1208"/>
      <c r="L6" s="2327" t="str">
        <f>IF(Application!H16="","",Application!H16)</f>
        <v xml:space="preserve">West Development Ventures, LLC </v>
      </c>
      <c r="M6" s="2328"/>
      <c r="N6" s="2328"/>
      <c r="O6" s="2328"/>
      <c r="P6" s="2328"/>
      <c r="Q6" s="2328"/>
      <c r="R6" s="2328"/>
      <c r="S6" s="2328"/>
      <c r="T6" s="2328"/>
      <c r="U6" s="2328"/>
      <c r="V6" s="2328"/>
      <c r="W6" s="2328"/>
      <c r="X6" s="2328"/>
      <c r="Y6" s="2328"/>
      <c r="Z6" s="2328"/>
      <c r="AA6" s="2328"/>
      <c r="AB6" s="2328"/>
      <c r="AC6" s="2329"/>
      <c r="AD6" s="1208"/>
      <c r="AE6" s="1208"/>
      <c r="AF6" s="2319" t="s">
        <v>2386</v>
      </c>
      <c r="AG6" s="2319"/>
      <c r="AH6" s="2319"/>
      <c r="AI6" s="2319"/>
      <c r="AJ6" s="2319"/>
      <c r="AK6" s="2319"/>
      <c r="AL6" s="2319"/>
      <c r="AM6" s="2319"/>
      <c r="AN6" s="2319"/>
      <c r="AO6" s="2319"/>
      <c r="AP6" s="2320"/>
      <c r="AQ6" s="2320"/>
      <c r="AR6" s="2320"/>
      <c r="AS6" s="2320"/>
      <c r="AT6" s="2320"/>
      <c r="AU6" s="2320"/>
      <c r="AV6" s="1208"/>
      <c r="AW6" s="1208"/>
      <c r="AX6" s="2324" t="s">
        <v>2599</v>
      </c>
      <c r="AY6" s="2325"/>
      <c r="AZ6" s="2325"/>
      <c r="BA6" s="2326"/>
      <c r="BB6" s="1210">
        <f t="array" ref="BB6">ROUNDDOWN(SUM(IF((B19:I27&gt;60%)*(B19:I27&lt;=80%),J19:O27,0))/J29,2)</f>
        <v>0</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19" t="s">
        <v>2385</v>
      </c>
      <c r="AG7" s="2319"/>
      <c r="AH7" s="2319"/>
      <c r="AI7" s="2319"/>
      <c r="AJ7" s="2319"/>
      <c r="AK7" s="2319"/>
      <c r="AL7" s="2319"/>
      <c r="AM7" s="2319"/>
      <c r="AN7" s="2319"/>
      <c r="AO7" s="2319"/>
      <c r="AP7" s="2320"/>
      <c r="AQ7" s="2320"/>
      <c r="AR7" s="2320"/>
      <c r="AS7" s="2320"/>
      <c r="AT7" s="2320"/>
      <c r="AU7" s="2320"/>
      <c r="AV7" s="1208"/>
      <c r="AW7" s="1208"/>
      <c r="AX7" s="1208"/>
      <c r="AY7" s="1208"/>
      <c r="AZ7" s="1208"/>
      <c r="BA7" s="1208"/>
      <c r="BB7" s="1208"/>
      <c r="BC7" s="1208"/>
      <c r="BD7" s="1208"/>
      <c r="BE7" s="1213"/>
    </row>
    <row r="8" spans="1:65" thickBot="1">
      <c r="A8" s="1207"/>
      <c r="B8" s="1209" t="s">
        <v>2636</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21" t="str">
        <f>Application!T197</f>
        <v>Yes</v>
      </c>
      <c r="AC8" s="2322"/>
      <c r="AD8" s="2323"/>
      <c r="AE8" s="1208"/>
      <c r="AF8" s="2319" t="s">
        <v>2384</v>
      </c>
      <c r="AG8" s="2319"/>
      <c r="AH8" s="2319"/>
      <c r="AI8" s="2319"/>
      <c r="AJ8" s="2319"/>
      <c r="AK8" s="2319"/>
      <c r="AL8" s="2319"/>
      <c r="AM8" s="2319"/>
      <c r="AN8" s="2319"/>
      <c r="AO8" s="2319"/>
      <c r="AP8" s="2320" t="s">
        <v>2055</v>
      </c>
      <c r="AQ8" s="2320"/>
      <c r="AR8" s="2320"/>
      <c r="AS8" s="2320"/>
      <c r="AT8" s="2320"/>
      <c r="AU8" s="2320"/>
      <c r="AV8" s="1208"/>
      <c r="AW8" s="1208"/>
      <c r="AX8" s="1208"/>
      <c r="AY8" s="1208"/>
      <c r="AZ8" s="1208"/>
      <c r="BA8" s="1208"/>
      <c r="BB8" s="1208"/>
      <c r="BC8" s="1208"/>
      <c r="BD8" s="1208"/>
      <c r="BE8" s="1213"/>
      <c r="BM8" s="1204" t="s">
        <v>1957</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16" t="s">
        <v>2383</v>
      </c>
      <c r="AG9" s="2316"/>
      <c r="AH9" s="2316"/>
      <c r="AI9" s="2316"/>
      <c r="AJ9" s="2316"/>
      <c r="AK9" s="2316"/>
      <c r="AL9" s="2316"/>
      <c r="AM9" s="2316"/>
      <c r="AN9" s="2316"/>
      <c r="AO9" s="2316"/>
      <c r="AP9" s="2317"/>
      <c r="AQ9" s="2318"/>
      <c r="AR9" s="2318"/>
      <c r="AS9" s="2318"/>
      <c r="AT9" s="2318"/>
      <c r="AU9" s="2318"/>
      <c r="AV9" s="1208"/>
      <c r="AW9" s="1208"/>
      <c r="AX9" s="1208"/>
      <c r="AY9" s="1208"/>
      <c r="AZ9" s="1208"/>
      <c r="BA9" s="1208"/>
      <c r="BB9" s="1208"/>
      <c r="BC9" s="1208"/>
      <c r="BD9" s="1208"/>
      <c r="BE9" s="1213"/>
      <c r="BM9" s="1204" t="s">
        <v>2382</v>
      </c>
    </row>
    <row r="10" spans="1:65" ht="15">
      <c r="A10" s="1207"/>
      <c r="B10" s="1209" t="s">
        <v>2381</v>
      </c>
      <c r="C10" s="1209"/>
      <c r="D10" s="1209"/>
      <c r="E10" s="1209"/>
      <c r="F10" s="1209"/>
      <c r="G10" s="1209"/>
      <c r="H10" s="1209"/>
      <c r="I10" s="1209"/>
      <c r="J10" s="1209"/>
      <c r="K10" s="1209"/>
      <c r="L10" s="1209"/>
      <c r="M10" s="1208"/>
      <c r="N10" s="2315">
        <f>Application!AO635</f>
        <v>6440000</v>
      </c>
      <c r="O10" s="2315"/>
      <c r="P10" s="2315"/>
      <c r="Q10" s="2315"/>
      <c r="R10" s="2315"/>
      <c r="S10" s="2315"/>
      <c r="T10" s="2315"/>
      <c r="U10" s="1208"/>
      <c r="V10" s="1208"/>
      <c r="W10" s="1208"/>
      <c r="X10" s="1214"/>
      <c r="Y10" s="1214"/>
      <c r="Z10" s="1214"/>
      <c r="AA10" s="1214"/>
      <c r="AB10" s="1214"/>
      <c r="AC10" s="1214"/>
      <c r="AD10" s="1214"/>
      <c r="AE10" s="1214"/>
      <c r="AF10" s="2316" t="s">
        <v>2380</v>
      </c>
      <c r="AG10" s="2316"/>
      <c r="AH10" s="2316"/>
      <c r="AI10" s="2316"/>
      <c r="AJ10" s="2316"/>
      <c r="AK10" s="2316"/>
      <c r="AL10" s="2316"/>
      <c r="AM10" s="2316"/>
      <c r="AN10" s="2316"/>
      <c r="AO10" s="2316"/>
      <c r="AP10" s="2317"/>
      <c r="AQ10" s="2318"/>
      <c r="AR10" s="2318"/>
      <c r="AS10" s="2318"/>
      <c r="AT10" s="2318"/>
      <c r="AU10" s="2318"/>
      <c r="AV10" s="1214"/>
      <c r="AW10" s="1214"/>
      <c r="AX10" s="1208"/>
      <c r="AY10" s="1208"/>
      <c r="AZ10" s="1208"/>
      <c r="BA10" s="1208"/>
      <c r="BB10" s="1208"/>
      <c r="BC10" s="1208"/>
      <c r="BD10" s="1208"/>
      <c r="BE10" s="1213"/>
      <c r="BM10" s="1204" t="s">
        <v>2379</v>
      </c>
    </row>
    <row r="11" spans="1:65" ht="15">
      <c r="A11" s="1207"/>
      <c r="B11" s="1209" t="s">
        <v>2378</v>
      </c>
      <c r="C11" s="1209"/>
      <c r="D11" s="1209"/>
      <c r="E11" s="1209"/>
      <c r="F11" s="1209"/>
      <c r="G11" s="1209"/>
      <c r="H11" s="1209"/>
      <c r="I11" s="1209"/>
      <c r="J11" s="1209"/>
      <c r="K11" s="1209"/>
      <c r="L11" s="1209"/>
      <c r="M11" s="1208"/>
      <c r="N11" s="2315">
        <f>Application!AA943</f>
        <v>0</v>
      </c>
      <c r="O11" s="2315"/>
      <c r="P11" s="2315"/>
      <c r="Q11" s="2315"/>
      <c r="R11" s="2315"/>
      <c r="S11" s="2315"/>
      <c r="T11" s="2315"/>
      <c r="U11" s="1208"/>
      <c r="V11" s="1208"/>
      <c r="W11" s="1208"/>
      <c r="X11" s="1214"/>
      <c r="Y11" s="1214"/>
      <c r="Z11" s="1214"/>
      <c r="AA11" s="1214"/>
      <c r="AB11" s="1214"/>
      <c r="AC11" s="1214"/>
      <c r="AD11" s="1214"/>
      <c r="AE11" s="1214"/>
      <c r="AF11" s="2316" t="s">
        <v>2377</v>
      </c>
      <c r="AG11" s="2316"/>
      <c r="AH11" s="2316"/>
      <c r="AI11" s="2316"/>
      <c r="AJ11" s="2316"/>
      <c r="AK11" s="2316"/>
      <c r="AL11" s="2316"/>
      <c r="AM11" s="2316"/>
      <c r="AN11" s="2316"/>
      <c r="AO11" s="2316"/>
      <c r="AP11" s="2317"/>
      <c r="AQ11" s="2318"/>
      <c r="AR11" s="2318"/>
      <c r="AS11" s="2318"/>
      <c r="AT11" s="2318"/>
      <c r="AU11" s="2318"/>
      <c r="AV11" s="1214"/>
      <c r="AW11" s="1214"/>
      <c r="AX11" s="1208"/>
      <c r="AY11" s="1208"/>
      <c r="AZ11" s="1208"/>
      <c r="BA11" s="1208"/>
      <c r="BB11" s="1208"/>
      <c r="BC11" s="1208"/>
      <c r="BD11" s="1208"/>
      <c r="BE11" s="1213"/>
      <c r="BM11" s="1204" t="s">
        <v>2055</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2376</v>
      </c>
    </row>
    <row r="13" spans="1:65" thickBot="1">
      <c r="A13" s="1208"/>
      <c r="B13" s="2306" t="s">
        <v>2375</v>
      </c>
      <c r="C13" s="2307"/>
      <c r="D13" s="2307"/>
      <c r="E13" s="2307"/>
      <c r="F13" s="2307"/>
      <c r="G13" s="2307"/>
      <c r="H13" s="2307"/>
      <c r="I13" s="2307"/>
      <c r="J13" s="2307"/>
      <c r="K13" s="2307"/>
      <c r="L13" s="2307"/>
      <c r="M13" s="2307"/>
      <c r="N13" s="2307"/>
      <c r="O13" s="2307"/>
      <c r="P13" s="2308"/>
      <c r="Q13" s="2309" t="s">
        <v>669</v>
      </c>
      <c r="R13" s="2310"/>
      <c r="S13" s="2310"/>
      <c r="T13" s="2311"/>
      <c r="U13" s="1214"/>
      <c r="V13" s="1208"/>
      <c r="W13" s="1208"/>
      <c r="X13" s="1208"/>
      <c r="Y13" s="1208"/>
      <c r="Z13" s="1208"/>
      <c r="AA13" s="2296" t="s">
        <v>2374</v>
      </c>
      <c r="AB13" s="2296"/>
      <c r="AC13" s="2296"/>
      <c r="AD13" s="2296"/>
      <c r="AE13" s="2296"/>
      <c r="AF13" s="2296"/>
      <c r="AG13" s="2296"/>
      <c r="AH13" s="2296"/>
      <c r="AI13" s="2296"/>
      <c r="AJ13" s="2296"/>
      <c r="AK13" s="2296"/>
      <c r="AL13" s="2296"/>
      <c r="AM13" s="2296"/>
      <c r="AN13" s="2296"/>
      <c r="AO13" s="2312">
        <f>Application!W481</f>
        <v>0</v>
      </c>
      <c r="AP13" s="2313"/>
      <c r="AQ13" s="2313"/>
      <c r="AR13" s="2313"/>
      <c r="AS13" s="2313"/>
      <c r="AT13" s="1214"/>
      <c r="AU13" s="1214"/>
      <c r="AV13" s="1214"/>
      <c r="AW13" s="1214"/>
      <c r="AX13" s="1214"/>
      <c r="AY13" s="1214"/>
      <c r="AZ13" s="1214"/>
      <c r="BA13" s="1214"/>
      <c r="BB13" s="1214"/>
      <c r="BC13" s="1214"/>
      <c r="BD13" s="1214"/>
      <c r="BE13" s="1215"/>
      <c r="BM13" s="1204" t="s">
        <v>2373</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14" t="s">
        <v>2372</v>
      </c>
      <c r="AB14" s="2314"/>
      <c r="AC14" s="2314"/>
      <c r="AD14" s="2314"/>
      <c r="AE14" s="2314"/>
      <c r="AF14" s="2314"/>
      <c r="AG14" s="2314"/>
      <c r="AH14" s="2314"/>
      <c r="AI14" s="2314"/>
      <c r="AJ14" s="2314"/>
      <c r="AK14" s="2314"/>
      <c r="AL14" s="2314"/>
      <c r="AM14" s="2314"/>
      <c r="AN14" s="2314"/>
      <c r="AO14" s="2297"/>
      <c r="AP14" s="2298"/>
      <c r="AQ14" s="2298"/>
      <c r="AR14" s="2298"/>
      <c r="AS14" s="2298"/>
      <c r="AT14" s="1214"/>
      <c r="AU14" s="1214"/>
      <c r="AV14" s="1214"/>
      <c r="AW14" s="1214"/>
      <c r="AX14" s="1214"/>
      <c r="AY14" s="1214"/>
      <c r="AZ14" s="1214"/>
      <c r="BA14" s="1214"/>
      <c r="BB14" s="1214"/>
      <c r="BC14" s="1214"/>
      <c r="BD14" s="1214"/>
      <c r="BE14" s="1215"/>
    </row>
    <row r="15" spans="1:65" thickBot="1">
      <c r="A15" s="1208"/>
      <c r="B15" s="2291" t="s">
        <v>2371</v>
      </c>
      <c r="C15" s="2292"/>
      <c r="D15" s="2292"/>
      <c r="E15" s="2292"/>
      <c r="F15" s="2292"/>
      <c r="G15" s="2292"/>
      <c r="H15" s="2292"/>
      <c r="I15" s="2292"/>
      <c r="J15" s="2292"/>
      <c r="K15" s="2292"/>
      <c r="L15" s="2292"/>
      <c r="M15" s="2292"/>
      <c r="N15" s="2292"/>
      <c r="O15" s="2292"/>
      <c r="P15" s="2292"/>
      <c r="Q15" s="2292"/>
      <c r="R15" s="2293"/>
      <c r="S15" s="2294" t="str">
        <f>IF(Application!AB215="","",Application!AB215)</f>
        <v/>
      </c>
      <c r="T15" s="2294"/>
      <c r="U15" s="2294"/>
      <c r="V15" s="2294"/>
      <c r="W15" s="2295"/>
      <c r="X15" s="1214"/>
      <c r="Y15" s="1208"/>
      <c r="Z15" s="1208"/>
      <c r="AA15" s="2296" t="s">
        <v>2370</v>
      </c>
      <c r="AB15" s="2296"/>
      <c r="AC15" s="2296"/>
      <c r="AD15" s="2296"/>
      <c r="AE15" s="2296"/>
      <c r="AF15" s="2296"/>
      <c r="AG15" s="2296"/>
      <c r="AH15" s="2296"/>
      <c r="AI15" s="2296"/>
      <c r="AJ15" s="2296"/>
      <c r="AK15" s="2296"/>
      <c r="AL15" s="2296"/>
      <c r="AM15" s="2296"/>
      <c r="AN15" s="2296"/>
      <c r="AO15" s="2297"/>
      <c r="AP15" s="2298"/>
      <c r="AQ15" s="2298"/>
      <c r="AR15" s="2298"/>
      <c r="AS15" s="2298"/>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2119" t="s">
        <v>2369</v>
      </c>
      <c r="C17" s="2120"/>
      <c r="D17" s="2120"/>
      <c r="E17" s="2120"/>
      <c r="F17" s="2120"/>
      <c r="G17" s="2120"/>
      <c r="H17" s="2120"/>
      <c r="I17" s="2120"/>
      <c r="J17" s="2120"/>
      <c r="K17" s="2120"/>
      <c r="L17" s="2120"/>
      <c r="M17" s="2120"/>
      <c r="N17" s="2120"/>
      <c r="O17" s="2120"/>
      <c r="P17" s="2120"/>
      <c r="Q17" s="2120"/>
      <c r="R17" s="2120"/>
      <c r="S17" s="2120"/>
      <c r="T17" s="2120"/>
      <c r="U17" s="2120"/>
      <c r="V17" s="2120"/>
      <c r="W17" s="2120"/>
      <c r="X17" s="2120"/>
      <c r="Y17" s="2120"/>
      <c r="Z17" s="2120"/>
      <c r="AA17" s="2120"/>
      <c r="AB17" s="2120"/>
      <c r="AC17" s="2120"/>
      <c r="AD17" s="2120"/>
      <c r="AE17" s="2120"/>
      <c r="AF17" s="2120"/>
      <c r="AG17" s="2120"/>
      <c r="AH17" s="2120"/>
      <c r="AI17" s="2120"/>
      <c r="AJ17" s="2120"/>
      <c r="AK17" s="2120"/>
      <c r="AL17" s="2120"/>
      <c r="AM17" s="2120"/>
      <c r="AN17" s="2120"/>
      <c r="AO17" s="2120"/>
      <c r="AP17" s="2120"/>
      <c r="AQ17" s="2120"/>
      <c r="AR17" s="2120"/>
      <c r="AS17" s="2120"/>
      <c r="AT17" s="2120"/>
      <c r="AU17" s="2120"/>
      <c r="AV17" s="2120"/>
      <c r="AW17" s="2120"/>
      <c r="AX17" s="2120"/>
      <c r="AY17" s="2121"/>
      <c r="AZ17" s="1208"/>
      <c r="BA17" s="1208"/>
      <c r="BB17" s="1208"/>
      <c r="BC17" s="1208"/>
      <c r="BD17" s="1208"/>
      <c r="BE17" s="1215"/>
      <c r="BF17" s="1206"/>
    </row>
    <row r="18" spans="1:58" ht="15.75" customHeight="1">
      <c r="A18" s="1208"/>
      <c r="B18" s="2299" t="s">
        <v>2368</v>
      </c>
      <c r="C18" s="2300"/>
      <c r="D18" s="2300"/>
      <c r="E18" s="2300"/>
      <c r="F18" s="2300"/>
      <c r="G18" s="2300"/>
      <c r="H18" s="2300"/>
      <c r="I18" s="2301"/>
      <c r="J18" s="2302" t="s">
        <v>1575</v>
      </c>
      <c r="K18" s="2303"/>
      <c r="L18" s="2303"/>
      <c r="M18" s="2303"/>
      <c r="N18" s="2303"/>
      <c r="O18" s="2304"/>
      <c r="P18" s="2302" t="s">
        <v>324</v>
      </c>
      <c r="Q18" s="2303"/>
      <c r="R18" s="2303"/>
      <c r="S18" s="2303"/>
      <c r="T18" s="2303"/>
      <c r="U18" s="2304"/>
      <c r="V18" s="2302" t="s">
        <v>325</v>
      </c>
      <c r="W18" s="2303"/>
      <c r="X18" s="2303"/>
      <c r="Y18" s="2303"/>
      <c r="Z18" s="2303"/>
      <c r="AA18" s="2304"/>
      <c r="AB18" s="2302" t="s">
        <v>163</v>
      </c>
      <c r="AC18" s="2303"/>
      <c r="AD18" s="2303"/>
      <c r="AE18" s="2303"/>
      <c r="AF18" s="2303"/>
      <c r="AG18" s="2304"/>
      <c r="AH18" s="2302" t="s">
        <v>164</v>
      </c>
      <c r="AI18" s="2303"/>
      <c r="AJ18" s="2303"/>
      <c r="AK18" s="2303"/>
      <c r="AL18" s="2303"/>
      <c r="AM18" s="2304"/>
      <c r="AN18" s="2302" t="s">
        <v>165</v>
      </c>
      <c r="AO18" s="2303"/>
      <c r="AP18" s="2303"/>
      <c r="AQ18" s="2303"/>
      <c r="AR18" s="2303"/>
      <c r="AS18" s="2304"/>
      <c r="AT18" s="2302" t="s">
        <v>2367</v>
      </c>
      <c r="AU18" s="2303"/>
      <c r="AV18" s="2303"/>
      <c r="AW18" s="2303"/>
      <c r="AX18" s="2303"/>
      <c r="AY18" s="2305"/>
      <c r="AZ18" s="1208"/>
      <c r="BA18" s="1208"/>
      <c r="BB18" s="1208"/>
      <c r="BC18" s="1208"/>
      <c r="BD18" s="1208"/>
      <c r="BE18" s="1215"/>
    </row>
    <row r="19" spans="1:58" ht="15">
      <c r="A19" s="1208"/>
      <c r="B19" s="2285">
        <v>0.3</v>
      </c>
      <c r="C19" s="2286"/>
      <c r="D19" s="2286"/>
      <c r="E19" s="2286"/>
      <c r="F19" s="2286"/>
      <c r="G19" s="2286"/>
      <c r="H19" s="2286"/>
      <c r="I19" s="2287"/>
      <c r="J19" s="2288">
        <f t="shared" ref="J19:J24" si="0">SUM(P19:AS19)</f>
        <v>8</v>
      </c>
      <c r="K19" s="2289"/>
      <c r="L19" s="2289"/>
      <c r="M19" s="2289"/>
      <c r="N19" s="2289"/>
      <c r="O19" s="2290"/>
      <c r="P19" s="2288" cm="1">
        <f t="array" ref="P19">SUMPRODUCT((Application!$B$726:$B$760 = 'CalHFA Addendum'!P$18)*(Application!$AC$726:$AC$760 = 'CalHFA Addendum'!$B19),Application!$G$726:$G$760)</f>
        <v>0</v>
      </c>
      <c r="Q19" s="2289"/>
      <c r="R19" s="2289"/>
      <c r="S19" s="2289"/>
      <c r="T19" s="2289"/>
      <c r="U19" s="2290"/>
      <c r="V19" s="2288" cm="1">
        <f t="array" ref="V19">SUMPRODUCT((Application!$B$726:$B$760 = 'CalHFA Addendum'!V$18)*(Application!$AC$726:$AC$760 = 'CalHFA Addendum'!$B19),Application!$G$726:$G$760)</f>
        <v>0</v>
      </c>
      <c r="W19" s="2289"/>
      <c r="X19" s="2289"/>
      <c r="Y19" s="2289"/>
      <c r="Z19" s="2289"/>
      <c r="AA19" s="2290"/>
      <c r="AB19" s="2288" cm="1">
        <f t="array" ref="AB19">SUMPRODUCT((Application!$B$726:$B$760 = 'CalHFA Addendum'!AB$18)*(Application!$AC$726:$AC$760 = 'CalHFA Addendum'!$B19),Application!$G$726:$G$760)</f>
        <v>4</v>
      </c>
      <c r="AC19" s="2289"/>
      <c r="AD19" s="2289"/>
      <c r="AE19" s="2289"/>
      <c r="AF19" s="2289"/>
      <c r="AG19" s="2290"/>
      <c r="AH19" s="2288" cm="1">
        <f t="array" ref="AH19">SUMPRODUCT((Application!$B$726:$B$760 = 'CalHFA Addendum'!AH$18)*(Application!$AC$726:$AC$760 = 'CalHFA Addendum'!$B19),Application!$G$726:$G$760)</f>
        <v>4</v>
      </c>
      <c r="AI19" s="2289"/>
      <c r="AJ19" s="2289"/>
      <c r="AK19" s="2289"/>
      <c r="AL19" s="2289"/>
      <c r="AM19" s="2290"/>
      <c r="AN19" s="2288" cm="1">
        <f t="array" ref="AN19">SUMPRODUCT((Application!$B$726:$B$760 = 'CalHFA Addendum'!AN$18)*(Application!$AC$726:$AC$760 = 'CalHFA Addendum'!$B19),Application!$G$726:$G$760)</f>
        <v>0</v>
      </c>
      <c r="AO19" s="2289"/>
      <c r="AP19" s="2289"/>
      <c r="AQ19" s="2289"/>
      <c r="AR19" s="2289"/>
      <c r="AS19" s="2290"/>
      <c r="AT19" s="2273">
        <f>J19/$J$29</f>
        <v>0.10256410256410256</v>
      </c>
      <c r="AU19" s="2274"/>
      <c r="AV19" s="2274"/>
      <c r="AW19" s="2274"/>
      <c r="AX19" s="2274"/>
      <c r="AY19" s="2275"/>
      <c r="AZ19" s="1216"/>
      <c r="BA19" s="1208"/>
      <c r="BB19" s="1208"/>
      <c r="BC19" s="1208"/>
      <c r="BD19" s="1208"/>
      <c r="BE19" s="1215"/>
    </row>
    <row r="20" spans="1:58" ht="15" customHeight="1">
      <c r="A20" s="1208"/>
      <c r="B20" s="2285">
        <v>0.4</v>
      </c>
      <c r="C20" s="2286"/>
      <c r="D20" s="2286"/>
      <c r="E20" s="2286"/>
      <c r="F20" s="2286"/>
      <c r="G20" s="2286"/>
      <c r="H20" s="2286"/>
      <c r="I20" s="2287"/>
      <c r="J20" s="2288">
        <f t="shared" si="0"/>
        <v>0</v>
      </c>
      <c r="K20" s="2289"/>
      <c r="L20" s="2289"/>
      <c r="M20" s="2289"/>
      <c r="N20" s="2289"/>
      <c r="O20" s="2290"/>
      <c r="P20" s="2288" cm="1">
        <f t="array" ref="P20">SUMPRODUCT((Application!$B$726:$B$760 = 'CalHFA Addendum'!P$18)*(Application!$AC$726:$AC$760 = 'CalHFA Addendum'!$B20),Application!$G$726:$G$760)</f>
        <v>0</v>
      </c>
      <c r="Q20" s="2289"/>
      <c r="R20" s="2289"/>
      <c r="S20" s="2289"/>
      <c r="T20" s="2289"/>
      <c r="U20" s="2290"/>
      <c r="V20" s="2288" cm="1">
        <f t="array" ref="V20">SUMPRODUCT((Application!$B$726:$B$760 = 'CalHFA Addendum'!V$18)*(Application!$AC$726:$AC$760 = 'CalHFA Addendum'!$B20),Application!$G$726:$G$760)</f>
        <v>0</v>
      </c>
      <c r="W20" s="2289"/>
      <c r="X20" s="2289"/>
      <c r="Y20" s="2289"/>
      <c r="Z20" s="2289"/>
      <c r="AA20" s="2290"/>
      <c r="AB20" s="2288" cm="1">
        <f t="array" ref="AB20">SUMPRODUCT((Application!$B$726:$B$760 = 'CalHFA Addendum'!AB$18)*(Application!$AC$726:$AC$760 = 'CalHFA Addendum'!$B20),Application!$G$726:$G$760)</f>
        <v>0</v>
      </c>
      <c r="AC20" s="2289"/>
      <c r="AD20" s="2289"/>
      <c r="AE20" s="2289"/>
      <c r="AF20" s="2289"/>
      <c r="AG20" s="2290"/>
      <c r="AH20" s="2288" cm="1">
        <f t="array" ref="AH20">SUMPRODUCT((Application!$B$726:$B$760 = 'CalHFA Addendum'!AH$18)*(Application!$AC$726:$AC$760 = 'CalHFA Addendum'!$B20),Application!$G$726:$G$760)</f>
        <v>0</v>
      </c>
      <c r="AI20" s="2289"/>
      <c r="AJ20" s="2289"/>
      <c r="AK20" s="2289"/>
      <c r="AL20" s="2289"/>
      <c r="AM20" s="2290"/>
      <c r="AN20" s="2288" cm="1">
        <f t="array" ref="AN20">SUMPRODUCT((Application!$B$726:$B$760 = 'CalHFA Addendum'!AN$18)*(Application!$AC$726:$AC$760 = 'CalHFA Addendum'!$B20),Application!$G$726:$G$760)</f>
        <v>0</v>
      </c>
      <c r="AO20" s="2289"/>
      <c r="AP20" s="2289"/>
      <c r="AQ20" s="2289"/>
      <c r="AR20" s="2289"/>
      <c r="AS20" s="2290"/>
      <c r="AT20" s="2273">
        <f t="shared" ref="AT20:AT29" si="1">J20/$J$29</f>
        <v>0</v>
      </c>
      <c r="AU20" s="2274"/>
      <c r="AV20" s="2274"/>
      <c r="AW20" s="2274"/>
      <c r="AX20" s="2274"/>
      <c r="AY20" s="2275"/>
      <c r="AZ20" s="1208"/>
      <c r="BA20" s="1208"/>
      <c r="BB20" s="1208"/>
      <c r="BC20" s="1208"/>
      <c r="BD20" s="1208"/>
      <c r="BE20" s="1215"/>
    </row>
    <row r="21" spans="1:58" ht="15">
      <c r="A21" s="1208"/>
      <c r="B21" s="2285">
        <v>0.5</v>
      </c>
      <c r="C21" s="2286"/>
      <c r="D21" s="2286"/>
      <c r="E21" s="2286"/>
      <c r="F21" s="2286"/>
      <c r="G21" s="2286"/>
      <c r="H21" s="2286"/>
      <c r="I21" s="2287"/>
      <c r="J21" s="2288">
        <f t="shared" si="0"/>
        <v>8</v>
      </c>
      <c r="K21" s="2289"/>
      <c r="L21" s="2289"/>
      <c r="M21" s="2289"/>
      <c r="N21" s="2289"/>
      <c r="O21" s="2290"/>
      <c r="P21" s="2288" cm="1">
        <f t="array" ref="P21">SUMPRODUCT((Application!$B$726:$B$760 = 'CalHFA Addendum'!P$18)*(Application!$AC$726:$AC$760 = 'CalHFA Addendum'!$B21),Application!$G$726:$G$760)</f>
        <v>0</v>
      </c>
      <c r="Q21" s="2289"/>
      <c r="R21" s="2289"/>
      <c r="S21" s="2289"/>
      <c r="T21" s="2289"/>
      <c r="U21" s="2290"/>
      <c r="V21" s="2288" cm="1">
        <f t="array" ref="V21">SUMPRODUCT((Application!$B$726:$B$760 = 'CalHFA Addendum'!V$18)*(Application!$AC$726:$AC$760 = 'CalHFA Addendum'!$B21),Application!$G$726:$G$760)</f>
        <v>0</v>
      </c>
      <c r="W21" s="2289"/>
      <c r="X21" s="2289"/>
      <c r="Y21" s="2289"/>
      <c r="Z21" s="2289"/>
      <c r="AA21" s="2290"/>
      <c r="AB21" s="2288" cm="1">
        <f t="array" ref="AB21">SUMPRODUCT((Application!$B$726:$B$760 = 'CalHFA Addendum'!AB$18)*(Application!$AC$726:$AC$760 = 'CalHFA Addendum'!$B21),Application!$G$726:$G$760)</f>
        <v>4</v>
      </c>
      <c r="AC21" s="2289"/>
      <c r="AD21" s="2289"/>
      <c r="AE21" s="2289"/>
      <c r="AF21" s="2289"/>
      <c r="AG21" s="2290"/>
      <c r="AH21" s="2288" cm="1">
        <f t="array" ref="AH21">SUMPRODUCT((Application!$B$726:$B$760 = 'CalHFA Addendum'!AH$18)*(Application!$AC$726:$AC$760 = 'CalHFA Addendum'!$B21),Application!$G$726:$G$760)</f>
        <v>4</v>
      </c>
      <c r="AI21" s="2289"/>
      <c r="AJ21" s="2289"/>
      <c r="AK21" s="2289"/>
      <c r="AL21" s="2289"/>
      <c r="AM21" s="2290"/>
      <c r="AN21" s="2288" cm="1">
        <f t="array" ref="AN21">SUMPRODUCT((Application!$B$726:$B$760 = 'CalHFA Addendum'!AN$18)*(Application!$AC$726:$AC$760 = 'CalHFA Addendum'!$B21),Application!$G$726:$G$760)</f>
        <v>0</v>
      </c>
      <c r="AO21" s="2289"/>
      <c r="AP21" s="2289"/>
      <c r="AQ21" s="2289"/>
      <c r="AR21" s="2289"/>
      <c r="AS21" s="2290"/>
      <c r="AT21" s="2273">
        <f t="shared" si="1"/>
        <v>0.10256410256410256</v>
      </c>
      <c r="AU21" s="2274"/>
      <c r="AV21" s="2274"/>
      <c r="AW21" s="2274"/>
      <c r="AX21" s="2274"/>
      <c r="AY21" s="2275"/>
      <c r="AZ21" s="1208"/>
      <c r="BA21" s="1208"/>
      <c r="BB21" s="1208"/>
      <c r="BC21" s="1208"/>
      <c r="BD21" s="1208"/>
      <c r="BE21" s="1215"/>
    </row>
    <row r="22" spans="1:58" ht="15">
      <c r="A22" s="1208"/>
      <c r="B22" s="2285">
        <v>0.6</v>
      </c>
      <c r="C22" s="2286"/>
      <c r="D22" s="2286"/>
      <c r="E22" s="2286"/>
      <c r="F22" s="2286"/>
      <c r="G22" s="2286"/>
      <c r="H22" s="2286"/>
      <c r="I22" s="2287"/>
      <c r="J22" s="2288">
        <f t="shared" si="0"/>
        <v>61</v>
      </c>
      <c r="K22" s="2289"/>
      <c r="L22" s="2289"/>
      <c r="M22" s="2289"/>
      <c r="N22" s="2289"/>
      <c r="O22" s="2290"/>
      <c r="P22" s="2288" cm="1">
        <f t="array" ref="P22">SUMPRODUCT((Application!$B$726:$B$760 = 'CalHFA Addendum'!P$18)*(Application!$AC$726:$AC$760 = 'CalHFA Addendum'!$B22),Application!$G$726:$G$760)</f>
        <v>0</v>
      </c>
      <c r="Q22" s="2289"/>
      <c r="R22" s="2289"/>
      <c r="S22" s="2289"/>
      <c r="T22" s="2289"/>
      <c r="U22" s="2290"/>
      <c r="V22" s="2288" cm="1">
        <f t="array" ref="V22">SUMPRODUCT((Application!$B$726:$B$760 = 'CalHFA Addendum'!V$18)*(Application!$AC$726:$AC$760 = 'CalHFA Addendum'!$B22),Application!$G$726:$G$760)</f>
        <v>0</v>
      </c>
      <c r="W22" s="2289"/>
      <c r="X22" s="2289"/>
      <c r="Y22" s="2289"/>
      <c r="Z22" s="2289"/>
      <c r="AA22" s="2290"/>
      <c r="AB22" s="2288" cm="1">
        <f t="array" ref="AB22">SUMPRODUCT((Application!$B$726:$B$760 = 'CalHFA Addendum'!AB$18)*(Application!$AC$726:$AC$760 = 'CalHFA Addendum'!$B22),Application!$G$726:$G$760)</f>
        <v>25</v>
      </c>
      <c r="AC22" s="2289"/>
      <c r="AD22" s="2289"/>
      <c r="AE22" s="2289"/>
      <c r="AF22" s="2289"/>
      <c r="AG22" s="2290"/>
      <c r="AH22" s="2288" cm="1">
        <f t="array" ref="AH22">SUMPRODUCT((Application!$B$726:$B$760 = 'CalHFA Addendum'!AH$18)*(Application!$AC$726:$AC$760 = 'CalHFA Addendum'!$B22),Application!$G$726:$G$760)</f>
        <v>36</v>
      </c>
      <c r="AI22" s="2289"/>
      <c r="AJ22" s="2289"/>
      <c r="AK22" s="2289"/>
      <c r="AL22" s="2289"/>
      <c r="AM22" s="2290"/>
      <c r="AN22" s="2288" cm="1">
        <f t="array" ref="AN22">SUMPRODUCT((Application!$B$726:$B$760 = 'CalHFA Addendum'!AN$18)*(Application!$AC$726:$AC$760 = 'CalHFA Addendum'!$B22),Application!$G$726:$G$760)</f>
        <v>0</v>
      </c>
      <c r="AO22" s="2289"/>
      <c r="AP22" s="2289"/>
      <c r="AQ22" s="2289"/>
      <c r="AR22" s="2289"/>
      <c r="AS22" s="2290"/>
      <c r="AT22" s="2273">
        <f t="shared" si="1"/>
        <v>0.78205128205128205</v>
      </c>
      <c r="AU22" s="2274"/>
      <c r="AV22" s="2274"/>
      <c r="AW22" s="2274"/>
      <c r="AX22" s="2274"/>
      <c r="AY22" s="2275"/>
      <c r="AZ22" s="1208"/>
      <c r="BA22" s="1208"/>
      <c r="BB22" s="1208"/>
      <c r="BC22" s="1208"/>
      <c r="BD22" s="1208"/>
      <c r="BE22" s="1215"/>
    </row>
    <row r="23" spans="1:58" ht="15">
      <c r="A23" s="1208"/>
      <c r="B23" s="2285">
        <v>0.7</v>
      </c>
      <c r="C23" s="2286"/>
      <c r="D23" s="2286"/>
      <c r="E23" s="2286"/>
      <c r="F23" s="2286"/>
      <c r="G23" s="2286"/>
      <c r="H23" s="2286"/>
      <c r="I23" s="2287"/>
      <c r="J23" s="2288">
        <f t="shared" si="0"/>
        <v>0</v>
      </c>
      <c r="K23" s="2289"/>
      <c r="L23" s="2289"/>
      <c r="M23" s="2289"/>
      <c r="N23" s="2289"/>
      <c r="O23" s="2290"/>
      <c r="P23" s="2288" cm="1">
        <f t="array" ref="P23">SUMPRODUCT((Application!$B$726:$B$760 = 'CalHFA Addendum'!P$18)*(Application!$AC$726:$AC$760 = 'CalHFA Addendum'!$B23),Application!$G$726:$G$760)</f>
        <v>0</v>
      </c>
      <c r="Q23" s="2289"/>
      <c r="R23" s="2289"/>
      <c r="S23" s="2289"/>
      <c r="T23" s="2289"/>
      <c r="U23" s="2290"/>
      <c r="V23" s="2288" cm="1">
        <f t="array" ref="V23">SUMPRODUCT((Application!$B$726:$B$760 = 'CalHFA Addendum'!V$18)*(Application!$AC$726:$AC$760 = 'CalHFA Addendum'!$B23),Application!$G$726:$G$760)</f>
        <v>0</v>
      </c>
      <c r="W23" s="2289"/>
      <c r="X23" s="2289"/>
      <c r="Y23" s="2289"/>
      <c r="Z23" s="2289"/>
      <c r="AA23" s="2290"/>
      <c r="AB23" s="2288" cm="1">
        <f t="array" ref="AB23">SUMPRODUCT((Application!$B$726:$B$760 = 'CalHFA Addendum'!AB$18)*(Application!$AC$726:$AC$760 = 'CalHFA Addendum'!$B23),Application!$G$726:$G$760)</f>
        <v>0</v>
      </c>
      <c r="AC23" s="2289"/>
      <c r="AD23" s="2289"/>
      <c r="AE23" s="2289"/>
      <c r="AF23" s="2289"/>
      <c r="AG23" s="2290"/>
      <c r="AH23" s="2288" cm="1">
        <f t="array" ref="AH23">SUMPRODUCT((Application!$B$726:$B$760 = 'CalHFA Addendum'!AH$18)*(Application!$AC$726:$AC$760 = 'CalHFA Addendum'!$B23),Application!$G$726:$G$760)</f>
        <v>0</v>
      </c>
      <c r="AI23" s="2289"/>
      <c r="AJ23" s="2289"/>
      <c r="AK23" s="2289"/>
      <c r="AL23" s="2289"/>
      <c r="AM23" s="2290"/>
      <c r="AN23" s="2288" cm="1">
        <f t="array" ref="AN23">SUMPRODUCT((Application!$B$726:$B$760 = 'CalHFA Addendum'!AN$18)*(Application!$AC$726:$AC$760 = 'CalHFA Addendum'!$B23),Application!$G$726:$G$760)</f>
        <v>0</v>
      </c>
      <c r="AO23" s="2289"/>
      <c r="AP23" s="2289"/>
      <c r="AQ23" s="2289"/>
      <c r="AR23" s="2289"/>
      <c r="AS23" s="2290"/>
      <c r="AT23" s="2273">
        <f t="shared" si="1"/>
        <v>0</v>
      </c>
      <c r="AU23" s="2274"/>
      <c r="AV23" s="2274"/>
      <c r="AW23" s="2274"/>
      <c r="AX23" s="2274"/>
      <c r="AY23" s="2275"/>
      <c r="AZ23" s="1208"/>
      <c r="BA23" s="1208"/>
      <c r="BB23" s="1208"/>
      <c r="BC23" s="1208"/>
      <c r="BD23" s="1208"/>
      <c r="BE23" s="1215"/>
    </row>
    <row r="24" spans="1:58" ht="15">
      <c r="A24" s="1208"/>
      <c r="B24" s="2285">
        <v>0.8</v>
      </c>
      <c r="C24" s="2286"/>
      <c r="D24" s="2286"/>
      <c r="E24" s="2286"/>
      <c r="F24" s="2286"/>
      <c r="G24" s="2286"/>
      <c r="H24" s="2286"/>
      <c r="I24" s="2287"/>
      <c r="J24" s="2288">
        <f t="shared" si="0"/>
        <v>0</v>
      </c>
      <c r="K24" s="2289"/>
      <c r="L24" s="2289"/>
      <c r="M24" s="2289"/>
      <c r="N24" s="2289"/>
      <c r="O24" s="2290"/>
      <c r="P24" s="2288" cm="1">
        <f t="array" ref="P24">SUMPRODUCT((Application!$B$726:$B$760 = 'CalHFA Addendum'!P$18)*(Application!$AC$726:$AC$760 = 'CalHFA Addendum'!$B24),Application!$G$726:$G$760)</f>
        <v>0</v>
      </c>
      <c r="Q24" s="2289"/>
      <c r="R24" s="2289"/>
      <c r="S24" s="2289"/>
      <c r="T24" s="2289"/>
      <c r="U24" s="2290"/>
      <c r="V24" s="2288" cm="1">
        <f t="array" ref="V24">SUMPRODUCT((Application!$B$726:$B$760 = 'CalHFA Addendum'!V$18)*(Application!$AC$726:$AC$760 = 'CalHFA Addendum'!$B24),Application!$G$726:$G$760)</f>
        <v>0</v>
      </c>
      <c r="W24" s="2289"/>
      <c r="X24" s="2289"/>
      <c r="Y24" s="2289"/>
      <c r="Z24" s="2289"/>
      <c r="AA24" s="2290"/>
      <c r="AB24" s="2288" cm="1">
        <f t="array" ref="AB24">SUMPRODUCT((Application!$B$726:$B$760 = 'CalHFA Addendum'!AB$18)*(Application!$AC$726:$AC$760 = 'CalHFA Addendum'!$B24),Application!$G$726:$G$760)</f>
        <v>0</v>
      </c>
      <c r="AC24" s="2289"/>
      <c r="AD24" s="2289"/>
      <c r="AE24" s="2289"/>
      <c r="AF24" s="2289"/>
      <c r="AG24" s="2290"/>
      <c r="AH24" s="2288" cm="1">
        <f t="array" ref="AH24">SUMPRODUCT((Application!$B$726:$B$760 = 'CalHFA Addendum'!AH$18)*(Application!$AC$726:$AC$760 = 'CalHFA Addendum'!$B24),Application!$G$726:$G$760)</f>
        <v>0</v>
      </c>
      <c r="AI24" s="2289"/>
      <c r="AJ24" s="2289"/>
      <c r="AK24" s="2289"/>
      <c r="AL24" s="2289"/>
      <c r="AM24" s="2290"/>
      <c r="AN24" s="2288" cm="1">
        <f t="array" ref="AN24">SUMPRODUCT((Application!$B$726:$B$760 = 'CalHFA Addendum'!AN$18)*(Application!$AC$726:$AC$760 = 'CalHFA Addendum'!$B24),Application!$G$726:$G$760)</f>
        <v>0</v>
      </c>
      <c r="AO24" s="2289"/>
      <c r="AP24" s="2289"/>
      <c r="AQ24" s="2289"/>
      <c r="AR24" s="2289"/>
      <c r="AS24" s="2290"/>
      <c r="AT24" s="2273">
        <f t="shared" si="1"/>
        <v>0</v>
      </c>
      <c r="AU24" s="2274"/>
      <c r="AV24" s="2274"/>
      <c r="AW24" s="2274"/>
      <c r="AX24" s="2274"/>
      <c r="AY24" s="2275"/>
      <c r="AZ24" s="1208"/>
      <c r="BA24" s="1208"/>
      <c r="BB24" s="1208"/>
      <c r="BC24" s="1208"/>
      <c r="BD24" s="1208"/>
      <c r="BE24" s="1215"/>
    </row>
    <row r="25" spans="1:58" ht="15">
      <c r="A25" s="1208"/>
      <c r="B25" s="2285">
        <v>0.9</v>
      </c>
      <c r="C25" s="2286"/>
      <c r="D25" s="2286"/>
      <c r="E25" s="2286"/>
      <c r="F25" s="2286"/>
      <c r="G25" s="2286"/>
      <c r="H25" s="2286"/>
      <c r="I25" s="2287"/>
      <c r="J25" s="2270"/>
      <c r="K25" s="2271"/>
      <c r="L25" s="2271"/>
      <c r="M25" s="2271"/>
      <c r="N25" s="2271"/>
      <c r="O25" s="2272"/>
      <c r="P25" s="2270"/>
      <c r="Q25" s="2271"/>
      <c r="R25" s="2271"/>
      <c r="S25" s="2271"/>
      <c r="T25" s="2271"/>
      <c r="U25" s="2272"/>
      <c r="V25" s="2270"/>
      <c r="W25" s="2271"/>
      <c r="X25" s="2271"/>
      <c r="Y25" s="2271"/>
      <c r="Z25" s="2271"/>
      <c r="AA25" s="2272"/>
      <c r="AB25" s="2270"/>
      <c r="AC25" s="2271"/>
      <c r="AD25" s="2271"/>
      <c r="AE25" s="2271"/>
      <c r="AF25" s="2271"/>
      <c r="AG25" s="2272"/>
      <c r="AH25" s="2270"/>
      <c r="AI25" s="2271"/>
      <c r="AJ25" s="2271"/>
      <c r="AK25" s="2271"/>
      <c r="AL25" s="2271"/>
      <c r="AM25" s="2272"/>
      <c r="AN25" s="2270"/>
      <c r="AO25" s="2271"/>
      <c r="AP25" s="2271"/>
      <c r="AQ25" s="2271"/>
      <c r="AR25" s="2271"/>
      <c r="AS25" s="2272"/>
      <c r="AT25" s="2273">
        <f t="shared" si="1"/>
        <v>0</v>
      </c>
      <c r="AU25" s="2274"/>
      <c r="AV25" s="2274"/>
      <c r="AW25" s="2274"/>
      <c r="AX25" s="2274"/>
      <c r="AY25" s="2275"/>
      <c r="AZ25" s="1208"/>
      <c r="BA25" s="1208"/>
      <c r="BB25" s="1208"/>
      <c r="BC25" s="1208"/>
      <c r="BD25" s="1208"/>
      <c r="BE25" s="1215"/>
    </row>
    <row r="26" spans="1:58" ht="15">
      <c r="A26" s="1208"/>
      <c r="B26" s="2285">
        <v>1</v>
      </c>
      <c r="C26" s="2286"/>
      <c r="D26" s="2286"/>
      <c r="E26" s="2286"/>
      <c r="F26" s="2286"/>
      <c r="G26" s="2286"/>
      <c r="H26" s="2286"/>
      <c r="I26" s="2287"/>
      <c r="J26" s="2270"/>
      <c r="K26" s="2271"/>
      <c r="L26" s="2271"/>
      <c r="M26" s="2271"/>
      <c r="N26" s="2271"/>
      <c r="O26" s="2272"/>
      <c r="P26" s="2270"/>
      <c r="Q26" s="2271"/>
      <c r="R26" s="2271"/>
      <c r="S26" s="2271"/>
      <c r="T26" s="2271"/>
      <c r="U26" s="2272"/>
      <c r="V26" s="2270"/>
      <c r="W26" s="2271"/>
      <c r="X26" s="2271"/>
      <c r="Y26" s="2271"/>
      <c r="Z26" s="2271"/>
      <c r="AA26" s="2272"/>
      <c r="AB26" s="2270"/>
      <c r="AC26" s="2271"/>
      <c r="AD26" s="2271"/>
      <c r="AE26" s="2271"/>
      <c r="AF26" s="2271"/>
      <c r="AG26" s="2272"/>
      <c r="AH26" s="2270"/>
      <c r="AI26" s="2271"/>
      <c r="AJ26" s="2271"/>
      <c r="AK26" s="2271"/>
      <c r="AL26" s="2271"/>
      <c r="AM26" s="2272"/>
      <c r="AN26" s="2270"/>
      <c r="AO26" s="2271"/>
      <c r="AP26" s="2271"/>
      <c r="AQ26" s="2271"/>
      <c r="AR26" s="2271"/>
      <c r="AS26" s="2272"/>
      <c r="AT26" s="2273">
        <f t="shared" si="1"/>
        <v>0</v>
      </c>
      <c r="AU26" s="2274"/>
      <c r="AV26" s="2274"/>
      <c r="AW26" s="2274"/>
      <c r="AX26" s="2274"/>
      <c r="AY26" s="2275"/>
      <c r="AZ26" s="1208"/>
      <c r="BA26" s="1208"/>
      <c r="BB26" s="1208"/>
      <c r="BC26" s="1208"/>
      <c r="BD26" s="1208"/>
      <c r="BE26" s="1215"/>
    </row>
    <row r="27" spans="1:58" ht="15">
      <c r="A27" s="1208"/>
      <c r="B27" s="2285">
        <v>1.2</v>
      </c>
      <c r="C27" s="2286"/>
      <c r="D27" s="2286"/>
      <c r="E27" s="2286"/>
      <c r="F27" s="2286"/>
      <c r="G27" s="2286"/>
      <c r="H27" s="2286"/>
      <c r="I27" s="2287"/>
      <c r="J27" s="2270"/>
      <c r="K27" s="2271"/>
      <c r="L27" s="2271"/>
      <c r="M27" s="2271"/>
      <c r="N27" s="2271"/>
      <c r="O27" s="2272"/>
      <c r="P27" s="2270"/>
      <c r="Q27" s="2271"/>
      <c r="R27" s="2271"/>
      <c r="S27" s="2271"/>
      <c r="T27" s="2271"/>
      <c r="U27" s="2272"/>
      <c r="V27" s="2270"/>
      <c r="W27" s="2271"/>
      <c r="X27" s="2271"/>
      <c r="Y27" s="2271"/>
      <c r="Z27" s="2271"/>
      <c r="AA27" s="2272"/>
      <c r="AB27" s="2270"/>
      <c r="AC27" s="2271"/>
      <c r="AD27" s="2271"/>
      <c r="AE27" s="2271"/>
      <c r="AF27" s="2271"/>
      <c r="AG27" s="2272"/>
      <c r="AH27" s="2270"/>
      <c r="AI27" s="2271"/>
      <c r="AJ27" s="2271"/>
      <c r="AK27" s="2271"/>
      <c r="AL27" s="2271"/>
      <c r="AM27" s="2272"/>
      <c r="AN27" s="2270"/>
      <c r="AO27" s="2271"/>
      <c r="AP27" s="2271"/>
      <c r="AQ27" s="2271"/>
      <c r="AR27" s="2271"/>
      <c r="AS27" s="2272"/>
      <c r="AT27" s="2273">
        <f t="shared" si="1"/>
        <v>0</v>
      </c>
      <c r="AU27" s="2274"/>
      <c r="AV27" s="2274"/>
      <c r="AW27" s="2274"/>
      <c r="AX27" s="2274"/>
      <c r="AY27" s="2275"/>
      <c r="AZ27" s="1208"/>
      <c r="BA27" s="1208"/>
      <c r="BB27" s="1208"/>
      <c r="BC27" s="1208"/>
      <c r="BD27" s="1208"/>
      <c r="BE27" s="1215"/>
    </row>
    <row r="28" spans="1:58" thickBot="1">
      <c r="A28" s="1208"/>
      <c r="B28" s="2276" t="s">
        <v>2366</v>
      </c>
      <c r="C28" s="2277"/>
      <c r="D28" s="2277"/>
      <c r="E28" s="2277"/>
      <c r="F28" s="2277"/>
      <c r="G28" s="2277"/>
      <c r="H28" s="2277"/>
      <c r="I28" s="2278"/>
      <c r="J28" s="2279">
        <f>SUM(P28:AS28)</f>
        <v>1</v>
      </c>
      <c r="K28" s="2280"/>
      <c r="L28" s="2280"/>
      <c r="M28" s="2280"/>
      <c r="N28" s="2280"/>
      <c r="O28" s="2281"/>
      <c r="P28" s="2279">
        <f>_xlfn.IFNA(VLOOKUP(P$18,Application!$J$781:$S$784,6,FALSE), 0)</f>
        <v>0</v>
      </c>
      <c r="Q28" s="2280"/>
      <c r="R28" s="2280"/>
      <c r="S28" s="2280"/>
      <c r="T28" s="2280"/>
      <c r="U28" s="2281"/>
      <c r="V28" s="2279">
        <f>_xlfn.IFNA(VLOOKUP(V$18,Application!$J$781:$S$784,6,FALSE), 0)</f>
        <v>0</v>
      </c>
      <c r="W28" s="2280"/>
      <c r="X28" s="2280"/>
      <c r="Y28" s="2280"/>
      <c r="Z28" s="2280"/>
      <c r="AA28" s="2281"/>
      <c r="AB28" s="2279">
        <f>_xlfn.IFNA(VLOOKUP(AB$18,Application!$J$781:$S$784,6,FALSE), 0)</f>
        <v>1</v>
      </c>
      <c r="AC28" s="2280"/>
      <c r="AD28" s="2280"/>
      <c r="AE28" s="2280"/>
      <c r="AF28" s="2280"/>
      <c r="AG28" s="2281"/>
      <c r="AH28" s="2279">
        <f>_xlfn.IFNA(VLOOKUP(AH$18,Application!$J$781:$S$784,6,FALSE), 0)</f>
        <v>0</v>
      </c>
      <c r="AI28" s="2280"/>
      <c r="AJ28" s="2280"/>
      <c r="AK28" s="2280"/>
      <c r="AL28" s="2280"/>
      <c r="AM28" s="2281"/>
      <c r="AN28" s="2279">
        <f>_xlfn.IFNA(VLOOKUP(AN$18,Application!$J$781:$S$784,6,FALSE), 0)</f>
        <v>0</v>
      </c>
      <c r="AO28" s="2280"/>
      <c r="AP28" s="2280"/>
      <c r="AQ28" s="2280"/>
      <c r="AR28" s="2280"/>
      <c r="AS28" s="2281"/>
      <c r="AT28" s="2282">
        <f t="shared" si="1"/>
        <v>1.282051282051282E-2</v>
      </c>
      <c r="AU28" s="2283"/>
      <c r="AV28" s="2283"/>
      <c r="AW28" s="2283"/>
      <c r="AX28" s="2283"/>
      <c r="AY28" s="2284"/>
      <c r="AZ28" s="1208"/>
      <c r="BA28" s="1208"/>
      <c r="BB28" s="1208"/>
      <c r="BC28" s="1208"/>
      <c r="BD28" s="1208"/>
      <c r="BE28" s="1215"/>
    </row>
    <row r="29" spans="1:58" thickBot="1">
      <c r="A29" s="1208"/>
      <c r="B29" s="2259" t="s">
        <v>1575</v>
      </c>
      <c r="C29" s="2232"/>
      <c r="D29" s="2232"/>
      <c r="E29" s="2232"/>
      <c r="F29" s="2232"/>
      <c r="G29" s="2232"/>
      <c r="H29" s="2232"/>
      <c r="I29" s="2233"/>
      <c r="J29" s="2231">
        <f>SUM(J19:O28)</f>
        <v>78</v>
      </c>
      <c r="K29" s="2232"/>
      <c r="L29" s="2232"/>
      <c r="M29" s="2232"/>
      <c r="N29" s="2232"/>
      <c r="O29" s="2233"/>
      <c r="P29" s="2231">
        <f>SUM(P19:U28)</f>
        <v>0</v>
      </c>
      <c r="Q29" s="2232"/>
      <c r="R29" s="2232"/>
      <c r="S29" s="2232"/>
      <c r="T29" s="2232"/>
      <c r="U29" s="2233"/>
      <c r="V29" s="2231">
        <f>SUM(V19:AA28)</f>
        <v>0</v>
      </c>
      <c r="W29" s="2232"/>
      <c r="X29" s="2232"/>
      <c r="Y29" s="2232"/>
      <c r="Z29" s="2232"/>
      <c r="AA29" s="2233"/>
      <c r="AB29" s="2231">
        <f>SUM(AB19:AG28)</f>
        <v>34</v>
      </c>
      <c r="AC29" s="2232"/>
      <c r="AD29" s="2232"/>
      <c r="AE29" s="2232"/>
      <c r="AF29" s="2232"/>
      <c r="AG29" s="2233"/>
      <c r="AH29" s="2231">
        <f>SUM(AH19:AM28)</f>
        <v>44</v>
      </c>
      <c r="AI29" s="2232"/>
      <c r="AJ29" s="2232"/>
      <c r="AK29" s="2232"/>
      <c r="AL29" s="2232"/>
      <c r="AM29" s="2233"/>
      <c r="AN29" s="2231">
        <f>SUM(AN19:AS28)</f>
        <v>0</v>
      </c>
      <c r="AO29" s="2232"/>
      <c r="AP29" s="2232"/>
      <c r="AQ29" s="2232"/>
      <c r="AR29" s="2232"/>
      <c r="AS29" s="2233"/>
      <c r="AT29" s="2234">
        <f t="shared" si="1"/>
        <v>1</v>
      </c>
      <c r="AU29" s="2235"/>
      <c r="AV29" s="2235"/>
      <c r="AW29" s="2235"/>
      <c r="AX29" s="2235"/>
      <c r="AY29" s="2236"/>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2237" t="s">
        <v>2365</v>
      </c>
      <c r="C31" s="2238"/>
      <c r="D31" s="2238"/>
      <c r="E31" s="2238"/>
      <c r="F31" s="2238"/>
      <c r="G31" s="2238"/>
      <c r="H31" s="2238"/>
      <c r="I31" s="2238"/>
      <c r="J31" s="2238"/>
      <c r="K31" s="2238"/>
      <c r="L31" s="2238"/>
      <c r="M31" s="2238"/>
      <c r="N31" s="2238"/>
      <c r="O31" s="2238"/>
      <c r="P31" s="2238"/>
      <c r="Q31" s="2238"/>
      <c r="R31" s="2238"/>
      <c r="S31" s="2238"/>
      <c r="T31" s="2238"/>
      <c r="U31" s="2238"/>
      <c r="V31" s="2238"/>
      <c r="W31" s="2238"/>
      <c r="X31" s="2238"/>
      <c r="Y31" s="2238"/>
      <c r="Z31" s="2238"/>
      <c r="AA31" s="2238"/>
      <c r="AB31" s="2238"/>
      <c r="AC31" s="2238"/>
      <c r="AD31" s="2238"/>
      <c r="AE31" s="2238"/>
      <c r="AF31" s="2238"/>
      <c r="AG31" s="2238"/>
      <c r="AH31" s="2238"/>
      <c r="AI31" s="2238"/>
      <c r="AJ31" s="2238"/>
      <c r="AK31" s="2238"/>
      <c r="AL31" s="2238"/>
      <c r="AM31" s="2238"/>
      <c r="AN31" s="2238"/>
      <c r="AO31" s="2238"/>
      <c r="AP31" s="2238"/>
      <c r="AQ31" s="2238"/>
      <c r="AR31" s="2238"/>
      <c r="AS31" s="2238"/>
      <c r="AT31" s="2238"/>
      <c r="AU31" s="2238"/>
      <c r="AV31" s="2238"/>
      <c r="AW31" s="2238"/>
      <c r="AX31" s="2238"/>
      <c r="AY31" s="2238"/>
      <c r="AZ31" s="2238"/>
      <c r="BA31" s="2238"/>
      <c r="BB31" s="2238"/>
      <c r="BC31" s="2238"/>
      <c r="BD31" s="2239"/>
      <c r="BE31" s="1215"/>
    </row>
    <row r="32" spans="1:58" thickBot="1">
      <c r="A32" s="1208"/>
      <c r="B32" s="2240" t="s">
        <v>2364</v>
      </c>
      <c r="C32" s="2241"/>
      <c r="D32" s="2241"/>
      <c r="E32" s="2241"/>
      <c r="F32" s="2241"/>
      <c r="G32" s="2241"/>
      <c r="H32" s="2241"/>
      <c r="I32" s="2241"/>
      <c r="J32" s="2244" t="s">
        <v>2363</v>
      </c>
      <c r="K32" s="2245"/>
      <c r="L32" s="2245"/>
      <c r="M32" s="2245"/>
      <c r="N32" s="2244" t="s">
        <v>2362</v>
      </c>
      <c r="O32" s="2245"/>
      <c r="P32" s="2245"/>
      <c r="Q32" s="2247"/>
      <c r="R32" s="2249" t="s">
        <v>2361</v>
      </c>
      <c r="S32" s="2250"/>
      <c r="T32" s="2250"/>
      <c r="U32" s="2250"/>
      <c r="V32" s="2250"/>
      <c r="W32" s="2250"/>
      <c r="X32" s="2250"/>
      <c r="Y32" s="2250"/>
      <c r="Z32" s="2250"/>
      <c r="AA32" s="2250"/>
      <c r="AB32" s="2250"/>
      <c r="AC32" s="2250"/>
      <c r="AD32" s="2250"/>
      <c r="AE32" s="2250"/>
      <c r="AF32" s="2250"/>
      <c r="AG32" s="2250"/>
      <c r="AH32" s="2250"/>
      <c r="AI32" s="2250"/>
      <c r="AJ32" s="2250"/>
      <c r="AK32" s="2250"/>
      <c r="AL32" s="2250"/>
      <c r="AM32" s="2250"/>
      <c r="AN32" s="2250"/>
      <c r="AO32" s="2250"/>
      <c r="AP32" s="2250"/>
      <c r="AQ32" s="2250"/>
      <c r="AR32" s="2250"/>
      <c r="AS32" s="2250"/>
      <c r="AT32" s="2250"/>
      <c r="AU32" s="2250"/>
      <c r="AV32" s="2250"/>
      <c r="AW32" s="2250"/>
      <c r="AX32" s="2250"/>
      <c r="AY32" s="2250"/>
      <c r="AZ32" s="2250"/>
      <c r="BA32" s="2250"/>
      <c r="BB32" s="2250"/>
      <c r="BC32" s="2250"/>
      <c r="BD32" s="2251"/>
      <c r="BE32" s="1215"/>
    </row>
    <row r="33" spans="1:58" ht="15" customHeight="1">
      <c r="A33" s="1208"/>
      <c r="B33" s="2242"/>
      <c r="C33" s="2243"/>
      <c r="D33" s="2243"/>
      <c r="E33" s="2243"/>
      <c r="F33" s="2243"/>
      <c r="G33" s="2243"/>
      <c r="H33" s="2243"/>
      <c r="I33" s="2243"/>
      <c r="J33" s="2246"/>
      <c r="K33" s="2246"/>
      <c r="L33" s="2246"/>
      <c r="M33" s="2246"/>
      <c r="N33" s="2246"/>
      <c r="O33" s="2246"/>
      <c r="P33" s="2246"/>
      <c r="Q33" s="2248"/>
      <c r="R33" s="2252" t="s">
        <v>2360</v>
      </c>
      <c r="S33" s="2253"/>
      <c r="T33" s="2253"/>
      <c r="U33" s="2253"/>
      <c r="V33" s="2253"/>
      <c r="W33" s="2253"/>
      <c r="X33" s="2253"/>
      <c r="Y33" s="2253"/>
      <c r="Z33" s="2253"/>
      <c r="AA33" s="2253"/>
      <c r="AB33" s="2253"/>
      <c r="AC33" s="2253"/>
      <c r="AD33" s="2253"/>
      <c r="AE33" s="2253"/>
      <c r="AF33" s="2253"/>
      <c r="AG33" s="2253"/>
      <c r="AH33" s="2253"/>
      <c r="AI33" s="2253"/>
      <c r="AJ33" s="2253"/>
      <c r="AK33" s="2253"/>
      <c r="AL33" s="2253"/>
      <c r="AM33" s="2253"/>
      <c r="AN33" s="2253"/>
      <c r="AO33" s="2253"/>
      <c r="AP33" s="2253"/>
      <c r="AQ33" s="2253"/>
      <c r="AR33" s="2253"/>
      <c r="AS33" s="2253"/>
      <c r="AT33" s="2253"/>
      <c r="AU33" s="2253"/>
      <c r="AV33" s="2253"/>
      <c r="AW33" s="2253"/>
      <c r="AX33" s="2253"/>
      <c r="AY33" s="2253"/>
      <c r="AZ33" s="2253"/>
      <c r="BA33" s="2253"/>
      <c r="BB33" s="2253"/>
      <c r="BC33" s="2253"/>
      <c r="BD33" s="2254"/>
      <c r="BE33" s="1215"/>
    </row>
    <row r="34" spans="1:58" ht="15.75" customHeight="1" thickBot="1">
      <c r="A34" s="1208"/>
      <c r="B34" s="2242"/>
      <c r="C34" s="2243"/>
      <c r="D34" s="2243"/>
      <c r="E34" s="2243"/>
      <c r="F34" s="2243"/>
      <c r="G34" s="2243"/>
      <c r="H34" s="2243"/>
      <c r="I34" s="2243"/>
      <c r="J34" s="2246"/>
      <c r="K34" s="2246"/>
      <c r="L34" s="2246"/>
      <c r="M34" s="2246"/>
      <c r="N34" s="2246"/>
      <c r="O34" s="2246"/>
      <c r="P34" s="2246"/>
      <c r="Q34" s="2248"/>
      <c r="R34" s="2255"/>
      <c r="S34" s="2256"/>
      <c r="T34" s="2256"/>
      <c r="U34" s="2256"/>
      <c r="V34" s="2256"/>
      <c r="W34" s="2256"/>
      <c r="X34" s="2256"/>
      <c r="Y34" s="2256"/>
      <c r="Z34" s="2256"/>
      <c r="AA34" s="2256"/>
      <c r="AB34" s="2256"/>
      <c r="AC34" s="2256"/>
      <c r="AD34" s="2256"/>
      <c r="AE34" s="2256"/>
      <c r="AF34" s="2256"/>
      <c r="AG34" s="2256"/>
      <c r="AH34" s="2256"/>
      <c r="AI34" s="2256"/>
      <c r="AJ34" s="2256"/>
      <c r="AK34" s="2256"/>
      <c r="AL34" s="2256"/>
      <c r="AM34" s="2256"/>
      <c r="AN34" s="2256"/>
      <c r="AO34" s="2256"/>
      <c r="AP34" s="2256"/>
      <c r="AQ34" s="2256"/>
      <c r="AR34" s="2256"/>
      <c r="AS34" s="2256"/>
      <c r="AT34" s="2256"/>
      <c r="AU34" s="2256"/>
      <c r="AV34" s="2256"/>
      <c r="AW34" s="2256"/>
      <c r="AX34" s="2256"/>
      <c r="AY34" s="2256"/>
      <c r="AZ34" s="2256"/>
      <c r="BA34" s="2256"/>
      <c r="BB34" s="2256"/>
      <c r="BC34" s="2256"/>
      <c r="BD34" s="2257"/>
      <c r="BE34" s="1215"/>
    </row>
    <row r="35" spans="1:58" ht="15.75" customHeight="1">
      <c r="A35" s="1208"/>
      <c r="B35" s="2242"/>
      <c r="C35" s="2243"/>
      <c r="D35" s="2243"/>
      <c r="E35" s="2243"/>
      <c r="F35" s="2243"/>
      <c r="G35" s="2243"/>
      <c r="H35" s="2243"/>
      <c r="I35" s="2243"/>
      <c r="J35" s="2246"/>
      <c r="K35" s="2246"/>
      <c r="L35" s="2246"/>
      <c r="M35" s="2246"/>
      <c r="N35" s="2246"/>
      <c r="O35" s="2246"/>
      <c r="P35" s="2246"/>
      <c r="Q35" s="2246"/>
      <c r="R35" s="2258">
        <v>0.3</v>
      </c>
      <c r="S35" s="2258"/>
      <c r="T35" s="2258"/>
      <c r="U35" s="2258"/>
      <c r="V35" s="2258">
        <v>0.4</v>
      </c>
      <c r="W35" s="2258"/>
      <c r="X35" s="2258"/>
      <c r="Y35" s="2258"/>
      <c r="Z35" s="2258">
        <v>0.5</v>
      </c>
      <c r="AA35" s="2258"/>
      <c r="AB35" s="2258"/>
      <c r="AC35" s="2258"/>
      <c r="AD35" s="2258">
        <v>0.6</v>
      </c>
      <c r="AE35" s="2258"/>
      <c r="AF35" s="2258"/>
      <c r="AG35" s="2258"/>
      <c r="AH35" s="2258">
        <v>0.7</v>
      </c>
      <c r="AI35" s="2258"/>
      <c r="AJ35" s="2258"/>
      <c r="AK35" s="2258"/>
      <c r="AL35" s="2263">
        <v>0.8</v>
      </c>
      <c r="AM35" s="2264"/>
      <c r="AN35" s="2264"/>
      <c r="AO35" s="2265"/>
      <c r="AP35" s="2266">
        <v>1.2</v>
      </c>
      <c r="AQ35" s="2267"/>
      <c r="AR35" s="2268"/>
      <c r="AS35" s="2260" t="s">
        <v>2359</v>
      </c>
      <c r="AT35" s="2261"/>
      <c r="AU35" s="2261"/>
      <c r="AV35" s="2261"/>
      <c r="AW35" s="2261"/>
      <c r="AX35" s="2269"/>
      <c r="AY35" s="2260" t="s">
        <v>2358</v>
      </c>
      <c r="AZ35" s="2261"/>
      <c r="BA35" s="2261"/>
      <c r="BB35" s="2261"/>
      <c r="BC35" s="2261"/>
      <c r="BD35" s="2262"/>
      <c r="BE35" s="1215"/>
    </row>
    <row r="36" spans="1:58" ht="15.75" customHeight="1">
      <c r="A36" s="1208"/>
      <c r="B36" s="2164" t="s">
        <v>2357</v>
      </c>
      <c r="C36" s="2165"/>
      <c r="D36" s="2165"/>
      <c r="E36" s="2165"/>
      <c r="F36" s="2165"/>
      <c r="G36" s="2165"/>
      <c r="H36" s="2165"/>
      <c r="I36" s="2165"/>
      <c r="J36" s="2229" t="s">
        <v>2356</v>
      </c>
      <c r="K36" s="2229"/>
      <c r="L36" s="2229"/>
      <c r="M36" s="2229"/>
      <c r="N36" s="2229">
        <v>55</v>
      </c>
      <c r="O36" s="2229"/>
      <c r="P36" s="2229"/>
      <c r="Q36" s="2229"/>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14"/>
      <c r="AM36" s="2215"/>
      <c r="AN36" s="2215"/>
      <c r="AO36" s="2216"/>
      <c r="AP36" s="2214"/>
      <c r="AQ36" s="2215"/>
      <c r="AR36" s="2216"/>
      <c r="AS36" s="2217">
        <f t="shared" ref="AS36:AS47" si="2">SUM(R36:AR36)</f>
        <v>0</v>
      </c>
      <c r="AT36" s="2218"/>
      <c r="AU36" s="2218"/>
      <c r="AV36" s="2218"/>
      <c r="AW36" s="2218"/>
      <c r="AX36" s="2219"/>
      <c r="AY36" s="2220">
        <f t="shared" ref="AY36:AY47" si="3">AS36/$J$29</f>
        <v>0</v>
      </c>
      <c r="AZ36" s="2221"/>
      <c r="BA36" s="2221"/>
      <c r="BB36" s="2221"/>
      <c r="BC36" s="2221"/>
      <c r="BD36" s="2222"/>
      <c r="BE36" s="1215"/>
    </row>
    <row r="37" spans="1:58" ht="15.75" customHeight="1">
      <c r="A37" s="1208"/>
      <c r="B37" s="2164" t="s">
        <v>2355</v>
      </c>
      <c r="C37" s="2165"/>
      <c r="D37" s="2165"/>
      <c r="E37" s="2165"/>
      <c r="F37" s="2165"/>
      <c r="G37" s="2165"/>
      <c r="H37" s="2165"/>
      <c r="I37" s="2165"/>
      <c r="J37" s="2229" t="s">
        <v>2354</v>
      </c>
      <c r="K37" s="2229"/>
      <c r="L37" s="2229"/>
      <c r="M37" s="2229"/>
      <c r="N37" s="2229">
        <v>55</v>
      </c>
      <c r="O37" s="2229"/>
      <c r="P37" s="2229"/>
      <c r="Q37" s="2229"/>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14"/>
      <c r="AM37" s="2215"/>
      <c r="AN37" s="2215"/>
      <c r="AO37" s="2216"/>
      <c r="AP37" s="2214"/>
      <c r="AQ37" s="2215"/>
      <c r="AR37" s="2216"/>
      <c r="AS37" s="2217">
        <f t="shared" si="2"/>
        <v>0</v>
      </c>
      <c r="AT37" s="2218"/>
      <c r="AU37" s="2218"/>
      <c r="AV37" s="2218"/>
      <c r="AW37" s="2218"/>
      <c r="AX37" s="2219"/>
      <c r="AY37" s="2220">
        <f t="shared" si="3"/>
        <v>0</v>
      </c>
      <c r="AZ37" s="2221"/>
      <c r="BA37" s="2221"/>
      <c r="BB37" s="2221"/>
      <c r="BC37" s="2221"/>
      <c r="BD37" s="2222"/>
      <c r="BE37" s="1215"/>
    </row>
    <row r="38" spans="1:58" ht="15.75" customHeight="1">
      <c r="A38" s="1208"/>
      <c r="B38" s="2164" t="s">
        <v>2353</v>
      </c>
      <c r="C38" s="2165"/>
      <c r="D38" s="2165"/>
      <c r="E38" s="2165"/>
      <c r="F38" s="2165"/>
      <c r="G38" s="2165"/>
      <c r="H38" s="2165"/>
      <c r="I38" s="2165"/>
      <c r="J38" s="2229" t="s">
        <v>2352</v>
      </c>
      <c r="K38" s="2229"/>
      <c r="L38" s="2229"/>
      <c r="M38" s="2229"/>
      <c r="N38" s="2229">
        <v>55</v>
      </c>
      <c r="O38" s="2229"/>
      <c r="P38" s="2229"/>
      <c r="Q38" s="2229"/>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14"/>
      <c r="AM38" s="2215"/>
      <c r="AN38" s="2215"/>
      <c r="AO38" s="2216"/>
      <c r="AP38" s="2214"/>
      <c r="AQ38" s="2215"/>
      <c r="AR38" s="2216"/>
      <c r="AS38" s="2217">
        <f t="shared" si="2"/>
        <v>0</v>
      </c>
      <c r="AT38" s="2218"/>
      <c r="AU38" s="2218"/>
      <c r="AV38" s="2218"/>
      <c r="AW38" s="2218"/>
      <c r="AX38" s="2219"/>
      <c r="AY38" s="2220">
        <f t="shared" si="3"/>
        <v>0</v>
      </c>
      <c r="AZ38" s="2221"/>
      <c r="BA38" s="2221"/>
      <c r="BB38" s="2221"/>
      <c r="BC38" s="2221"/>
      <c r="BD38" s="2222"/>
      <c r="BE38" s="1215"/>
    </row>
    <row r="39" spans="1:58" ht="15.75" customHeight="1">
      <c r="A39" s="1208"/>
      <c r="B39" s="2164" t="s">
        <v>2351</v>
      </c>
      <c r="C39" s="2165"/>
      <c r="D39" s="2165"/>
      <c r="E39" s="2165"/>
      <c r="F39" s="2165"/>
      <c r="G39" s="2165"/>
      <c r="H39" s="2165"/>
      <c r="I39" s="2165"/>
      <c r="J39" s="2229"/>
      <c r="K39" s="2229"/>
      <c r="L39" s="2229"/>
      <c r="M39" s="2229"/>
      <c r="N39" s="2229"/>
      <c r="O39" s="2229"/>
      <c r="P39" s="2229"/>
      <c r="Q39" s="2229"/>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14"/>
      <c r="AM39" s="2215"/>
      <c r="AN39" s="2215"/>
      <c r="AO39" s="2216"/>
      <c r="AP39" s="2214"/>
      <c r="AQ39" s="2215"/>
      <c r="AR39" s="2216"/>
      <c r="AS39" s="2217">
        <f t="shared" si="2"/>
        <v>0</v>
      </c>
      <c r="AT39" s="2218"/>
      <c r="AU39" s="2218"/>
      <c r="AV39" s="2218"/>
      <c r="AW39" s="2218"/>
      <c r="AX39" s="2219"/>
      <c r="AY39" s="2220">
        <f t="shared" si="3"/>
        <v>0</v>
      </c>
      <c r="AZ39" s="2221"/>
      <c r="BA39" s="2221"/>
      <c r="BB39" s="2221"/>
      <c r="BC39" s="2221"/>
      <c r="BD39" s="2222"/>
      <c r="BE39" s="1215"/>
    </row>
    <row r="40" spans="1:58" ht="15.75" customHeight="1">
      <c r="A40" s="1208"/>
      <c r="B40" s="2164" t="s">
        <v>2351</v>
      </c>
      <c r="C40" s="2165"/>
      <c r="D40" s="2165"/>
      <c r="E40" s="2165"/>
      <c r="F40" s="2165"/>
      <c r="G40" s="2165"/>
      <c r="H40" s="2165"/>
      <c r="I40" s="2165"/>
      <c r="J40" s="2229"/>
      <c r="K40" s="2229"/>
      <c r="L40" s="2229"/>
      <c r="M40" s="2229"/>
      <c r="N40" s="2229"/>
      <c r="O40" s="2229"/>
      <c r="P40" s="2229"/>
      <c r="Q40" s="2229"/>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14"/>
      <c r="AM40" s="2215"/>
      <c r="AN40" s="2215"/>
      <c r="AO40" s="2216"/>
      <c r="AP40" s="2214"/>
      <c r="AQ40" s="2215"/>
      <c r="AR40" s="2216"/>
      <c r="AS40" s="2217">
        <f t="shared" si="2"/>
        <v>0</v>
      </c>
      <c r="AT40" s="2218"/>
      <c r="AU40" s="2218"/>
      <c r="AV40" s="2218"/>
      <c r="AW40" s="2218"/>
      <c r="AX40" s="2219"/>
      <c r="AY40" s="2220">
        <f t="shared" si="3"/>
        <v>0</v>
      </c>
      <c r="AZ40" s="2221"/>
      <c r="BA40" s="2221"/>
      <c r="BB40" s="2221"/>
      <c r="BC40" s="2221"/>
      <c r="BD40" s="2222"/>
      <c r="BE40" s="1215"/>
    </row>
    <row r="41" spans="1:58" ht="15.75" customHeight="1">
      <c r="A41" s="1208"/>
      <c r="B41" s="2164" t="s">
        <v>2350</v>
      </c>
      <c r="C41" s="2165"/>
      <c r="D41" s="2165"/>
      <c r="E41" s="2165"/>
      <c r="F41" s="2165"/>
      <c r="G41" s="2165"/>
      <c r="H41" s="2165"/>
      <c r="I41" s="2165"/>
      <c r="J41" s="2229"/>
      <c r="K41" s="2229"/>
      <c r="L41" s="2229"/>
      <c r="M41" s="2229"/>
      <c r="N41" s="2229"/>
      <c r="O41" s="2229"/>
      <c r="P41" s="2229"/>
      <c r="Q41" s="2229"/>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14"/>
      <c r="AM41" s="2215"/>
      <c r="AN41" s="2215"/>
      <c r="AO41" s="2216"/>
      <c r="AP41" s="2214"/>
      <c r="AQ41" s="2215"/>
      <c r="AR41" s="2216"/>
      <c r="AS41" s="2217">
        <f t="shared" si="2"/>
        <v>0</v>
      </c>
      <c r="AT41" s="2218"/>
      <c r="AU41" s="2218"/>
      <c r="AV41" s="2218"/>
      <c r="AW41" s="2218"/>
      <c r="AX41" s="2219"/>
      <c r="AY41" s="2220">
        <f t="shared" si="3"/>
        <v>0</v>
      </c>
      <c r="AZ41" s="2221"/>
      <c r="BA41" s="2221"/>
      <c r="BB41" s="2221"/>
      <c r="BC41" s="2221"/>
      <c r="BD41" s="2222"/>
      <c r="BE41" s="1215"/>
    </row>
    <row r="42" spans="1:58" ht="15.75" customHeight="1">
      <c r="A42" s="1208"/>
      <c r="B42" s="2164" t="s">
        <v>2350</v>
      </c>
      <c r="C42" s="2165"/>
      <c r="D42" s="2165"/>
      <c r="E42" s="2165"/>
      <c r="F42" s="2165"/>
      <c r="G42" s="2165"/>
      <c r="H42" s="2165"/>
      <c r="I42" s="2165"/>
      <c r="J42" s="2229"/>
      <c r="K42" s="2229"/>
      <c r="L42" s="2229"/>
      <c r="M42" s="2229"/>
      <c r="N42" s="2229"/>
      <c r="O42" s="2229"/>
      <c r="P42" s="2229"/>
      <c r="Q42" s="2229"/>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14"/>
      <c r="AM42" s="2215"/>
      <c r="AN42" s="2215"/>
      <c r="AO42" s="2216"/>
      <c r="AP42" s="2214"/>
      <c r="AQ42" s="2215"/>
      <c r="AR42" s="2216"/>
      <c r="AS42" s="2217">
        <f t="shared" si="2"/>
        <v>0</v>
      </c>
      <c r="AT42" s="2218"/>
      <c r="AU42" s="2218"/>
      <c r="AV42" s="2218"/>
      <c r="AW42" s="2218"/>
      <c r="AX42" s="2219"/>
      <c r="AY42" s="2220">
        <f t="shared" si="3"/>
        <v>0</v>
      </c>
      <c r="AZ42" s="2221"/>
      <c r="BA42" s="2221"/>
      <c r="BB42" s="2221"/>
      <c r="BC42" s="2221"/>
      <c r="BD42" s="2222"/>
      <c r="BE42" s="1215"/>
    </row>
    <row r="43" spans="1:58" ht="15.75" customHeight="1">
      <c r="A43" s="1208"/>
      <c r="B43" s="2169" t="s">
        <v>2349</v>
      </c>
      <c r="C43" s="2170"/>
      <c r="D43" s="2170"/>
      <c r="E43" s="2170"/>
      <c r="F43" s="2170"/>
      <c r="G43" s="2170"/>
      <c r="H43" s="2170"/>
      <c r="I43" s="2170"/>
      <c r="J43" s="2229"/>
      <c r="K43" s="2229"/>
      <c r="L43" s="2229"/>
      <c r="M43" s="2229"/>
      <c r="N43" s="2229"/>
      <c r="O43" s="2229"/>
      <c r="P43" s="2229"/>
      <c r="Q43" s="2229"/>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14"/>
      <c r="AM43" s="2215"/>
      <c r="AN43" s="2215"/>
      <c r="AO43" s="2216"/>
      <c r="AP43" s="2214"/>
      <c r="AQ43" s="2215"/>
      <c r="AR43" s="2216"/>
      <c r="AS43" s="2217">
        <f t="shared" si="2"/>
        <v>0</v>
      </c>
      <c r="AT43" s="2218"/>
      <c r="AU43" s="2218"/>
      <c r="AV43" s="2218"/>
      <c r="AW43" s="2218"/>
      <c r="AX43" s="2219"/>
      <c r="AY43" s="2220">
        <f t="shared" si="3"/>
        <v>0</v>
      </c>
      <c r="AZ43" s="2221"/>
      <c r="BA43" s="2221"/>
      <c r="BB43" s="2221"/>
      <c r="BC43" s="2221"/>
      <c r="BD43" s="2222"/>
      <c r="BE43" s="1215"/>
    </row>
    <row r="44" spans="1:58" ht="15.75" customHeight="1">
      <c r="A44" s="1208"/>
      <c r="B44" s="2169" t="s">
        <v>2348</v>
      </c>
      <c r="C44" s="2170"/>
      <c r="D44" s="2170"/>
      <c r="E44" s="2170"/>
      <c r="F44" s="2170"/>
      <c r="G44" s="2170"/>
      <c r="H44" s="2170"/>
      <c r="I44" s="2170"/>
      <c r="J44" s="2229"/>
      <c r="K44" s="2229"/>
      <c r="L44" s="2229"/>
      <c r="M44" s="2229"/>
      <c r="N44" s="2229"/>
      <c r="O44" s="2229"/>
      <c r="P44" s="2229"/>
      <c r="Q44" s="2229"/>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14"/>
      <c r="AM44" s="2215"/>
      <c r="AN44" s="2215"/>
      <c r="AO44" s="2216"/>
      <c r="AP44" s="2214"/>
      <c r="AQ44" s="2215"/>
      <c r="AR44" s="2216"/>
      <c r="AS44" s="2217">
        <f t="shared" si="2"/>
        <v>0</v>
      </c>
      <c r="AT44" s="2218"/>
      <c r="AU44" s="2218"/>
      <c r="AV44" s="2218"/>
      <c r="AW44" s="2218"/>
      <c r="AX44" s="2219"/>
      <c r="AY44" s="2220">
        <f t="shared" si="3"/>
        <v>0</v>
      </c>
      <c r="AZ44" s="2221"/>
      <c r="BA44" s="2221"/>
      <c r="BB44" s="2221"/>
      <c r="BC44" s="2221"/>
      <c r="BD44" s="2222"/>
      <c r="BE44" s="1215"/>
    </row>
    <row r="45" spans="1:58" ht="15.75" customHeight="1">
      <c r="A45" s="1208"/>
      <c r="B45" s="2169" t="s">
        <v>2347</v>
      </c>
      <c r="C45" s="2170"/>
      <c r="D45" s="2170"/>
      <c r="E45" s="2170"/>
      <c r="F45" s="2170"/>
      <c r="G45" s="2170"/>
      <c r="H45" s="2170"/>
      <c r="I45" s="2170"/>
      <c r="J45" s="2229"/>
      <c r="K45" s="2229"/>
      <c r="L45" s="2229"/>
      <c r="M45" s="2229"/>
      <c r="N45" s="2229"/>
      <c r="O45" s="2229"/>
      <c r="P45" s="2229"/>
      <c r="Q45" s="2229"/>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14"/>
      <c r="AM45" s="2215"/>
      <c r="AN45" s="2215"/>
      <c r="AO45" s="2216"/>
      <c r="AP45" s="2214"/>
      <c r="AQ45" s="2215"/>
      <c r="AR45" s="2216"/>
      <c r="AS45" s="2217">
        <f t="shared" si="2"/>
        <v>0</v>
      </c>
      <c r="AT45" s="2218"/>
      <c r="AU45" s="2218"/>
      <c r="AV45" s="2218"/>
      <c r="AW45" s="2218"/>
      <c r="AX45" s="2219"/>
      <c r="AY45" s="2220">
        <f t="shared" si="3"/>
        <v>0</v>
      </c>
      <c r="AZ45" s="2221"/>
      <c r="BA45" s="2221"/>
      <c r="BB45" s="2221"/>
      <c r="BC45" s="2221"/>
      <c r="BD45" s="2222"/>
      <c r="BE45" s="1215"/>
    </row>
    <row r="46" spans="1:58" ht="15.75" customHeight="1">
      <c r="A46" s="1208"/>
      <c r="B46" s="2169" t="s">
        <v>2279</v>
      </c>
      <c r="C46" s="2170"/>
      <c r="D46" s="2170"/>
      <c r="E46" s="2170"/>
      <c r="F46" s="2170"/>
      <c r="G46" s="2170"/>
      <c r="H46" s="2170"/>
      <c r="I46" s="2170"/>
      <c r="J46" s="2229"/>
      <c r="K46" s="2229"/>
      <c r="L46" s="2229"/>
      <c r="M46" s="2229"/>
      <c r="N46" s="2229">
        <v>99</v>
      </c>
      <c r="O46" s="2229"/>
      <c r="P46" s="2229"/>
      <c r="Q46" s="2229"/>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14"/>
      <c r="AM46" s="2215"/>
      <c r="AN46" s="2215"/>
      <c r="AO46" s="2216"/>
      <c r="AP46" s="2214"/>
      <c r="AQ46" s="2215"/>
      <c r="AR46" s="2216"/>
      <c r="AS46" s="2217">
        <f t="shared" si="2"/>
        <v>0</v>
      </c>
      <c r="AT46" s="2218"/>
      <c r="AU46" s="2218"/>
      <c r="AV46" s="2218"/>
      <c r="AW46" s="2218"/>
      <c r="AX46" s="2219"/>
      <c r="AY46" s="2220">
        <f t="shared" si="3"/>
        <v>0</v>
      </c>
      <c r="AZ46" s="2221"/>
      <c r="BA46" s="2221"/>
      <c r="BB46" s="2221"/>
      <c r="BC46" s="2221"/>
      <c r="BD46" s="2222"/>
      <c r="BE46" s="1215"/>
    </row>
    <row r="47" spans="1:58" ht="15.75" customHeight="1" thickBot="1">
      <c r="A47" s="1208"/>
      <c r="B47" s="2223" t="s">
        <v>300</v>
      </c>
      <c r="C47" s="2224"/>
      <c r="D47" s="2224"/>
      <c r="E47" s="2224"/>
      <c r="F47" s="2224"/>
      <c r="G47" s="2224"/>
      <c r="H47" s="2224"/>
      <c r="I47" s="2224"/>
      <c r="J47" s="2225"/>
      <c r="K47" s="2225"/>
      <c r="L47" s="2225"/>
      <c r="M47" s="2225"/>
      <c r="N47" s="2225"/>
      <c r="O47" s="2225"/>
      <c r="P47" s="2225"/>
      <c r="Q47" s="2225"/>
      <c r="R47" s="2210"/>
      <c r="S47" s="2210"/>
      <c r="T47" s="2210"/>
      <c r="U47" s="2210"/>
      <c r="V47" s="2210"/>
      <c r="W47" s="2210"/>
      <c r="X47" s="2210"/>
      <c r="Y47" s="2210"/>
      <c r="Z47" s="2210"/>
      <c r="AA47" s="2210"/>
      <c r="AB47" s="2210"/>
      <c r="AC47" s="2210"/>
      <c r="AD47" s="2210"/>
      <c r="AE47" s="2210"/>
      <c r="AF47" s="2210"/>
      <c r="AG47" s="2210"/>
      <c r="AH47" s="2210"/>
      <c r="AI47" s="2210"/>
      <c r="AJ47" s="2210"/>
      <c r="AK47" s="2210"/>
      <c r="AL47" s="2211"/>
      <c r="AM47" s="2212"/>
      <c r="AN47" s="2212"/>
      <c r="AO47" s="2213"/>
      <c r="AP47" s="2211"/>
      <c r="AQ47" s="2212"/>
      <c r="AR47" s="2213"/>
      <c r="AS47" s="2217">
        <f t="shared" si="2"/>
        <v>0</v>
      </c>
      <c r="AT47" s="2218"/>
      <c r="AU47" s="2218"/>
      <c r="AV47" s="2218"/>
      <c r="AW47" s="2218"/>
      <c r="AX47" s="2219"/>
      <c r="AY47" s="2226">
        <f t="shared" si="3"/>
        <v>0</v>
      </c>
      <c r="AZ47" s="2227"/>
      <c r="BA47" s="2227"/>
      <c r="BB47" s="2227"/>
      <c r="BC47" s="2227"/>
      <c r="BD47" s="2228"/>
      <c r="BE47" s="1215"/>
    </row>
    <row r="48" spans="1:58" ht="15.75" customHeight="1">
      <c r="A48" s="1208"/>
      <c r="B48" s="1217" t="s">
        <v>2346</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2345</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88" t="s">
        <v>2344</v>
      </c>
      <c r="C50" s="2044"/>
      <c r="D50" s="2044"/>
      <c r="E50" s="2044"/>
      <c r="F50" s="2044"/>
      <c r="G50" s="2044"/>
      <c r="H50" s="2044"/>
      <c r="I50" s="2044"/>
      <c r="J50" s="2044"/>
      <c r="K50" s="2044"/>
      <c r="L50" s="2044"/>
      <c r="M50" s="2044"/>
      <c r="N50" s="2044"/>
      <c r="O50" s="2044"/>
      <c r="P50" s="2044"/>
      <c r="Q50" s="2044"/>
      <c r="R50" s="2044"/>
      <c r="S50" s="2044"/>
      <c r="T50" s="2044"/>
      <c r="U50" s="2044"/>
      <c r="V50" s="2044"/>
      <c r="W50" s="2044"/>
      <c r="X50" s="2044"/>
      <c r="Y50" s="2044"/>
      <c r="Z50" s="2044"/>
      <c r="AA50" s="2044"/>
      <c r="AB50" s="2044"/>
      <c r="AC50" s="2044"/>
      <c r="AD50" s="2044"/>
      <c r="AE50" s="2044"/>
      <c r="AF50" s="2044"/>
      <c r="AG50" s="2044"/>
      <c r="AH50" s="2044"/>
      <c r="AI50" s="2044"/>
      <c r="AJ50" s="2044"/>
      <c r="AK50" s="2044"/>
      <c r="AL50" s="2044"/>
      <c r="AM50" s="2044"/>
      <c r="AN50" s="2044"/>
      <c r="AO50" s="2045"/>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22" t="s">
        <v>2337</v>
      </c>
      <c r="C51" s="2116"/>
      <c r="D51" s="2116"/>
      <c r="E51" s="2116"/>
      <c r="F51" s="2116"/>
      <c r="G51" s="2116"/>
      <c r="H51" s="2116"/>
      <c r="I51" s="2116"/>
      <c r="J51" s="2116" t="s">
        <v>2343</v>
      </c>
      <c r="K51" s="2116"/>
      <c r="L51" s="2116"/>
      <c r="M51" s="2116"/>
      <c r="N51" s="2116"/>
      <c r="O51" s="2116"/>
      <c r="P51" s="2116"/>
      <c r="Q51" s="2116"/>
      <c r="R51" s="2208" t="s">
        <v>2342</v>
      </c>
      <c r="S51" s="2208"/>
      <c r="T51" s="2208"/>
      <c r="U51" s="2208"/>
      <c r="V51" s="2208"/>
      <c r="W51" s="2208"/>
      <c r="X51" s="2208"/>
      <c r="Y51" s="2208"/>
      <c r="Z51" s="2208" t="s">
        <v>2341</v>
      </c>
      <c r="AA51" s="2208"/>
      <c r="AB51" s="2208"/>
      <c r="AC51" s="2208"/>
      <c r="AD51" s="2208"/>
      <c r="AE51" s="2208"/>
      <c r="AF51" s="2208"/>
      <c r="AG51" s="2208"/>
      <c r="AH51" s="2208" t="s">
        <v>2340</v>
      </c>
      <c r="AI51" s="2208"/>
      <c r="AJ51" s="2208"/>
      <c r="AK51" s="2208"/>
      <c r="AL51" s="2208"/>
      <c r="AM51" s="2208"/>
      <c r="AN51" s="2208"/>
      <c r="AO51" s="2209"/>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69" t="s">
        <v>2339</v>
      </c>
      <c r="C52" s="2170"/>
      <c r="D52" s="2170"/>
      <c r="E52" s="2170"/>
      <c r="F52" s="2170"/>
      <c r="G52" s="2170"/>
      <c r="H52" s="2170"/>
      <c r="I52" s="2170"/>
      <c r="J52" s="2005">
        <v>0</v>
      </c>
      <c r="K52" s="2005"/>
      <c r="L52" s="2005"/>
      <c r="M52" s="2005"/>
      <c r="N52" s="2005"/>
      <c r="O52" s="2005"/>
      <c r="P52" s="2005"/>
      <c r="Q52" s="2005"/>
      <c r="R52" s="2200">
        <v>0</v>
      </c>
      <c r="S52" s="2200"/>
      <c r="T52" s="2200"/>
      <c r="U52" s="2200"/>
      <c r="V52" s="2200"/>
      <c r="W52" s="2200"/>
      <c r="X52" s="2200"/>
      <c r="Y52" s="2200"/>
      <c r="Z52" s="2201">
        <v>0</v>
      </c>
      <c r="AA52" s="2201"/>
      <c r="AB52" s="2201"/>
      <c r="AC52" s="2201"/>
      <c r="AD52" s="2201"/>
      <c r="AE52" s="2201"/>
      <c r="AF52" s="2201"/>
      <c r="AG52" s="2201"/>
      <c r="AH52" s="2202"/>
      <c r="AI52" s="2202"/>
      <c r="AJ52" s="2202"/>
      <c r="AK52" s="2202"/>
      <c r="AL52" s="2202"/>
      <c r="AM52" s="2202"/>
      <c r="AN52" s="2202"/>
      <c r="AO52" s="2203"/>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69" t="s">
        <v>2338</v>
      </c>
      <c r="C53" s="2170"/>
      <c r="D53" s="2170"/>
      <c r="E53" s="2170"/>
      <c r="F53" s="2170"/>
      <c r="G53" s="2170"/>
      <c r="H53" s="2170"/>
      <c r="I53" s="2170"/>
      <c r="J53" s="2005">
        <v>0</v>
      </c>
      <c r="K53" s="2005"/>
      <c r="L53" s="2005"/>
      <c r="M53" s="2005"/>
      <c r="N53" s="2005"/>
      <c r="O53" s="2005"/>
      <c r="P53" s="2005"/>
      <c r="Q53" s="2005"/>
      <c r="R53" s="2200">
        <v>0</v>
      </c>
      <c r="S53" s="2200"/>
      <c r="T53" s="2200"/>
      <c r="U53" s="2200"/>
      <c r="V53" s="2200"/>
      <c r="W53" s="2200"/>
      <c r="X53" s="2200"/>
      <c r="Y53" s="2200"/>
      <c r="Z53" s="2201">
        <v>0</v>
      </c>
      <c r="AA53" s="2201"/>
      <c r="AB53" s="2201"/>
      <c r="AC53" s="2201"/>
      <c r="AD53" s="2201"/>
      <c r="AE53" s="2201"/>
      <c r="AF53" s="2201"/>
      <c r="AG53" s="2201"/>
      <c r="AH53" s="2202"/>
      <c r="AI53" s="2202"/>
      <c r="AJ53" s="2202"/>
      <c r="AK53" s="2202"/>
      <c r="AL53" s="2202"/>
      <c r="AM53" s="2202"/>
      <c r="AN53" s="2202"/>
      <c r="AO53" s="2203"/>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69"/>
      <c r="C54" s="2170"/>
      <c r="D54" s="2170"/>
      <c r="E54" s="2170"/>
      <c r="F54" s="2170"/>
      <c r="G54" s="2170"/>
      <c r="H54" s="2170"/>
      <c r="I54" s="2170"/>
      <c r="J54" s="2005"/>
      <c r="K54" s="2005"/>
      <c r="L54" s="2005"/>
      <c r="M54" s="2005"/>
      <c r="N54" s="2005"/>
      <c r="O54" s="2005"/>
      <c r="P54" s="2005"/>
      <c r="Q54" s="2005"/>
      <c r="R54" s="2200"/>
      <c r="S54" s="2200"/>
      <c r="T54" s="2200"/>
      <c r="U54" s="2200"/>
      <c r="V54" s="2200"/>
      <c r="W54" s="2200"/>
      <c r="X54" s="2200"/>
      <c r="Y54" s="2200"/>
      <c r="Z54" s="2201"/>
      <c r="AA54" s="2201"/>
      <c r="AB54" s="2201"/>
      <c r="AC54" s="2201"/>
      <c r="AD54" s="2201"/>
      <c r="AE54" s="2201"/>
      <c r="AF54" s="2201"/>
      <c r="AG54" s="2201"/>
      <c r="AH54" s="2202"/>
      <c r="AI54" s="2202"/>
      <c r="AJ54" s="2202"/>
      <c r="AK54" s="2202"/>
      <c r="AL54" s="2202"/>
      <c r="AM54" s="2202"/>
      <c r="AN54" s="2202"/>
      <c r="AO54" s="2203"/>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69"/>
      <c r="C55" s="2170"/>
      <c r="D55" s="2170"/>
      <c r="E55" s="2170"/>
      <c r="F55" s="2170"/>
      <c r="G55" s="2170"/>
      <c r="H55" s="2170"/>
      <c r="I55" s="2170"/>
      <c r="J55" s="2005"/>
      <c r="K55" s="2005"/>
      <c r="L55" s="2005"/>
      <c r="M55" s="2005"/>
      <c r="N55" s="2005"/>
      <c r="O55" s="2005"/>
      <c r="P55" s="2005"/>
      <c r="Q55" s="2005"/>
      <c r="R55" s="2200"/>
      <c r="S55" s="2200"/>
      <c r="T55" s="2200"/>
      <c r="U55" s="2200"/>
      <c r="V55" s="2200"/>
      <c r="W55" s="2200"/>
      <c r="X55" s="2200"/>
      <c r="Y55" s="2200"/>
      <c r="Z55" s="2201"/>
      <c r="AA55" s="2201"/>
      <c r="AB55" s="2201"/>
      <c r="AC55" s="2201"/>
      <c r="AD55" s="2201"/>
      <c r="AE55" s="2201"/>
      <c r="AF55" s="2201"/>
      <c r="AG55" s="2201"/>
      <c r="AH55" s="2202"/>
      <c r="AI55" s="2202"/>
      <c r="AJ55" s="2202"/>
      <c r="AK55" s="2202"/>
      <c r="AL55" s="2202"/>
      <c r="AM55" s="2202"/>
      <c r="AN55" s="2202"/>
      <c r="AO55" s="2203"/>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169"/>
      <c r="C56" s="2170"/>
      <c r="D56" s="2170"/>
      <c r="E56" s="2170"/>
      <c r="F56" s="2170"/>
      <c r="G56" s="2170"/>
      <c r="H56" s="2170"/>
      <c r="I56" s="2170"/>
      <c r="J56" s="2005"/>
      <c r="K56" s="2005"/>
      <c r="L56" s="2005"/>
      <c r="M56" s="2005"/>
      <c r="N56" s="2005"/>
      <c r="O56" s="2005"/>
      <c r="P56" s="2005"/>
      <c r="Q56" s="2005"/>
      <c r="R56" s="2200"/>
      <c r="S56" s="2200"/>
      <c r="T56" s="2200"/>
      <c r="U56" s="2200"/>
      <c r="V56" s="2200"/>
      <c r="W56" s="2200"/>
      <c r="X56" s="2200"/>
      <c r="Y56" s="2200"/>
      <c r="Z56" s="2201"/>
      <c r="AA56" s="2201"/>
      <c r="AB56" s="2201"/>
      <c r="AC56" s="2201"/>
      <c r="AD56" s="2201"/>
      <c r="AE56" s="2201"/>
      <c r="AF56" s="2201"/>
      <c r="AG56" s="2201"/>
      <c r="AH56" s="2202"/>
      <c r="AI56" s="2202"/>
      <c r="AJ56" s="2202"/>
      <c r="AK56" s="2202"/>
      <c r="AL56" s="2202"/>
      <c r="AM56" s="2202"/>
      <c r="AN56" s="2202"/>
      <c r="AO56" s="2203"/>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50" t="s">
        <v>1575</v>
      </c>
      <c r="C57" s="2151"/>
      <c r="D57" s="2151"/>
      <c r="E57" s="2151"/>
      <c r="F57" s="2151"/>
      <c r="G57" s="2151"/>
      <c r="H57" s="2151"/>
      <c r="I57" s="2151"/>
      <c r="J57" s="2151"/>
      <c r="K57" s="2151"/>
      <c r="L57" s="2151"/>
      <c r="M57" s="2151"/>
      <c r="N57" s="2151"/>
      <c r="O57" s="2151"/>
      <c r="P57" s="2151"/>
      <c r="Q57" s="2151"/>
      <c r="R57" s="2204">
        <f>SUM(R52:Y56)</f>
        <v>0</v>
      </c>
      <c r="S57" s="2204"/>
      <c r="T57" s="2204"/>
      <c r="U57" s="2204"/>
      <c r="V57" s="2204"/>
      <c r="W57" s="2204"/>
      <c r="X57" s="2204"/>
      <c r="Y57" s="2204"/>
      <c r="Z57" s="2205">
        <f>SUM(Z52:AG56)</f>
        <v>0</v>
      </c>
      <c r="AA57" s="2205"/>
      <c r="AB57" s="2205"/>
      <c r="AC57" s="2205"/>
      <c r="AD57" s="2205"/>
      <c r="AE57" s="2205"/>
      <c r="AF57" s="2205"/>
      <c r="AG57" s="2205"/>
      <c r="AH57" s="2206"/>
      <c r="AI57" s="2206"/>
      <c r="AJ57" s="2206"/>
      <c r="AK57" s="2206"/>
      <c r="AL57" s="2206"/>
      <c r="AM57" s="2206"/>
      <c r="AN57" s="2206"/>
      <c r="AO57" s="2207"/>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97" t="s">
        <v>2337</v>
      </c>
      <c r="C59" s="2198"/>
      <c r="D59" s="2198"/>
      <c r="E59" s="2198"/>
      <c r="F59" s="2198"/>
      <c r="G59" s="2198"/>
      <c r="H59" s="2198"/>
      <c r="I59" s="2199"/>
      <c r="J59" s="2120" t="s">
        <v>2336</v>
      </c>
      <c r="K59" s="2120"/>
      <c r="L59" s="2120"/>
      <c r="M59" s="2120"/>
      <c r="N59" s="2120"/>
      <c r="O59" s="2120"/>
      <c r="P59" s="2120"/>
      <c r="Q59" s="2120"/>
      <c r="R59" s="2120"/>
      <c r="S59" s="2120"/>
      <c r="T59" s="2120"/>
      <c r="U59" s="2120"/>
      <c r="V59" s="2120"/>
      <c r="W59" s="2120"/>
      <c r="X59" s="2120"/>
      <c r="Y59" s="2120"/>
      <c r="Z59" s="2120"/>
      <c r="AA59" s="2120"/>
      <c r="AB59" s="2120"/>
      <c r="AC59" s="2120"/>
      <c r="AD59" s="2120"/>
      <c r="AE59" s="2120"/>
      <c r="AF59" s="2120"/>
      <c r="AG59" s="2120"/>
      <c r="AH59" s="2120"/>
      <c r="AI59" s="2120"/>
      <c r="AJ59" s="2120"/>
      <c r="AK59" s="2120"/>
      <c r="AL59" s="2120"/>
      <c r="AM59" s="2120"/>
      <c r="AN59" s="2120"/>
      <c r="AO59" s="2120"/>
      <c r="AP59" s="2120"/>
      <c r="AQ59" s="2120"/>
      <c r="AR59" s="2120"/>
      <c r="AS59" s="2120"/>
      <c r="AT59" s="2120"/>
      <c r="AU59" s="2120"/>
      <c r="AV59" s="2120"/>
      <c r="AW59" s="2121"/>
      <c r="AX59" s="1208"/>
      <c r="AY59" s="1208"/>
      <c r="AZ59" s="1208"/>
      <c r="BA59" s="1208"/>
      <c r="BB59" s="1208"/>
      <c r="BC59" s="1208"/>
      <c r="BD59" s="1208"/>
      <c r="BE59" s="1215"/>
    </row>
    <row r="60" spans="1:77" ht="15.75" customHeight="1">
      <c r="A60" s="1208"/>
      <c r="B60" s="2189" t="str">
        <f>IF(B52="", "", B52)</f>
        <v>Services Company 1</v>
      </c>
      <c r="C60" s="2190"/>
      <c r="D60" s="2190"/>
      <c r="E60" s="2190"/>
      <c r="F60" s="2190"/>
      <c r="G60" s="2190"/>
      <c r="H60" s="2190"/>
      <c r="I60" s="2191"/>
      <c r="J60" s="2192"/>
      <c r="K60" s="2008"/>
      <c r="L60" s="2008"/>
      <c r="M60" s="2008"/>
      <c r="N60" s="2008"/>
      <c r="O60" s="2008"/>
      <c r="P60" s="2008"/>
      <c r="Q60" s="2008"/>
      <c r="R60" s="2008"/>
      <c r="S60" s="2008"/>
      <c r="T60" s="2008"/>
      <c r="U60" s="2008"/>
      <c r="V60" s="2008"/>
      <c r="W60" s="2008"/>
      <c r="X60" s="2008"/>
      <c r="Y60" s="2008"/>
      <c r="Z60" s="2008"/>
      <c r="AA60" s="2008"/>
      <c r="AB60" s="2008"/>
      <c r="AC60" s="2008"/>
      <c r="AD60" s="2008"/>
      <c r="AE60" s="2008"/>
      <c r="AF60" s="2008"/>
      <c r="AG60" s="2008"/>
      <c r="AH60" s="2008"/>
      <c r="AI60" s="2008"/>
      <c r="AJ60" s="2008"/>
      <c r="AK60" s="2008"/>
      <c r="AL60" s="2008"/>
      <c r="AM60" s="2008"/>
      <c r="AN60" s="2008"/>
      <c r="AO60" s="2008"/>
      <c r="AP60" s="2008"/>
      <c r="AQ60" s="2008"/>
      <c r="AR60" s="2008"/>
      <c r="AS60" s="2008"/>
      <c r="AT60" s="2008"/>
      <c r="AU60" s="2008"/>
      <c r="AV60" s="2008"/>
      <c r="AW60" s="2009"/>
      <c r="AX60" s="1208"/>
      <c r="AY60" s="1208"/>
      <c r="AZ60" s="1208"/>
      <c r="BA60" s="1208"/>
      <c r="BB60" s="1208"/>
      <c r="BC60" s="1208"/>
      <c r="BD60" s="1208"/>
      <c r="BE60" s="1215"/>
    </row>
    <row r="61" spans="1:77" ht="15.75" customHeight="1">
      <c r="A61" s="1208"/>
      <c r="B61" s="2189" t="str">
        <f>IF(B53="", "", B53)</f>
        <v>Services Company 2</v>
      </c>
      <c r="C61" s="2190"/>
      <c r="D61" s="2190"/>
      <c r="E61" s="2190"/>
      <c r="F61" s="2190"/>
      <c r="G61" s="2190"/>
      <c r="H61" s="2190"/>
      <c r="I61" s="2191"/>
      <c r="J61" s="2192"/>
      <c r="K61" s="2008"/>
      <c r="L61" s="2008"/>
      <c r="M61" s="2008"/>
      <c r="N61" s="2008"/>
      <c r="O61" s="2008"/>
      <c r="P61" s="2008"/>
      <c r="Q61" s="2008"/>
      <c r="R61" s="2008"/>
      <c r="S61" s="2008"/>
      <c r="T61" s="2008"/>
      <c r="U61" s="2008"/>
      <c r="V61" s="2008"/>
      <c r="W61" s="2008"/>
      <c r="X61" s="2008"/>
      <c r="Y61" s="2008"/>
      <c r="Z61" s="2008"/>
      <c r="AA61" s="2008"/>
      <c r="AB61" s="2008"/>
      <c r="AC61" s="2008"/>
      <c r="AD61" s="2008"/>
      <c r="AE61" s="2008"/>
      <c r="AF61" s="2008"/>
      <c r="AG61" s="2008"/>
      <c r="AH61" s="2008"/>
      <c r="AI61" s="2008"/>
      <c r="AJ61" s="2008"/>
      <c r="AK61" s="2008"/>
      <c r="AL61" s="2008"/>
      <c r="AM61" s="2008"/>
      <c r="AN61" s="2008"/>
      <c r="AO61" s="2008"/>
      <c r="AP61" s="2008"/>
      <c r="AQ61" s="2008"/>
      <c r="AR61" s="2008"/>
      <c r="AS61" s="2008"/>
      <c r="AT61" s="2008"/>
      <c r="AU61" s="2008"/>
      <c r="AV61" s="2008"/>
      <c r="AW61" s="2009"/>
      <c r="AX61" s="1208"/>
      <c r="AY61" s="1208"/>
      <c r="AZ61" s="1208"/>
      <c r="BA61" s="1208"/>
      <c r="BB61" s="1208"/>
      <c r="BC61" s="1208"/>
      <c r="BD61" s="1208"/>
      <c r="BE61" s="1215"/>
    </row>
    <row r="62" spans="1:77" ht="15.75" customHeight="1">
      <c r="A62" s="1208"/>
      <c r="B62" s="2189" t="str">
        <f>IF(B54="", "", B54)</f>
        <v/>
      </c>
      <c r="C62" s="2190"/>
      <c r="D62" s="2190"/>
      <c r="E62" s="2190"/>
      <c r="F62" s="2190"/>
      <c r="G62" s="2190"/>
      <c r="H62" s="2190"/>
      <c r="I62" s="2191"/>
      <c r="J62" s="2192"/>
      <c r="K62" s="2008"/>
      <c r="L62" s="2008"/>
      <c r="M62" s="2008"/>
      <c r="N62" s="2008"/>
      <c r="O62" s="2008"/>
      <c r="P62" s="2008"/>
      <c r="Q62" s="2008"/>
      <c r="R62" s="2008"/>
      <c r="S62" s="2008"/>
      <c r="T62" s="2008"/>
      <c r="U62" s="2008"/>
      <c r="V62" s="2008"/>
      <c r="W62" s="2008"/>
      <c r="X62" s="2008"/>
      <c r="Y62" s="2008"/>
      <c r="Z62" s="2008"/>
      <c r="AA62" s="2008"/>
      <c r="AB62" s="2008"/>
      <c r="AC62" s="2008"/>
      <c r="AD62" s="2008"/>
      <c r="AE62" s="2008"/>
      <c r="AF62" s="2008"/>
      <c r="AG62" s="2008"/>
      <c r="AH62" s="2008"/>
      <c r="AI62" s="2008"/>
      <c r="AJ62" s="2008"/>
      <c r="AK62" s="2008"/>
      <c r="AL62" s="2008"/>
      <c r="AM62" s="2008"/>
      <c r="AN62" s="2008"/>
      <c r="AO62" s="2008"/>
      <c r="AP62" s="2008"/>
      <c r="AQ62" s="2008"/>
      <c r="AR62" s="2008"/>
      <c r="AS62" s="2008"/>
      <c r="AT62" s="2008"/>
      <c r="AU62" s="2008"/>
      <c r="AV62" s="2008"/>
      <c r="AW62" s="2009"/>
      <c r="AX62" s="1208"/>
      <c r="AY62" s="1208"/>
      <c r="AZ62" s="1208"/>
      <c r="BA62" s="1208"/>
      <c r="BB62" s="1208"/>
      <c r="BC62" s="1208"/>
      <c r="BD62" s="1208"/>
      <c r="BE62" s="1215"/>
    </row>
    <row r="63" spans="1:77" ht="15.75" customHeight="1">
      <c r="A63" s="1208"/>
      <c r="B63" s="2189" t="str">
        <f>IF(B55="", "", B55)</f>
        <v/>
      </c>
      <c r="C63" s="2190"/>
      <c r="D63" s="2190"/>
      <c r="E63" s="2190"/>
      <c r="F63" s="2190"/>
      <c r="G63" s="2190"/>
      <c r="H63" s="2190"/>
      <c r="I63" s="2191"/>
      <c r="J63" s="2192"/>
      <c r="K63" s="2008"/>
      <c r="L63" s="2008"/>
      <c r="M63" s="2008"/>
      <c r="N63" s="2008"/>
      <c r="O63" s="2008"/>
      <c r="P63" s="2008"/>
      <c r="Q63" s="2008"/>
      <c r="R63" s="2008"/>
      <c r="S63" s="2008"/>
      <c r="T63" s="2008"/>
      <c r="U63" s="2008"/>
      <c r="V63" s="2008"/>
      <c r="W63" s="2008"/>
      <c r="X63" s="2008"/>
      <c r="Y63" s="2008"/>
      <c r="Z63" s="2008"/>
      <c r="AA63" s="2008"/>
      <c r="AB63" s="2008"/>
      <c r="AC63" s="2008"/>
      <c r="AD63" s="2008"/>
      <c r="AE63" s="2008"/>
      <c r="AF63" s="2008"/>
      <c r="AG63" s="2008"/>
      <c r="AH63" s="2008"/>
      <c r="AI63" s="2008"/>
      <c r="AJ63" s="2008"/>
      <c r="AK63" s="2008"/>
      <c r="AL63" s="2008"/>
      <c r="AM63" s="2008"/>
      <c r="AN63" s="2008"/>
      <c r="AO63" s="2008"/>
      <c r="AP63" s="2008"/>
      <c r="AQ63" s="2008"/>
      <c r="AR63" s="2008"/>
      <c r="AS63" s="2008"/>
      <c r="AT63" s="2008"/>
      <c r="AU63" s="2008"/>
      <c r="AV63" s="2008"/>
      <c r="AW63" s="2009"/>
      <c r="AX63" s="1208"/>
      <c r="AY63" s="1208"/>
      <c r="AZ63" s="1208"/>
      <c r="BA63" s="1208"/>
      <c r="BB63" s="1208"/>
      <c r="BC63" s="1208"/>
      <c r="BD63" s="1208"/>
      <c r="BE63" s="1215"/>
    </row>
    <row r="64" spans="1:77" ht="15.75" customHeight="1" thickBot="1">
      <c r="A64" s="1208"/>
      <c r="B64" s="2193" t="str">
        <f>IF(B56="", "", B56)</f>
        <v/>
      </c>
      <c r="C64" s="2194"/>
      <c r="D64" s="2194"/>
      <c r="E64" s="2194"/>
      <c r="F64" s="2194"/>
      <c r="G64" s="2194"/>
      <c r="H64" s="2194"/>
      <c r="I64" s="2195"/>
      <c r="J64" s="2196"/>
      <c r="K64" s="2179"/>
      <c r="L64" s="2179"/>
      <c r="M64" s="2179"/>
      <c r="N64" s="2179"/>
      <c r="O64" s="2179"/>
      <c r="P64" s="2179"/>
      <c r="Q64" s="2179"/>
      <c r="R64" s="2179"/>
      <c r="S64" s="2179"/>
      <c r="T64" s="2179"/>
      <c r="U64" s="2179"/>
      <c r="V64" s="2179"/>
      <c r="W64" s="2179"/>
      <c r="X64" s="2179"/>
      <c r="Y64" s="2179"/>
      <c r="Z64" s="2179"/>
      <c r="AA64" s="2179"/>
      <c r="AB64" s="2179"/>
      <c r="AC64" s="2179"/>
      <c r="AD64" s="2179"/>
      <c r="AE64" s="2179"/>
      <c r="AF64" s="2179"/>
      <c r="AG64" s="2179"/>
      <c r="AH64" s="2179"/>
      <c r="AI64" s="2179"/>
      <c r="AJ64" s="2179"/>
      <c r="AK64" s="2179"/>
      <c r="AL64" s="2179"/>
      <c r="AM64" s="2179"/>
      <c r="AN64" s="2179"/>
      <c r="AO64" s="2179"/>
      <c r="AP64" s="2179"/>
      <c r="AQ64" s="2179"/>
      <c r="AR64" s="2179"/>
      <c r="AS64" s="2179"/>
      <c r="AT64" s="2179"/>
      <c r="AU64" s="2179"/>
      <c r="AV64" s="2179"/>
      <c r="AW64" s="2180"/>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2335</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19" t="s">
        <v>2334</v>
      </c>
      <c r="C68" s="2120"/>
      <c r="D68" s="2120"/>
      <c r="E68" s="2120"/>
      <c r="F68" s="2120"/>
      <c r="G68" s="2120"/>
      <c r="H68" s="2120"/>
      <c r="I68" s="2120"/>
      <c r="J68" s="2120"/>
      <c r="K68" s="2120"/>
      <c r="L68" s="2120"/>
      <c r="M68" s="2120"/>
      <c r="N68" s="2120"/>
      <c r="O68" s="2120"/>
      <c r="P68" s="2120"/>
      <c r="Q68" s="2120"/>
      <c r="R68" s="2120"/>
      <c r="S68" s="2120"/>
      <c r="T68" s="2120"/>
      <c r="U68" s="2120"/>
      <c r="V68" s="2120"/>
      <c r="W68" s="2120"/>
      <c r="X68" s="2120"/>
      <c r="Y68" s="2120"/>
      <c r="Z68" s="2120"/>
      <c r="AA68" s="2121"/>
      <c r="AB68" s="1208"/>
      <c r="AC68" s="2042" t="s">
        <v>2333</v>
      </c>
      <c r="AD68" s="2043"/>
      <c r="AE68" s="2043"/>
      <c r="AF68" s="2043"/>
      <c r="AG68" s="2043"/>
      <c r="AH68" s="2043"/>
      <c r="AI68" s="2043"/>
      <c r="AJ68" s="2043"/>
      <c r="AK68" s="2043"/>
      <c r="AL68" s="2043"/>
      <c r="AM68" s="2043"/>
      <c r="AN68" s="2043"/>
      <c r="AO68" s="2043"/>
      <c r="AP68" s="2043"/>
      <c r="AQ68" s="2043"/>
      <c r="AR68" s="2043"/>
      <c r="AS68" s="2043"/>
      <c r="AT68" s="2043"/>
      <c r="AU68" s="2043"/>
      <c r="AV68" s="2181" t="s">
        <v>669</v>
      </c>
      <c r="AW68" s="2099"/>
      <c r="AX68" s="2099"/>
      <c r="AY68" s="2099"/>
      <c r="AZ68" s="2099"/>
      <c r="BA68" s="2099"/>
      <c r="BB68" s="2099"/>
      <c r="BC68" s="2100"/>
      <c r="BD68" s="1208"/>
      <c r="BE68" s="1215"/>
      <c r="BM68" s="1221" t="s">
        <v>2332</v>
      </c>
    </row>
    <row r="69" spans="1:94" ht="15.75" customHeight="1" thickTop="1" thickBot="1">
      <c r="A69" s="1208"/>
      <c r="B69" s="2182" t="s">
        <v>2331</v>
      </c>
      <c r="C69" s="2183"/>
      <c r="D69" s="2183"/>
      <c r="E69" s="2183"/>
      <c r="F69" s="2183"/>
      <c r="G69" s="2183"/>
      <c r="H69" s="2183"/>
      <c r="I69" s="2183"/>
      <c r="J69" s="2183"/>
      <c r="K69" s="2183"/>
      <c r="L69" s="2183"/>
      <c r="M69" s="2183"/>
      <c r="N69" s="2183"/>
      <c r="O69" s="2184" t="s">
        <v>2330</v>
      </c>
      <c r="P69" s="2185"/>
      <c r="Q69" s="2185"/>
      <c r="R69" s="2185"/>
      <c r="S69" s="2185"/>
      <c r="T69" s="2185"/>
      <c r="U69" s="2185"/>
      <c r="V69" s="2185"/>
      <c r="W69" s="2185"/>
      <c r="X69" s="2185"/>
      <c r="Y69" s="2185"/>
      <c r="Z69" s="2185"/>
      <c r="AA69" s="2186"/>
      <c r="AB69" s="1208"/>
      <c r="AC69" s="2187" t="s">
        <v>2329</v>
      </c>
      <c r="AD69" s="2188"/>
      <c r="AE69" s="2188"/>
      <c r="AF69" s="2188"/>
      <c r="AG69" s="2188"/>
      <c r="AH69" s="2188"/>
      <c r="AI69" s="2188"/>
      <c r="AJ69" s="2188"/>
      <c r="AK69" s="2188"/>
      <c r="AL69" s="2188"/>
      <c r="AM69" s="2188"/>
      <c r="AN69" s="2188"/>
      <c r="AO69" s="2188"/>
      <c r="AP69" s="2188"/>
      <c r="AQ69" s="2188"/>
      <c r="AR69" s="2188"/>
      <c r="AS69" s="2188"/>
      <c r="AT69" s="2188"/>
      <c r="AU69" s="2188"/>
      <c r="AV69" s="2181" t="s">
        <v>669</v>
      </c>
      <c r="AW69" s="2099"/>
      <c r="AX69" s="2099"/>
      <c r="AY69" s="2099"/>
      <c r="AZ69" s="2099"/>
      <c r="BA69" s="2099"/>
      <c r="BB69" s="2099"/>
      <c r="BC69" s="2100"/>
      <c r="BD69" s="1208"/>
      <c r="BE69" s="1215"/>
      <c r="BM69" s="1222" t="s">
        <v>545</v>
      </c>
    </row>
    <row r="70" spans="1:94" ht="15.75" customHeight="1">
      <c r="A70" s="1208"/>
      <c r="B70" s="2164" t="s">
        <v>2328</v>
      </c>
      <c r="C70" s="2165"/>
      <c r="D70" s="2165"/>
      <c r="E70" s="2165"/>
      <c r="F70" s="2165"/>
      <c r="G70" s="2165"/>
      <c r="H70" s="2165"/>
      <c r="I70" s="2165"/>
      <c r="J70" s="2165"/>
      <c r="K70" s="2165"/>
      <c r="L70" s="2165"/>
      <c r="M70" s="2165"/>
      <c r="N70" s="2165"/>
      <c r="O70" s="2050">
        <v>0</v>
      </c>
      <c r="P70" s="2050"/>
      <c r="Q70" s="2050"/>
      <c r="R70" s="2050"/>
      <c r="S70" s="2050"/>
      <c r="T70" s="2050"/>
      <c r="U70" s="2050"/>
      <c r="V70" s="2050"/>
      <c r="W70" s="2050"/>
      <c r="X70" s="2050"/>
      <c r="Y70" s="2050"/>
      <c r="Z70" s="2050"/>
      <c r="AA70" s="2166"/>
      <c r="AB70" s="1208"/>
      <c r="AC70" s="2088" t="s">
        <v>2327</v>
      </c>
      <c r="AD70" s="2044"/>
      <c r="AE70" s="2044"/>
      <c r="AF70" s="2175"/>
      <c r="AG70" s="2175"/>
      <c r="AH70" s="2175"/>
      <c r="AI70" s="2175"/>
      <c r="AJ70" s="2175"/>
      <c r="AK70" s="2175"/>
      <c r="AL70" s="2175"/>
      <c r="AM70" s="2175"/>
      <c r="AN70" s="2175"/>
      <c r="AO70" s="2175"/>
      <c r="AP70" s="2175"/>
      <c r="AQ70" s="2175"/>
      <c r="AR70" s="2175"/>
      <c r="AS70" s="2175"/>
      <c r="AT70" s="2175"/>
      <c r="AU70" s="2176"/>
      <c r="AV70" s="1208"/>
      <c r="AW70" s="1208"/>
      <c r="AX70" s="1208"/>
      <c r="AY70" s="1208"/>
      <c r="AZ70" s="1208"/>
      <c r="BA70" s="1208"/>
      <c r="BB70" s="1208"/>
      <c r="BC70" s="1208"/>
      <c r="BD70" s="1208"/>
      <c r="BE70" s="1215"/>
      <c r="BM70" s="1223" t="s">
        <v>669</v>
      </c>
    </row>
    <row r="71" spans="1:94" ht="15.75" customHeight="1" thickBot="1">
      <c r="A71" s="1208"/>
      <c r="B71" s="2164" t="s">
        <v>2326</v>
      </c>
      <c r="C71" s="2165"/>
      <c r="D71" s="2165"/>
      <c r="E71" s="2165"/>
      <c r="F71" s="2165"/>
      <c r="G71" s="2165"/>
      <c r="H71" s="2165"/>
      <c r="I71" s="2165"/>
      <c r="J71" s="2165"/>
      <c r="K71" s="2165"/>
      <c r="L71" s="2165"/>
      <c r="M71" s="2165"/>
      <c r="N71" s="2165"/>
      <c r="O71" s="2050">
        <v>0</v>
      </c>
      <c r="P71" s="2050"/>
      <c r="Q71" s="2050"/>
      <c r="R71" s="2050"/>
      <c r="S71" s="2050"/>
      <c r="T71" s="2050"/>
      <c r="U71" s="2050"/>
      <c r="V71" s="2050"/>
      <c r="W71" s="2050"/>
      <c r="X71" s="2050"/>
      <c r="Y71" s="2050"/>
      <c r="Z71" s="2050"/>
      <c r="AA71" s="2166"/>
      <c r="AB71" s="1208"/>
      <c r="AC71" s="2177" t="s">
        <v>2325</v>
      </c>
      <c r="AD71" s="2178"/>
      <c r="AE71" s="2178"/>
      <c r="AF71" s="2179"/>
      <c r="AG71" s="2179"/>
      <c r="AH71" s="2179"/>
      <c r="AI71" s="2179"/>
      <c r="AJ71" s="2179"/>
      <c r="AK71" s="2179"/>
      <c r="AL71" s="2179"/>
      <c r="AM71" s="2179"/>
      <c r="AN71" s="2179"/>
      <c r="AO71" s="2179"/>
      <c r="AP71" s="2179"/>
      <c r="AQ71" s="2179"/>
      <c r="AR71" s="2179"/>
      <c r="AS71" s="2179"/>
      <c r="AT71" s="2179"/>
      <c r="AU71" s="2180"/>
      <c r="AV71" s="1208"/>
      <c r="AW71" s="1208"/>
      <c r="AX71" s="1208"/>
      <c r="AY71" s="1208"/>
      <c r="AZ71" s="1208"/>
      <c r="BA71" s="1208"/>
      <c r="BB71" s="1208"/>
      <c r="BC71" s="1208"/>
      <c r="BD71" s="1208"/>
      <c r="BE71" s="1215"/>
      <c r="BM71" s="1204" t="s">
        <v>2324</v>
      </c>
    </row>
    <row r="72" spans="1:94" ht="15.75" customHeight="1">
      <c r="A72" s="1208"/>
      <c r="B72" s="2164" t="s">
        <v>2323</v>
      </c>
      <c r="C72" s="2165"/>
      <c r="D72" s="2165"/>
      <c r="E72" s="2165"/>
      <c r="F72" s="2165"/>
      <c r="G72" s="2165"/>
      <c r="H72" s="2165"/>
      <c r="I72" s="2165"/>
      <c r="J72" s="2165"/>
      <c r="K72" s="2165"/>
      <c r="L72" s="2165"/>
      <c r="M72" s="2165"/>
      <c r="N72" s="2165"/>
      <c r="O72" s="2050">
        <v>0</v>
      </c>
      <c r="P72" s="2050"/>
      <c r="Q72" s="2050"/>
      <c r="R72" s="2050"/>
      <c r="S72" s="2050"/>
      <c r="T72" s="2050"/>
      <c r="U72" s="2050"/>
      <c r="V72" s="2050"/>
      <c r="W72" s="2050"/>
      <c r="X72" s="2050"/>
      <c r="Y72" s="2050"/>
      <c r="Z72" s="2050"/>
      <c r="AA72" s="2166"/>
      <c r="AB72" s="1208"/>
      <c r="AC72" s="2167" t="s">
        <v>2322</v>
      </c>
      <c r="AD72" s="2168"/>
      <c r="AE72" s="2168"/>
      <c r="AF72" s="2168"/>
      <c r="AG72" s="2168"/>
      <c r="AH72" s="2168"/>
      <c r="AI72" s="2168"/>
      <c r="AJ72" s="2168"/>
      <c r="AK72" s="2168"/>
      <c r="AL72" s="2168"/>
      <c r="AM72" s="2168"/>
      <c r="AN72" s="2168"/>
      <c r="AO72" s="2168"/>
      <c r="AP72" s="2168"/>
      <c r="AQ72" s="2168"/>
      <c r="AR72" s="2168"/>
      <c r="AS72" s="2168"/>
      <c r="AT72" s="2168"/>
      <c r="AU72" s="2168"/>
      <c r="AV72" s="2044"/>
      <c r="AW72" s="2044"/>
      <c r="AX72" s="2044"/>
      <c r="AY72" s="2044"/>
      <c r="AZ72" s="2044"/>
      <c r="BA72" s="2044"/>
      <c r="BB72" s="2044"/>
      <c r="BC72" s="2045"/>
      <c r="BD72" s="1208"/>
      <c r="BE72" s="1215"/>
    </row>
    <row r="73" spans="1:94" ht="15.75" customHeight="1">
      <c r="A73" s="1208"/>
      <c r="B73" s="2169" t="s">
        <v>2321</v>
      </c>
      <c r="C73" s="2170"/>
      <c r="D73" s="2170"/>
      <c r="E73" s="2170"/>
      <c r="F73" s="2170"/>
      <c r="G73" s="2170"/>
      <c r="H73" s="2170"/>
      <c r="I73" s="2170"/>
      <c r="J73" s="2170"/>
      <c r="K73" s="2170"/>
      <c r="L73" s="2170"/>
      <c r="M73" s="2170"/>
      <c r="N73" s="2170"/>
      <c r="O73" s="2050">
        <v>0</v>
      </c>
      <c r="P73" s="2050"/>
      <c r="Q73" s="2050"/>
      <c r="R73" s="2050"/>
      <c r="S73" s="2050"/>
      <c r="T73" s="2050"/>
      <c r="U73" s="2050"/>
      <c r="V73" s="2050"/>
      <c r="W73" s="2050"/>
      <c r="X73" s="2050"/>
      <c r="Y73" s="2050"/>
      <c r="Z73" s="2050"/>
      <c r="AA73" s="2166"/>
      <c r="AB73" s="1208"/>
      <c r="AC73" s="2059" t="s">
        <v>2274</v>
      </c>
      <c r="AD73" s="2060"/>
      <c r="AE73" s="2060"/>
      <c r="AF73" s="2060"/>
      <c r="AG73" s="2060"/>
      <c r="AH73" s="2060"/>
      <c r="AI73" s="2060"/>
      <c r="AJ73" s="2060"/>
      <c r="AK73" s="2060"/>
      <c r="AL73" s="2060"/>
      <c r="AM73" s="2060"/>
      <c r="AN73" s="2060"/>
      <c r="AO73" s="2060"/>
      <c r="AP73" s="2060"/>
      <c r="AQ73" s="2060"/>
      <c r="AR73" s="2060"/>
      <c r="AS73" s="2060"/>
      <c r="AT73" s="2060"/>
      <c r="AU73" s="2060"/>
      <c r="AV73" s="2060"/>
      <c r="AW73" s="2060"/>
      <c r="AX73" s="2060"/>
      <c r="AY73" s="2060"/>
      <c r="AZ73" s="2060"/>
      <c r="BA73" s="2060"/>
      <c r="BB73" s="2060"/>
      <c r="BC73" s="2061"/>
      <c r="BD73" s="1208"/>
      <c r="BE73" s="1215"/>
      <c r="CK73" s="1206"/>
      <c r="CL73" s="1206"/>
      <c r="CM73" s="1206"/>
      <c r="CN73" s="1206"/>
      <c r="CO73" s="1206"/>
      <c r="CP73" s="1206"/>
    </row>
    <row r="74" spans="1:94" ht="15.75" customHeight="1">
      <c r="A74" s="1208"/>
      <c r="B74" s="2004"/>
      <c r="C74" s="2005"/>
      <c r="D74" s="2005"/>
      <c r="E74" s="2005"/>
      <c r="F74" s="2005"/>
      <c r="G74" s="2005"/>
      <c r="H74" s="2005"/>
      <c r="I74" s="2005"/>
      <c r="J74" s="2005"/>
      <c r="K74" s="2005"/>
      <c r="L74" s="2005"/>
      <c r="M74" s="2005"/>
      <c r="N74" s="2005"/>
      <c r="O74" s="2050"/>
      <c r="P74" s="2050"/>
      <c r="Q74" s="2050"/>
      <c r="R74" s="2050"/>
      <c r="S74" s="2050"/>
      <c r="T74" s="2050"/>
      <c r="U74" s="2050"/>
      <c r="V74" s="2050"/>
      <c r="W74" s="2050"/>
      <c r="X74" s="2050"/>
      <c r="Y74" s="2050"/>
      <c r="Z74" s="2050"/>
      <c r="AA74" s="2166"/>
      <c r="AB74" s="1208"/>
      <c r="AC74" s="2059"/>
      <c r="AD74" s="2060"/>
      <c r="AE74" s="2060"/>
      <c r="AF74" s="2060"/>
      <c r="AG74" s="2060"/>
      <c r="AH74" s="2060"/>
      <c r="AI74" s="2060"/>
      <c r="AJ74" s="2060"/>
      <c r="AK74" s="2060"/>
      <c r="AL74" s="2060"/>
      <c r="AM74" s="2060"/>
      <c r="AN74" s="2060"/>
      <c r="AO74" s="2060"/>
      <c r="AP74" s="2060"/>
      <c r="AQ74" s="2060"/>
      <c r="AR74" s="2060"/>
      <c r="AS74" s="2060"/>
      <c r="AT74" s="2060"/>
      <c r="AU74" s="2060"/>
      <c r="AV74" s="2060"/>
      <c r="AW74" s="2060"/>
      <c r="AX74" s="2060"/>
      <c r="AY74" s="2060"/>
      <c r="AZ74" s="2060"/>
      <c r="BA74" s="2060"/>
      <c r="BB74" s="2060"/>
      <c r="BC74" s="2061"/>
      <c r="BD74" s="1208"/>
      <c r="BE74" s="1215"/>
      <c r="CK74" s="1206"/>
      <c r="CL74" s="1206"/>
      <c r="CM74" s="1206"/>
      <c r="CN74" s="1206"/>
      <c r="CO74" s="1206"/>
      <c r="CP74" s="1206"/>
    </row>
    <row r="75" spans="1:94" ht="15.75" customHeight="1" thickBot="1">
      <c r="A75" s="1208"/>
      <c r="B75" s="2171" t="s">
        <v>124</v>
      </c>
      <c r="C75" s="2172"/>
      <c r="D75" s="2172"/>
      <c r="E75" s="2172"/>
      <c r="F75" s="2172"/>
      <c r="G75" s="2172"/>
      <c r="H75" s="2172"/>
      <c r="I75" s="2172"/>
      <c r="J75" s="2172"/>
      <c r="K75" s="2172"/>
      <c r="L75" s="2172"/>
      <c r="M75" s="2172"/>
      <c r="N75" s="2172"/>
      <c r="O75" s="2173">
        <f>SUM(O70:AA74)</f>
        <v>0</v>
      </c>
      <c r="P75" s="2173"/>
      <c r="Q75" s="2173"/>
      <c r="R75" s="2173"/>
      <c r="S75" s="2173"/>
      <c r="T75" s="2173"/>
      <c r="U75" s="2173"/>
      <c r="V75" s="2173"/>
      <c r="W75" s="2173"/>
      <c r="X75" s="2173"/>
      <c r="Y75" s="2173"/>
      <c r="Z75" s="2173"/>
      <c r="AA75" s="2174"/>
      <c r="AB75" s="1208"/>
      <c r="AC75" s="2059"/>
      <c r="AD75" s="2060"/>
      <c r="AE75" s="2060"/>
      <c r="AF75" s="2060"/>
      <c r="AG75" s="2060"/>
      <c r="AH75" s="2060"/>
      <c r="AI75" s="2060"/>
      <c r="AJ75" s="2060"/>
      <c r="AK75" s="2060"/>
      <c r="AL75" s="2060"/>
      <c r="AM75" s="2060"/>
      <c r="AN75" s="2060"/>
      <c r="AO75" s="2060"/>
      <c r="AP75" s="2060"/>
      <c r="AQ75" s="2060"/>
      <c r="AR75" s="2060"/>
      <c r="AS75" s="2060"/>
      <c r="AT75" s="2060"/>
      <c r="AU75" s="2060"/>
      <c r="AV75" s="2060"/>
      <c r="AW75" s="2060"/>
      <c r="AX75" s="2060"/>
      <c r="AY75" s="2060"/>
      <c r="AZ75" s="2060"/>
      <c r="BA75" s="2060"/>
      <c r="BB75" s="2060"/>
      <c r="BC75" s="2061"/>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59"/>
      <c r="AD76" s="2060"/>
      <c r="AE76" s="2060"/>
      <c r="AF76" s="2060"/>
      <c r="AG76" s="2060"/>
      <c r="AH76" s="2060"/>
      <c r="AI76" s="2060"/>
      <c r="AJ76" s="2060"/>
      <c r="AK76" s="2060"/>
      <c r="AL76" s="2060"/>
      <c r="AM76" s="2060"/>
      <c r="AN76" s="2060"/>
      <c r="AO76" s="2060"/>
      <c r="AP76" s="2060"/>
      <c r="AQ76" s="2060"/>
      <c r="AR76" s="2060"/>
      <c r="AS76" s="2060"/>
      <c r="AT76" s="2060"/>
      <c r="AU76" s="2060"/>
      <c r="AV76" s="2060"/>
      <c r="AW76" s="2060"/>
      <c r="AX76" s="2060"/>
      <c r="AY76" s="2060"/>
      <c r="AZ76" s="2060"/>
      <c r="BA76" s="2060"/>
      <c r="BB76" s="2060"/>
      <c r="BC76" s="2061"/>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62"/>
      <c r="AD77" s="2063"/>
      <c r="AE77" s="2063"/>
      <c r="AF77" s="2063"/>
      <c r="AG77" s="2063"/>
      <c r="AH77" s="2063"/>
      <c r="AI77" s="2063"/>
      <c r="AJ77" s="2063"/>
      <c r="AK77" s="2063"/>
      <c r="AL77" s="2063"/>
      <c r="AM77" s="2063"/>
      <c r="AN77" s="2063"/>
      <c r="AO77" s="2063"/>
      <c r="AP77" s="2063"/>
      <c r="AQ77" s="2063"/>
      <c r="AR77" s="2063"/>
      <c r="AS77" s="2063"/>
      <c r="AT77" s="2063"/>
      <c r="AU77" s="2063"/>
      <c r="AV77" s="2063"/>
      <c r="AW77" s="2063"/>
      <c r="AX77" s="2063"/>
      <c r="AY77" s="2063"/>
      <c r="AZ77" s="2063"/>
      <c r="BA77" s="2063"/>
      <c r="BB77" s="2063"/>
      <c r="BC77" s="2064"/>
      <c r="BD77" s="1208"/>
      <c r="BE77" s="1215"/>
      <c r="CK77" s="1206"/>
      <c r="CL77" s="1206"/>
      <c r="CM77" s="1206"/>
      <c r="CN77" s="1206"/>
      <c r="CO77" s="1206"/>
      <c r="CP77" s="1206"/>
    </row>
    <row r="78" spans="1:94" ht="15.75" customHeight="1" thickBot="1">
      <c r="A78" s="1208"/>
      <c r="B78" s="1224" t="s">
        <v>2320</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2227</v>
      </c>
      <c r="C79" s="1228"/>
      <c r="D79" s="1228"/>
      <c r="E79" s="1229"/>
      <c r="F79" s="2154"/>
      <c r="G79" s="2155"/>
      <c r="H79" s="2155"/>
      <c r="I79" s="2155"/>
      <c r="J79" s="2155"/>
      <c r="K79" s="2155"/>
      <c r="L79" s="2155"/>
      <c r="M79" s="2155"/>
      <c r="N79" s="2155"/>
      <c r="O79" s="2155"/>
      <c r="P79" s="2155"/>
      <c r="Q79" s="2155"/>
      <c r="R79" s="2155"/>
      <c r="S79" s="2155"/>
      <c r="T79" s="2156"/>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57" t="s">
        <v>2319</v>
      </c>
      <c r="C81" s="2158"/>
      <c r="D81" s="2158"/>
      <c r="E81" s="2158"/>
      <c r="F81" s="2158"/>
      <c r="G81" s="2158"/>
      <c r="H81" s="2158"/>
      <c r="I81" s="2158"/>
      <c r="J81" s="2158"/>
      <c r="K81" s="2158"/>
      <c r="L81" s="2158"/>
      <c r="M81" s="2158"/>
      <c r="N81" s="2158"/>
      <c r="O81" s="2158"/>
      <c r="P81" s="2158"/>
      <c r="Q81" s="2158"/>
      <c r="R81" s="2158"/>
      <c r="S81" s="2158"/>
      <c r="T81" s="2158"/>
      <c r="U81" s="2158"/>
      <c r="V81" s="2158"/>
      <c r="W81" s="2158"/>
      <c r="X81" s="2158"/>
      <c r="Y81" s="2158"/>
      <c r="Z81" s="2158"/>
      <c r="AA81" s="2158"/>
      <c r="AB81" s="2158"/>
      <c r="AC81" s="2158"/>
      <c r="AD81" s="2158"/>
      <c r="AE81" s="2158"/>
      <c r="AF81" s="2158"/>
      <c r="AG81" s="2158"/>
      <c r="AH81" s="2159"/>
      <c r="AI81" s="1208"/>
      <c r="AJ81" s="2141" t="s">
        <v>2625</v>
      </c>
      <c r="AK81" s="2142"/>
      <c r="AL81" s="2142"/>
      <c r="AM81" s="2142"/>
      <c r="AN81" s="2142"/>
      <c r="AO81" s="2142"/>
      <c r="AP81" s="2142"/>
      <c r="AQ81" s="2142"/>
      <c r="AR81" s="2142"/>
      <c r="AS81" s="2142"/>
      <c r="AT81" s="2142"/>
      <c r="AU81" s="2142"/>
      <c r="AV81" s="2142"/>
      <c r="AW81" s="2142"/>
      <c r="AX81" s="2142"/>
      <c r="AY81" s="2160" t="s">
        <v>545</v>
      </c>
      <c r="AZ81" s="2160"/>
      <c r="BA81" s="2160"/>
      <c r="BB81" s="2161"/>
      <c r="BC81" s="1208"/>
      <c r="BD81" s="1208"/>
      <c r="BE81" s="1215"/>
      <c r="CK81" s="1206"/>
      <c r="CL81" s="1206"/>
      <c r="CM81" s="1206"/>
      <c r="CN81" s="1206"/>
      <c r="CO81" s="1206"/>
      <c r="CP81" s="1206"/>
    </row>
    <row r="82" spans="1:94" ht="15.75" customHeight="1">
      <c r="A82" s="1208"/>
      <c r="B82" s="2122"/>
      <c r="C82" s="2116"/>
      <c r="D82" s="2116"/>
      <c r="E82" s="2116"/>
      <c r="F82" s="2116"/>
      <c r="G82" s="2116"/>
      <c r="H82" s="2116"/>
      <c r="I82" s="2116" t="s">
        <v>2313</v>
      </c>
      <c r="J82" s="2116"/>
      <c r="K82" s="2116"/>
      <c r="L82" s="2116"/>
      <c r="M82" s="2116"/>
      <c r="N82" s="2116"/>
      <c r="O82" s="2116" t="s">
        <v>2290</v>
      </c>
      <c r="P82" s="2116"/>
      <c r="Q82" s="2116"/>
      <c r="R82" s="2116"/>
      <c r="S82" s="2116"/>
      <c r="T82" s="2116"/>
      <c r="U82" s="2116"/>
      <c r="V82" s="2152" t="s">
        <v>2289</v>
      </c>
      <c r="W82" s="2152"/>
      <c r="X82" s="2152"/>
      <c r="Y82" s="2152"/>
      <c r="Z82" s="2152"/>
      <c r="AA82" s="2152"/>
      <c r="AB82" s="2089" t="s">
        <v>2312</v>
      </c>
      <c r="AC82" s="2089"/>
      <c r="AD82" s="2089"/>
      <c r="AE82" s="2089"/>
      <c r="AF82" s="2089"/>
      <c r="AG82" s="2089"/>
      <c r="AH82" s="2153"/>
      <c r="AI82" s="1208"/>
      <c r="AJ82" s="2144"/>
      <c r="AK82" s="2145"/>
      <c r="AL82" s="2145"/>
      <c r="AM82" s="2145"/>
      <c r="AN82" s="2145"/>
      <c r="AO82" s="2145"/>
      <c r="AP82" s="2145"/>
      <c r="AQ82" s="2145"/>
      <c r="AR82" s="2145"/>
      <c r="AS82" s="2145"/>
      <c r="AT82" s="2145"/>
      <c r="AU82" s="2145"/>
      <c r="AV82" s="2145"/>
      <c r="AW82" s="2145"/>
      <c r="AX82" s="2145"/>
      <c r="AY82" s="2162"/>
      <c r="AZ82" s="2162"/>
      <c r="BA82" s="2162"/>
      <c r="BB82" s="2163"/>
      <c r="BC82" s="1208"/>
      <c r="BD82" s="1208"/>
      <c r="BE82" s="1215"/>
      <c r="CK82" s="1206"/>
      <c r="CL82" s="1206"/>
      <c r="CM82" s="1206"/>
      <c r="CN82" s="1206"/>
      <c r="CO82" s="1206"/>
      <c r="CP82" s="1206"/>
    </row>
    <row r="83" spans="1:94" ht="15.75" customHeight="1">
      <c r="A83" s="1208"/>
      <c r="B83" s="2122"/>
      <c r="C83" s="2116"/>
      <c r="D83" s="2116"/>
      <c r="E83" s="2116"/>
      <c r="F83" s="2116"/>
      <c r="G83" s="2116"/>
      <c r="H83" s="2116"/>
      <c r="I83" s="2116"/>
      <c r="J83" s="2116"/>
      <c r="K83" s="2116"/>
      <c r="L83" s="2116"/>
      <c r="M83" s="2116"/>
      <c r="N83" s="2116"/>
      <c r="O83" s="2116"/>
      <c r="P83" s="2116"/>
      <c r="Q83" s="2116"/>
      <c r="R83" s="2116"/>
      <c r="S83" s="2116"/>
      <c r="T83" s="2116"/>
      <c r="U83" s="2116"/>
      <c r="V83" s="2152"/>
      <c r="W83" s="2152"/>
      <c r="X83" s="2152"/>
      <c r="Y83" s="2152"/>
      <c r="Z83" s="2152"/>
      <c r="AA83" s="2152"/>
      <c r="AB83" s="2089"/>
      <c r="AC83" s="2089"/>
      <c r="AD83" s="2089"/>
      <c r="AE83" s="2089"/>
      <c r="AF83" s="2089"/>
      <c r="AG83" s="2089"/>
      <c r="AH83" s="2153"/>
      <c r="AI83" s="1208"/>
      <c r="AJ83" s="2144"/>
      <c r="AK83" s="2145"/>
      <c r="AL83" s="2145"/>
      <c r="AM83" s="2145"/>
      <c r="AN83" s="2145"/>
      <c r="AO83" s="2145"/>
      <c r="AP83" s="2145"/>
      <c r="AQ83" s="2145"/>
      <c r="AR83" s="2145"/>
      <c r="AS83" s="2145"/>
      <c r="AT83" s="2145"/>
      <c r="AU83" s="2145"/>
      <c r="AV83" s="2145"/>
      <c r="AW83" s="2145"/>
      <c r="AX83" s="2145"/>
      <c r="AY83" s="2162"/>
      <c r="AZ83" s="2162"/>
      <c r="BA83" s="2162"/>
      <c r="BB83" s="2163"/>
      <c r="BC83" s="1208"/>
      <c r="BD83" s="1208"/>
      <c r="BE83" s="1215"/>
      <c r="CK83" s="1206"/>
      <c r="CL83" s="1206"/>
      <c r="CM83" s="1206"/>
      <c r="CN83" s="1206"/>
      <c r="CO83" s="1206"/>
      <c r="CP83" s="1206"/>
    </row>
    <row r="84" spans="1:94" ht="15.75" customHeight="1">
      <c r="A84" s="1208"/>
      <c r="B84" s="2122" t="s">
        <v>2311</v>
      </c>
      <c r="C84" s="2116"/>
      <c r="D84" s="2116"/>
      <c r="E84" s="2116"/>
      <c r="F84" s="2116"/>
      <c r="G84" s="2116"/>
      <c r="H84" s="2116"/>
      <c r="I84" s="2092">
        <v>0</v>
      </c>
      <c r="J84" s="2092"/>
      <c r="K84" s="2092"/>
      <c r="L84" s="2092"/>
      <c r="M84" s="2092"/>
      <c r="N84" s="2092"/>
      <c r="O84" s="2092">
        <v>0</v>
      </c>
      <c r="P84" s="2092"/>
      <c r="Q84" s="2092"/>
      <c r="R84" s="2092"/>
      <c r="S84" s="2092"/>
      <c r="T84" s="2092"/>
      <c r="U84" s="2092"/>
      <c r="V84" s="2092">
        <v>0</v>
      </c>
      <c r="W84" s="2092"/>
      <c r="X84" s="2092"/>
      <c r="Y84" s="2092"/>
      <c r="Z84" s="2092"/>
      <c r="AA84" s="2092"/>
      <c r="AB84" s="2092">
        <v>0</v>
      </c>
      <c r="AC84" s="2092"/>
      <c r="AD84" s="2092"/>
      <c r="AE84" s="2092"/>
      <c r="AF84" s="2092"/>
      <c r="AG84" s="2092"/>
      <c r="AH84" s="2093"/>
      <c r="AI84" s="1208"/>
      <c r="AJ84" s="2144"/>
      <c r="AK84" s="2145"/>
      <c r="AL84" s="2145"/>
      <c r="AM84" s="2145"/>
      <c r="AN84" s="2145"/>
      <c r="AO84" s="2145"/>
      <c r="AP84" s="2145"/>
      <c r="AQ84" s="2145"/>
      <c r="AR84" s="2145"/>
      <c r="AS84" s="2145"/>
      <c r="AT84" s="2145"/>
      <c r="AU84" s="2145"/>
      <c r="AV84" s="2145"/>
      <c r="AW84" s="2145"/>
      <c r="AX84" s="2145"/>
      <c r="AY84" s="2162"/>
      <c r="AZ84" s="2162"/>
      <c r="BA84" s="2162"/>
      <c r="BB84" s="2163"/>
      <c r="BC84" s="1208"/>
      <c r="BD84" s="1208"/>
      <c r="BE84" s="1215"/>
      <c r="CK84" s="1206"/>
      <c r="CL84" s="1206"/>
      <c r="CM84" s="1206"/>
      <c r="CN84" s="1206"/>
      <c r="CO84" s="1206"/>
      <c r="CP84" s="1206"/>
    </row>
    <row r="85" spans="1:94" ht="15.75" customHeight="1">
      <c r="A85" s="1208"/>
      <c r="B85" s="2122" t="s">
        <v>2310</v>
      </c>
      <c r="C85" s="2116"/>
      <c r="D85" s="2116"/>
      <c r="E85" s="2116"/>
      <c r="F85" s="2116"/>
      <c r="G85" s="2116"/>
      <c r="H85" s="2116"/>
      <c r="I85" s="2092">
        <v>0</v>
      </c>
      <c r="J85" s="2092"/>
      <c r="K85" s="2092"/>
      <c r="L85" s="2092"/>
      <c r="M85" s="2092"/>
      <c r="N85" s="2092"/>
      <c r="O85" s="2092">
        <v>0</v>
      </c>
      <c r="P85" s="2092"/>
      <c r="Q85" s="2092"/>
      <c r="R85" s="2092"/>
      <c r="S85" s="2092"/>
      <c r="T85" s="2092"/>
      <c r="U85" s="2092"/>
      <c r="V85" s="2092">
        <v>0</v>
      </c>
      <c r="W85" s="2092"/>
      <c r="X85" s="2092"/>
      <c r="Y85" s="2092"/>
      <c r="Z85" s="2092"/>
      <c r="AA85" s="2092"/>
      <c r="AB85" s="2092">
        <v>0</v>
      </c>
      <c r="AC85" s="2092"/>
      <c r="AD85" s="2092"/>
      <c r="AE85" s="2092"/>
      <c r="AF85" s="2092"/>
      <c r="AG85" s="2092"/>
      <c r="AH85" s="2093"/>
      <c r="AI85" s="1208"/>
      <c r="AJ85" s="2059" t="s">
        <v>2316</v>
      </c>
      <c r="AK85" s="2060"/>
      <c r="AL85" s="2060"/>
      <c r="AM85" s="2060"/>
      <c r="AN85" s="2060"/>
      <c r="AO85" s="2060"/>
      <c r="AP85" s="2060"/>
      <c r="AQ85" s="2060"/>
      <c r="AR85" s="2060"/>
      <c r="AS85" s="2060"/>
      <c r="AT85" s="2060"/>
      <c r="AU85" s="2060"/>
      <c r="AV85" s="2060"/>
      <c r="AW85" s="2060"/>
      <c r="AX85" s="2060"/>
      <c r="AY85" s="2060"/>
      <c r="AZ85" s="2060"/>
      <c r="BA85" s="2060"/>
      <c r="BB85" s="2061"/>
      <c r="BC85" s="1208"/>
      <c r="BD85" s="1208"/>
      <c r="BE85" s="1215"/>
      <c r="CK85" s="1206"/>
      <c r="CL85" s="1206"/>
      <c r="CM85" s="1206"/>
      <c r="CN85" s="1206"/>
      <c r="CO85" s="1206"/>
      <c r="CP85" s="1206"/>
    </row>
    <row r="86" spans="1:94" ht="15.75" customHeight="1" thickBot="1">
      <c r="A86" s="1208"/>
      <c r="B86" s="2150" t="s">
        <v>2309</v>
      </c>
      <c r="C86" s="2151"/>
      <c r="D86" s="2151"/>
      <c r="E86" s="2151"/>
      <c r="F86" s="2151"/>
      <c r="G86" s="2151"/>
      <c r="H86" s="2151"/>
      <c r="I86" s="2086">
        <v>0</v>
      </c>
      <c r="J86" s="2086"/>
      <c r="K86" s="2086"/>
      <c r="L86" s="2086"/>
      <c r="M86" s="2086"/>
      <c r="N86" s="2086"/>
      <c r="O86" s="2086">
        <v>0</v>
      </c>
      <c r="P86" s="2086"/>
      <c r="Q86" s="2086"/>
      <c r="R86" s="2086"/>
      <c r="S86" s="2086"/>
      <c r="T86" s="2086"/>
      <c r="U86" s="2086"/>
      <c r="V86" s="2086">
        <v>0</v>
      </c>
      <c r="W86" s="2086"/>
      <c r="X86" s="2086"/>
      <c r="Y86" s="2086"/>
      <c r="Z86" s="2086"/>
      <c r="AA86" s="2086"/>
      <c r="AB86" s="2086">
        <v>0</v>
      </c>
      <c r="AC86" s="2086"/>
      <c r="AD86" s="2086"/>
      <c r="AE86" s="2086"/>
      <c r="AF86" s="2086"/>
      <c r="AG86" s="2086"/>
      <c r="AH86" s="2087"/>
      <c r="AI86" s="1208"/>
      <c r="AJ86" s="2062"/>
      <c r="AK86" s="2063"/>
      <c r="AL86" s="2063"/>
      <c r="AM86" s="2063"/>
      <c r="AN86" s="2063"/>
      <c r="AO86" s="2063"/>
      <c r="AP86" s="2063"/>
      <c r="AQ86" s="2063"/>
      <c r="AR86" s="2063"/>
      <c r="AS86" s="2063"/>
      <c r="AT86" s="2063"/>
      <c r="AU86" s="2063"/>
      <c r="AV86" s="2063"/>
      <c r="AW86" s="2063"/>
      <c r="AX86" s="2063"/>
      <c r="AY86" s="2063"/>
      <c r="AZ86" s="2063"/>
      <c r="BA86" s="2063"/>
      <c r="BB86" s="2064"/>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2318</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2227</v>
      </c>
      <c r="C90" s="1234"/>
      <c r="D90" s="1235"/>
      <c r="E90" s="1236"/>
      <c r="F90" s="2154"/>
      <c r="G90" s="2155"/>
      <c r="H90" s="2155"/>
      <c r="I90" s="2155"/>
      <c r="J90" s="2155"/>
      <c r="K90" s="2155"/>
      <c r="L90" s="2155"/>
      <c r="M90" s="2155"/>
      <c r="N90" s="2155"/>
      <c r="O90" s="2155"/>
      <c r="P90" s="2155"/>
      <c r="Q90" s="2155"/>
      <c r="R90" s="2155"/>
      <c r="S90" s="2155"/>
      <c r="T90" s="2156"/>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57" t="s">
        <v>2317</v>
      </c>
      <c r="C92" s="2158"/>
      <c r="D92" s="2158"/>
      <c r="E92" s="2158"/>
      <c r="F92" s="2158"/>
      <c r="G92" s="2158"/>
      <c r="H92" s="2158"/>
      <c r="I92" s="2158"/>
      <c r="J92" s="2158"/>
      <c r="K92" s="2158"/>
      <c r="L92" s="2158"/>
      <c r="M92" s="2158"/>
      <c r="N92" s="2158"/>
      <c r="O92" s="2158"/>
      <c r="P92" s="2158"/>
      <c r="Q92" s="2158"/>
      <c r="R92" s="2158"/>
      <c r="S92" s="2158"/>
      <c r="T92" s="2158"/>
      <c r="U92" s="2158"/>
      <c r="V92" s="2158"/>
      <c r="W92" s="2158"/>
      <c r="X92" s="2158"/>
      <c r="Y92" s="2158"/>
      <c r="Z92" s="2158"/>
      <c r="AA92" s="2158"/>
      <c r="AB92" s="2158"/>
      <c r="AC92" s="2158"/>
      <c r="AD92" s="2158"/>
      <c r="AE92" s="2158"/>
      <c r="AF92" s="2158"/>
      <c r="AG92" s="2158"/>
      <c r="AH92" s="2159"/>
      <c r="AI92" s="1208"/>
      <c r="AJ92" s="2141" t="s">
        <v>2626</v>
      </c>
      <c r="AK92" s="2142"/>
      <c r="AL92" s="2142"/>
      <c r="AM92" s="2142"/>
      <c r="AN92" s="2142"/>
      <c r="AO92" s="2142"/>
      <c r="AP92" s="2142"/>
      <c r="AQ92" s="2142"/>
      <c r="AR92" s="2142"/>
      <c r="AS92" s="2142"/>
      <c r="AT92" s="2142"/>
      <c r="AU92" s="2142"/>
      <c r="AV92" s="2142"/>
      <c r="AW92" s="2142"/>
      <c r="AX92" s="2142"/>
      <c r="AY92" s="2160" t="s">
        <v>545</v>
      </c>
      <c r="AZ92" s="2160"/>
      <c r="BA92" s="2160"/>
      <c r="BB92" s="2161"/>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22"/>
      <c r="C93" s="2116"/>
      <c r="D93" s="2116"/>
      <c r="E93" s="2116"/>
      <c r="F93" s="2116"/>
      <c r="G93" s="2116"/>
      <c r="H93" s="2116"/>
      <c r="I93" s="2116" t="s">
        <v>2313</v>
      </c>
      <c r="J93" s="2116"/>
      <c r="K93" s="2116"/>
      <c r="L93" s="2116"/>
      <c r="M93" s="2116"/>
      <c r="N93" s="2116"/>
      <c r="O93" s="2116" t="s">
        <v>2290</v>
      </c>
      <c r="P93" s="2116"/>
      <c r="Q93" s="2116"/>
      <c r="R93" s="2116"/>
      <c r="S93" s="2116"/>
      <c r="T93" s="2116"/>
      <c r="U93" s="2116"/>
      <c r="V93" s="2152" t="s">
        <v>2289</v>
      </c>
      <c r="W93" s="2152"/>
      <c r="X93" s="2152"/>
      <c r="Y93" s="2152"/>
      <c r="Z93" s="2152"/>
      <c r="AA93" s="2152"/>
      <c r="AB93" s="2089" t="s">
        <v>2312</v>
      </c>
      <c r="AC93" s="2089"/>
      <c r="AD93" s="2089"/>
      <c r="AE93" s="2089"/>
      <c r="AF93" s="2089"/>
      <c r="AG93" s="2089"/>
      <c r="AH93" s="2153"/>
      <c r="AI93" s="1208"/>
      <c r="AJ93" s="2144"/>
      <c r="AK93" s="2145"/>
      <c r="AL93" s="2145"/>
      <c r="AM93" s="2145"/>
      <c r="AN93" s="2145"/>
      <c r="AO93" s="2145"/>
      <c r="AP93" s="2145"/>
      <c r="AQ93" s="2145"/>
      <c r="AR93" s="2145"/>
      <c r="AS93" s="2145"/>
      <c r="AT93" s="2145"/>
      <c r="AU93" s="2145"/>
      <c r="AV93" s="2145"/>
      <c r="AW93" s="2145"/>
      <c r="AX93" s="2145"/>
      <c r="AY93" s="2162"/>
      <c r="AZ93" s="2162"/>
      <c r="BA93" s="2162"/>
      <c r="BB93" s="2163"/>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22"/>
      <c r="C94" s="2116"/>
      <c r="D94" s="2116"/>
      <c r="E94" s="2116"/>
      <c r="F94" s="2116"/>
      <c r="G94" s="2116"/>
      <c r="H94" s="2116"/>
      <c r="I94" s="2116"/>
      <c r="J94" s="2116"/>
      <c r="K94" s="2116"/>
      <c r="L94" s="2116"/>
      <c r="M94" s="2116"/>
      <c r="N94" s="2116"/>
      <c r="O94" s="2116"/>
      <c r="P94" s="2116"/>
      <c r="Q94" s="2116"/>
      <c r="R94" s="2116"/>
      <c r="S94" s="2116"/>
      <c r="T94" s="2116"/>
      <c r="U94" s="2116"/>
      <c r="V94" s="2152"/>
      <c r="W94" s="2152"/>
      <c r="X94" s="2152"/>
      <c r="Y94" s="2152"/>
      <c r="Z94" s="2152"/>
      <c r="AA94" s="2152"/>
      <c r="AB94" s="2089"/>
      <c r="AC94" s="2089"/>
      <c r="AD94" s="2089"/>
      <c r="AE94" s="2089"/>
      <c r="AF94" s="2089"/>
      <c r="AG94" s="2089"/>
      <c r="AH94" s="2153"/>
      <c r="AI94" s="1208"/>
      <c r="AJ94" s="2144"/>
      <c r="AK94" s="2145"/>
      <c r="AL94" s="2145"/>
      <c r="AM94" s="2145"/>
      <c r="AN94" s="2145"/>
      <c r="AO94" s="2145"/>
      <c r="AP94" s="2145"/>
      <c r="AQ94" s="2145"/>
      <c r="AR94" s="2145"/>
      <c r="AS94" s="2145"/>
      <c r="AT94" s="2145"/>
      <c r="AU94" s="2145"/>
      <c r="AV94" s="2145"/>
      <c r="AW94" s="2145"/>
      <c r="AX94" s="2145"/>
      <c r="AY94" s="2162"/>
      <c r="AZ94" s="2162"/>
      <c r="BA94" s="2162"/>
      <c r="BB94" s="2163"/>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22" t="s">
        <v>2311</v>
      </c>
      <c r="C95" s="2116"/>
      <c r="D95" s="2116"/>
      <c r="E95" s="2116"/>
      <c r="F95" s="2116"/>
      <c r="G95" s="2116"/>
      <c r="H95" s="2116"/>
      <c r="I95" s="2092">
        <v>0</v>
      </c>
      <c r="J95" s="2092"/>
      <c r="K95" s="2092"/>
      <c r="L95" s="2092"/>
      <c r="M95" s="2092"/>
      <c r="N95" s="2092"/>
      <c r="O95" s="2092">
        <v>0</v>
      </c>
      <c r="P95" s="2092"/>
      <c r="Q95" s="2092"/>
      <c r="R95" s="2092"/>
      <c r="S95" s="2092"/>
      <c r="T95" s="2092"/>
      <c r="U95" s="2092"/>
      <c r="V95" s="2092">
        <v>0</v>
      </c>
      <c r="W95" s="2092"/>
      <c r="X95" s="2092"/>
      <c r="Y95" s="2092"/>
      <c r="Z95" s="2092"/>
      <c r="AA95" s="2092"/>
      <c r="AB95" s="2092">
        <v>0</v>
      </c>
      <c r="AC95" s="2092"/>
      <c r="AD95" s="2092"/>
      <c r="AE95" s="2092"/>
      <c r="AF95" s="2092"/>
      <c r="AG95" s="2092"/>
      <c r="AH95" s="2093"/>
      <c r="AI95" s="1208"/>
      <c r="AJ95" s="2144"/>
      <c r="AK95" s="2145"/>
      <c r="AL95" s="2145"/>
      <c r="AM95" s="2145"/>
      <c r="AN95" s="2145"/>
      <c r="AO95" s="2145"/>
      <c r="AP95" s="2145"/>
      <c r="AQ95" s="2145"/>
      <c r="AR95" s="2145"/>
      <c r="AS95" s="2145"/>
      <c r="AT95" s="2145"/>
      <c r="AU95" s="2145"/>
      <c r="AV95" s="2145"/>
      <c r="AW95" s="2145"/>
      <c r="AX95" s="2145"/>
      <c r="AY95" s="2162"/>
      <c r="AZ95" s="2162"/>
      <c r="BA95" s="2162"/>
      <c r="BB95" s="2163"/>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22" t="s">
        <v>2310</v>
      </c>
      <c r="C96" s="2116"/>
      <c r="D96" s="2116"/>
      <c r="E96" s="2116"/>
      <c r="F96" s="2116"/>
      <c r="G96" s="2116"/>
      <c r="H96" s="2116"/>
      <c r="I96" s="2092">
        <v>0</v>
      </c>
      <c r="J96" s="2092"/>
      <c r="K96" s="2092"/>
      <c r="L96" s="2092"/>
      <c r="M96" s="2092"/>
      <c r="N96" s="2092"/>
      <c r="O96" s="2092">
        <v>0</v>
      </c>
      <c r="P96" s="2092"/>
      <c r="Q96" s="2092"/>
      <c r="R96" s="2092"/>
      <c r="S96" s="2092"/>
      <c r="T96" s="2092"/>
      <c r="U96" s="2092"/>
      <c r="V96" s="2092">
        <v>0</v>
      </c>
      <c r="W96" s="2092"/>
      <c r="X96" s="2092"/>
      <c r="Y96" s="2092"/>
      <c r="Z96" s="2092"/>
      <c r="AA96" s="2092"/>
      <c r="AB96" s="2092">
        <v>0</v>
      </c>
      <c r="AC96" s="2092"/>
      <c r="AD96" s="2092"/>
      <c r="AE96" s="2092"/>
      <c r="AF96" s="2092"/>
      <c r="AG96" s="2092"/>
      <c r="AH96" s="2093"/>
      <c r="AI96" s="1208"/>
      <c r="AJ96" s="2059" t="s">
        <v>2316</v>
      </c>
      <c r="AK96" s="2060"/>
      <c r="AL96" s="2060"/>
      <c r="AM96" s="2060"/>
      <c r="AN96" s="2060"/>
      <c r="AO96" s="2060"/>
      <c r="AP96" s="2060"/>
      <c r="AQ96" s="2060"/>
      <c r="AR96" s="2060"/>
      <c r="AS96" s="2060"/>
      <c r="AT96" s="2060"/>
      <c r="AU96" s="2060"/>
      <c r="AV96" s="2060"/>
      <c r="AW96" s="2060"/>
      <c r="AX96" s="2060"/>
      <c r="AY96" s="2060"/>
      <c r="AZ96" s="2060"/>
      <c r="BA96" s="2060"/>
      <c r="BB96" s="2061"/>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50" t="s">
        <v>2309</v>
      </c>
      <c r="C97" s="2151"/>
      <c r="D97" s="2151"/>
      <c r="E97" s="2151"/>
      <c r="F97" s="2151"/>
      <c r="G97" s="2151"/>
      <c r="H97" s="2151"/>
      <c r="I97" s="2086">
        <v>0</v>
      </c>
      <c r="J97" s="2086"/>
      <c r="K97" s="2086"/>
      <c r="L97" s="2086"/>
      <c r="M97" s="2086"/>
      <c r="N97" s="2086"/>
      <c r="O97" s="2086">
        <v>0</v>
      </c>
      <c r="P97" s="2086"/>
      <c r="Q97" s="2086"/>
      <c r="R97" s="2086"/>
      <c r="S97" s="2086"/>
      <c r="T97" s="2086"/>
      <c r="U97" s="2086"/>
      <c r="V97" s="2086">
        <v>0</v>
      </c>
      <c r="W97" s="2086"/>
      <c r="X97" s="2086"/>
      <c r="Y97" s="2086"/>
      <c r="Z97" s="2086"/>
      <c r="AA97" s="2086"/>
      <c r="AB97" s="2086">
        <v>0</v>
      </c>
      <c r="AC97" s="2086"/>
      <c r="AD97" s="2086"/>
      <c r="AE97" s="2086"/>
      <c r="AF97" s="2086"/>
      <c r="AG97" s="2086"/>
      <c r="AH97" s="2087"/>
      <c r="AI97" s="1208"/>
      <c r="AJ97" s="2062"/>
      <c r="AK97" s="2063"/>
      <c r="AL97" s="2063"/>
      <c r="AM97" s="2063"/>
      <c r="AN97" s="2063"/>
      <c r="AO97" s="2063"/>
      <c r="AP97" s="2063"/>
      <c r="AQ97" s="2063"/>
      <c r="AR97" s="2063"/>
      <c r="AS97" s="2063"/>
      <c r="AT97" s="2063"/>
      <c r="AU97" s="2063"/>
      <c r="AV97" s="2063"/>
      <c r="AW97" s="2063"/>
      <c r="AX97" s="2063"/>
      <c r="AY97" s="2063"/>
      <c r="AZ97" s="2063"/>
      <c r="BA97" s="2063"/>
      <c r="BB97" s="2064"/>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2315</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2227</v>
      </c>
      <c r="C100" s="1234"/>
      <c r="D100" s="1241"/>
      <c r="E100" s="1242"/>
      <c r="F100" s="2113"/>
      <c r="G100" s="2114"/>
      <c r="H100" s="2114"/>
      <c r="I100" s="2114"/>
      <c r="J100" s="2114"/>
      <c r="K100" s="2114"/>
      <c r="L100" s="2114"/>
      <c r="M100" s="2114"/>
      <c r="N100" s="2114"/>
      <c r="O100" s="2114"/>
      <c r="P100" s="2114"/>
      <c r="Q100" s="2114"/>
      <c r="R100" s="2115"/>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42" t="s">
        <v>2314</v>
      </c>
      <c r="C102" s="2043"/>
      <c r="D102" s="2043"/>
      <c r="E102" s="2043"/>
      <c r="F102" s="2043"/>
      <c r="G102" s="2043"/>
      <c r="H102" s="2043"/>
      <c r="I102" s="2043"/>
      <c r="J102" s="2043"/>
      <c r="K102" s="2043"/>
      <c r="L102" s="2043"/>
      <c r="M102" s="2043"/>
      <c r="N102" s="2043"/>
      <c r="O102" s="2043"/>
      <c r="P102" s="2043"/>
      <c r="Q102" s="2043"/>
      <c r="R102" s="2043"/>
      <c r="S102" s="2043"/>
      <c r="T102" s="2043"/>
      <c r="U102" s="2043"/>
      <c r="V102" s="2043"/>
      <c r="W102" s="2043"/>
      <c r="X102" s="2043"/>
      <c r="Y102" s="2043"/>
      <c r="Z102" s="2043"/>
      <c r="AA102" s="2043"/>
      <c r="AB102" s="2043"/>
      <c r="AC102" s="2043"/>
      <c r="AD102" s="2043"/>
      <c r="AE102" s="2043"/>
      <c r="AF102" s="2043"/>
      <c r="AG102" s="2043"/>
      <c r="AH102" s="2052"/>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22"/>
      <c r="C103" s="2116"/>
      <c r="D103" s="2116"/>
      <c r="E103" s="2116"/>
      <c r="F103" s="2116"/>
      <c r="G103" s="2116"/>
      <c r="H103" s="2116"/>
      <c r="I103" s="2116" t="s">
        <v>2313</v>
      </c>
      <c r="J103" s="2116"/>
      <c r="K103" s="2116"/>
      <c r="L103" s="2116"/>
      <c r="M103" s="2116"/>
      <c r="N103" s="2116"/>
      <c r="O103" s="2116" t="s">
        <v>2290</v>
      </c>
      <c r="P103" s="2116"/>
      <c r="Q103" s="2116"/>
      <c r="R103" s="2116"/>
      <c r="S103" s="2116"/>
      <c r="T103" s="2116"/>
      <c r="U103" s="2116"/>
      <c r="V103" s="2152" t="s">
        <v>2289</v>
      </c>
      <c r="W103" s="2152"/>
      <c r="X103" s="2152"/>
      <c r="Y103" s="2152"/>
      <c r="Z103" s="2152"/>
      <c r="AA103" s="2152"/>
      <c r="AB103" s="2089" t="s">
        <v>2312</v>
      </c>
      <c r="AC103" s="2089"/>
      <c r="AD103" s="2089"/>
      <c r="AE103" s="2089"/>
      <c r="AF103" s="2089"/>
      <c r="AG103" s="2089"/>
      <c r="AH103" s="2153"/>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22"/>
      <c r="C104" s="2116"/>
      <c r="D104" s="2116"/>
      <c r="E104" s="2116"/>
      <c r="F104" s="2116"/>
      <c r="G104" s="2116"/>
      <c r="H104" s="2116"/>
      <c r="I104" s="2116"/>
      <c r="J104" s="2116"/>
      <c r="K104" s="2116"/>
      <c r="L104" s="2116"/>
      <c r="M104" s="2116"/>
      <c r="N104" s="2116"/>
      <c r="O104" s="2116"/>
      <c r="P104" s="2116"/>
      <c r="Q104" s="2116"/>
      <c r="R104" s="2116"/>
      <c r="S104" s="2116"/>
      <c r="T104" s="2116"/>
      <c r="U104" s="2116"/>
      <c r="V104" s="2152"/>
      <c r="W104" s="2152"/>
      <c r="X104" s="2152"/>
      <c r="Y104" s="2152"/>
      <c r="Z104" s="2152"/>
      <c r="AA104" s="2152"/>
      <c r="AB104" s="2089"/>
      <c r="AC104" s="2089"/>
      <c r="AD104" s="2089"/>
      <c r="AE104" s="2089"/>
      <c r="AF104" s="2089"/>
      <c r="AG104" s="2089"/>
      <c r="AH104" s="2153"/>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22" t="s">
        <v>2311</v>
      </c>
      <c r="C105" s="2116"/>
      <c r="D105" s="2116"/>
      <c r="E105" s="2116"/>
      <c r="F105" s="2116"/>
      <c r="G105" s="2116"/>
      <c r="H105" s="2116"/>
      <c r="I105" s="2092">
        <v>0</v>
      </c>
      <c r="J105" s="2092"/>
      <c r="K105" s="2092"/>
      <c r="L105" s="2092"/>
      <c r="M105" s="2092"/>
      <c r="N105" s="2092"/>
      <c r="O105" s="2092">
        <v>0</v>
      </c>
      <c r="P105" s="2092"/>
      <c r="Q105" s="2092"/>
      <c r="R105" s="2092"/>
      <c r="S105" s="2092"/>
      <c r="T105" s="2092"/>
      <c r="U105" s="2092"/>
      <c r="V105" s="2092">
        <v>0</v>
      </c>
      <c r="W105" s="2092"/>
      <c r="X105" s="2092"/>
      <c r="Y105" s="2092"/>
      <c r="Z105" s="2092"/>
      <c r="AA105" s="2092"/>
      <c r="AB105" s="2092">
        <v>0</v>
      </c>
      <c r="AC105" s="2092"/>
      <c r="AD105" s="2092"/>
      <c r="AE105" s="2092"/>
      <c r="AF105" s="2092"/>
      <c r="AG105" s="2092"/>
      <c r="AH105" s="2093"/>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22" t="s">
        <v>2310</v>
      </c>
      <c r="C106" s="2116"/>
      <c r="D106" s="2116"/>
      <c r="E106" s="2116"/>
      <c r="F106" s="2116"/>
      <c r="G106" s="2116"/>
      <c r="H106" s="2116"/>
      <c r="I106" s="2092">
        <v>0</v>
      </c>
      <c r="J106" s="2092"/>
      <c r="K106" s="2092"/>
      <c r="L106" s="2092"/>
      <c r="M106" s="2092"/>
      <c r="N106" s="2092"/>
      <c r="O106" s="2092">
        <v>0</v>
      </c>
      <c r="P106" s="2092"/>
      <c r="Q106" s="2092"/>
      <c r="R106" s="2092"/>
      <c r="S106" s="2092"/>
      <c r="T106" s="2092"/>
      <c r="U106" s="2092"/>
      <c r="V106" s="2092">
        <v>0</v>
      </c>
      <c r="W106" s="2092"/>
      <c r="X106" s="2092"/>
      <c r="Y106" s="2092"/>
      <c r="Z106" s="2092"/>
      <c r="AA106" s="2092"/>
      <c r="AB106" s="2092">
        <v>0</v>
      </c>
      <c r="AC106" s="2092"/>
      <c r="AD106" s="2092"/>
      <c r="AE106" s="2092"/>
      <c r="AF106" s="2092"/>
      <c r="AG106" s="2092"/>
      <c r="AH106" s="2093"/>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50" t="s">
        <v>2309</v>
      </c>
      <c r="C107" s="2151"/>
      <c r="D107" s="2151"/>
      <c r="E107" s="2151"/>
      <c r="F107" s="2151"/>
      <c r="G107" s="2151"/>
      <c r="H107" s="2151"/>
      <c r="I107" s="2086">
        <v>0</v>
      </c>
      <c r="J107" s="2086"/>
      <c r="K107" s="2086"/>
      <c r="L107" s="2086"/>
      <c r="M107" s="2086"/>
      <c r="N107" s="2086"/>
      <c r="O107" s="2086">
        <v>0</v>
      </c>
      <c r="P107" s="2086"/>
      <c r="Q107" s="2086"/>
      <c r="R107" s="2086"/>
      <c r="S107" s="2086"/>
      <c r="T107" s="2086"/>
      <c r="U107" s="2086"/>
      <c r="V107" s="2086">
        <v>0</v>
      </c>
      <c r="W107" s="2086"/>
      <c r="X107" s="2086"/>
      <c r="Y107" s="2086"/>
      <c r="Z107" s="2086"/>
      <c r="AA107" s="2086"/>
      <c r="AB107" s="2086">
        <v>0</v>
      </c>
      <c r="AC107" s="2086"/>
      <c r="AD107" s="2086"/>
      <c r="AE107" s="2086"/>
      <c r="AF107" s="2086"/>
      <c r="AG107" s="2086"/>
      <c r="AH107" s="2087"/>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2308</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2227</v>
      </c>
      <c r="C110" s="1234"/>
      <c r="D110" s="1241"/>
      <c r="E110" s="1242"/>
      <c r="F110" s="2113"/>
      <c r="G110" s="2114"/>
      <c r="H110" s="2114"/>
      <c r="I110" s="2114"/>
      <c r="J110" s="2114"/>
      <c r="K110" s="2114"/>
      <c r="L110" s="2114"/>
      <c r="M110" s="2114"/>
      <c r="N110" s="2114"/>
      <c r="O110" s="2114"/>
      <c r="P110" s="2114"/>
      <c r="Q110" s="2114"/>
      <c r="R110" s="2115"/>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23" t="s">
        <v>2627</v>
      </c>
      <c r="C112" s="2124"/>
      <c r="D112" s="2124"/>
      <c r="E112" s="2124"/>
      <c r="F112" s="2124"/>
      <c r="G112" s="2124"/>
      <c r="H112" s="2124"/>
      <c r="I112" s="2124"/>
      <c r="J112" s="2124"/>
      <c r="K112" s="2124"/>
      <c r="L112" s="2124"/>
      <c r="M112" s="2124"/>
      <c r="N112" s="2124"/>
      <c r="O112" s="2124"/>
      <c r="P112" s="2124"/>
      <c r="Q112" s="2124"/>
      <c r="R112" s="2124"/>
      <c r="S112" s="2124"/>
      <c r="T112" s="2124"/>
      <c r="U112" s="2127" t="s">
        <v>545</v>
      </c>
      <c r="V112" s="2127"/>
      <c r="W112" s="2127"/>
      <c r="X112" s="2128"/>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25"/>
      <c r="C113" s="2126"/>
      <c r="D113" s="2126"/>
      <c r="E113" s="2126"/>
      <c r="F113" s="2126"/>
      <c r="G113" s="2126"/>
      <c r="H113" s="2126"/>
      <c r="I113" s="2126"/>
      <c r="J113" s="2126"/>
      <c r="K113" s="2126"/>
      <c r="L113" s="2126"/>
      <c r="M113" s="2126"/>
      <c r="N113" s="2126"/>
      <c r="O113" s="2126"/>
      <c r="P113" s="2126"/>
      <c r="Q113" s="2126"/>
      <c r="R113" s="2126"/>
      <c r="S113" s="2126"/>
      <c r="T113" s="2126"/>
      <c r="U113" s="2129"/>
      <c r="V113" s="2129"/>
      <c r="W113" s="2129"/>
      <c r="X113" s="2130"/>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25"/>
      <c r="C114" s="2126"/>
      <c r="D114" s="2126"/>
      <c r="E114" s="2126"/>
      <c r="F114" s="2126"/>
      <c r="G114" s="2126"/>
      <c r="H114" s="2126"/>
      <c r="I114" s="2126"/>
      <c r="J114" s="2126"/>
      <c r="K114" s="2126"/>
      <c r="L114" s="2126"/>
      <c r="M114" s="2126"/>
      <c r="N114" s="2126"/>
      <c r="O114" s="2126"/>
      <c r="P114" s="2126"/>
      <c r="Q114" s="2126"/>
      <c r="R114" s="2126"/>
      <c r="S114" s="2126"/>
      <c r="T114" s="2126"/>
      <c r="U114" s="2129"/>
      <c r="V114" s="2129"/>
      <c r="W114" s="2129"/>
      <c r="X114" s="2130"/>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25"/>
      <c r="C115" s="2126"/>
      <c r="D115" s="2126"/>
      <c r="E115" s="2126"/>
      <c r="F115" s="2126"/>
      <c r="G115" s="2126"/>
      <c r="H115" s="2126"/>
      <c r="I115" s="2126"/>
      <c r="J115" s="2126"/>
      <c r="K115" s="2126"/>
      <c r="L115" s="2126"/>
      <c r="M115" s="2126"/>
      <c r="N115" s="2126"/>
      <c r="O115" s="2126"/>
      <c r="P115" s="2126"/>
      <c r="Q115" s="2126"/>
      <c r="R115" s="2126"/>
      <c r="S115" s="2126"/>
      <c r="T115" s="2126"/>
      <c r="U115" s="2129"/>
      <c r="V115" s="2129"/>
      <c r="W115" s="2129"/>
      <c r="X115" s="2130"/>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31" t="s">
        <v>2627</v>
      </c>
      <c r="C116" s="2132"/>
      <c r="D116" s="2132"/>
      <c r="E116" s="2132"/>
      <c r="F116" s="2132"/>
      <c r="G116" s="2132"/>
      <c r="H116" s="2132"/>
      <c r="I116" s="2132"/>
      <c r="J116" s="2132"/>
      <c r="K116" s="2132"/>
      <c r="L116" s="2132"/>
      <c r="M116" s="2132"/>
      <c r="N116" s="2132"/>
      <c r="O116" s="2132"/>
      <c r="P116" s="2132"/>
      <c r="Q116" s="2132"/>
      <c r="R116" s="2132"/>
      <c r="S116" s="2132"/>
      <c r="T116" s="2132"/>
      <c r="U116" s="2135" t="s">
        <v>545</v>
      </c>
      <c r="V116" s="2135"/>
      <c r="W116" s="2135"/>
      <c r="X116" s="2136"/>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33"/>
      <c r="C117" s="2134"/>
      <c r="D117" s="2134"/>
      <c r="E117" s="2134"/>
      <c r="F117" s="2134"/>
      <c r="G117" s="2134"/>
      <c r="H117" s="2134"/>
      <c r="I117" s="2134"/>
      <c r="J117" s="2134"/>
      <c r="K117" s="2134"/>
      <c r="L117" s="2134"/>
      <c r="M117" s="2134"/>
      <c r="N117" s="2134"/>
      <c r="O117" s="2134"/>
      <c r="P117" s="2134"/>
      <c r="Q117" s="2134"/>
      <c r="R117" s="2134"/>
      <c r="S117" s="2134"/>
      <c r="T117" s="2134"/>
      <c r="U117" s="2137"/>
      <c r="V117" s="2137"/>
      <c r="W117" s="2137"/>
      <c r="X117" s="2138"/>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2307</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41" t="s">
        <v>2306</v>
      </c>
      <c r="Y120" s="2142"/>
      <c r="Z120" s="2142"/>
      <c r="AA120" s="2142"/>
      <c r="AB120" s="2142"/>
      <c r="AC120" s="2142"/>
      <c r="AD120" s="2142"/>
      <c r="AE120" s="2142"/>
      <c r="AF120" s="2142"/>
      <c r="AG120" s="2142"/>
      <c r="AH120" s="2142"/>
      <c r="AI120" s="2142"/>
      <c r="AJ120" s="2142"/>
      <c r="AK120" s="2142"/>
      <c r="AL120" s="2142"/>
      <c r="AM120" s="2142"/>
      <c r="AN120" s="2142"/>
      <c r="AO120" s="2142"/>
      <c r="AP120" s="2142"/>
      <c r="AQ120" s="2142"/>
      <c r="AR120" s="2142"/>
      <c r="AS120" s="2142"/>
      <c r="AT120" s="2142"/>
      <c r="AU120" s="2142"/>
      <c r="AV120" s="2142"/>
      <c r="AW120" s="2142"/>
      <c r="AX120" s="2142"/>
      <c r="AY120" s="2142"/>
      <c r="AZ120" s="2142"/>
      <c r="BA120" s="2142"/>
      <c r="BB120" s="2142"/>
      <c r="BC120" s="2142"/>
      <c r="BD120" s="2143"/>
      <c r="BE120" s="1215"/>
    </row>
    <row r="121" spans="1:57" ht="15.75" customHeight="1">
      <c r="A121" s="1208"/>
      <c r="B121" s="2147" t="s">
        <v>1566</v>
      </c>
      <c r="C121" s="2148"/>
      <c r="D121" s="2148"/>
      <c r="E121" s="2148"/>
      <c r="F121" s="2148"/>
      <c r="G121" s="2148"/>
      <c r="H121" s="2148"/>
      <c r="I121" s="2148"/>
      <c r="J121" s="2148"/>
      <c r="K121" s="2148"/>
      <c r="L121" s="2148"/>
      <c r="M121" s="2148"/>
      <c r="N121" s="2148"/>
      <c r="O121" s="2148"/>
      <c r="P121" s="2148"/>
      <c r="Q121" s="2148"/>
      <c r="R121" s="2148"/>
      <c r="S121" s="2148"/>
      <c r="T121" s="2148"/>
      <c r="U121" s="2149"/>
      <c r="V121" s="1208"/>
      <c r="W121" s="1208"/>
      <c r="X121" s="2144"/>
      <c r="Y121" s="2145"/>
      <c r="Z121" s="2145"/>
      <c r="AA121" s="2145"/>
      <c r="AB121" s="2145"/>
      <c r="AC121" s="2145"/>
      <c r="AD121" s="2145"/>
      <c r="AE121" s="2145"/>
      <c r="AF121" s="2145"/>
      <c r="AG121" s="2145"/>
      <c r="AH121" s="2145"/>
      <c r="AI121" s="2145"/>
      <c r="AJ121" s="2145"/>
      <c r="AK121" s="2145"/>
      <c r="AL121" s="2145"/>
      <c r="AM121" s="2145"/>
      <c r="AN121" s="2145"/>
      <c r="AO121" s="2145"/>
      <c r="AP121" s="2145"/>
      <c r="AQ121" s="2145"/>
      <c r="AR121" s="2145"/>
      <c r="AS121" s="2145"/>
      <c r="AT121" s="2145"/>
      <c r="AU121" s="2145"/>
      <c r="AV121" s="2145"/>
      <c r="AW121" s="2145"/>
      <c r="AX121" s="2145"/>
      <c r="AY121" s="2145"/>
      <c r="AZ121" s="2145"/>
      <c r="BA121" s="2145"/>
      <c r="BB121" s="2145"/>
      <c r="BC121" s="2145"/>
      <c r="BD121" s="2146"/>
      <c r="BE121" s="1215"/>
    </row>
    <row r="122" spans="1:57" ht="15.75" customHeight="1">
      <c r="A122" s="1208"/>
      <c r="B122" s="2056"/>
      <c r="C122" s="2057"/>
      <c r="D122" s="2057"/>
      <c r="E122" s="2057"/>
      <c r="F122" s="2057"/>
      <c r="G122" s="2057"/>
      <c r="H122" s="2057"/>
      <c r="I122" s="2116" t="s">
        <v>2305</v>
      </c>
      <c r="J122" s="2116"/>
      <c r="K122" s="2116"/>
      <c r="L122" s="2116"/>
      <c r="M122" s="2116"/>
      <c r="N122" s="2116"/>
      <c r="O122" s="2117" t="s">
        <v>2304</v>
      </c>
      <c r="P122" s="2117"/>
      <c r="Q122" s="2117"/>
      <c r="R122" s="2117"/>
      <c r="S122" s="2117"/>
      <c r="T122" s="2117"/>
      <c r="U122" s="2118"/>
      <c r="V122" s="1208"/>
      <c r="W122" s="1208"/>
      <c r="X122" s="2059" t="s">
        <v>2274</v>
      </c>
      <c r="Y122" s="2060"/>
      <c r="Z122" s="2060"/>
      <c r="AA122" s="2060"/>
      <c r="AB122" s="2060"/>
      <c r="AC122" s="2060"/>
      <c r="AD122" s="2060"/>
      <c r="AE122" s="2060"/>
      <c r="AF122" s="2060"/>
      <c r="AG122" s="2060"/>
      <c r="AH122" s="2060"/>
      <c r="AI122" s="2060"/>
      <c r="AJ122" s="2060"/>
      <c r="AK122" s="2060"/>
      <c r="AL122" s="2060"/>
      <c r="AM122" s="2060"/>
      <c r="AN122" s="2060"/>
      <c r="AO122" s="2060"/>
      <c r="AP122" s="2060"/>
      <c r="AQ122" s="2060"/>
      <c r="AR122" s="2060"/>
      <c r="AS122" s="2060"/>
      <c r="AT122" s="2060"/>
      <c r="AU122" s="2060"/>
      <c r="AV122" s="2060"/>
      <c r="AW122" s="2060"/>
      <c r="AX122" s="2060"/>
      <c r="AY122" s="2060"/>
      <c r="AZ122" s="2060"/>
      <c r="BA122" s="2060"/>
      <c r="BB122" s="2060"/>
      <c r="BC122" s="2060"/>
      <c r="BD122" s="2061"/>
      <c r="BE122" s="1215"/>
    </row>
    <row r="123" spans="1:57" ht="15.75" customHeight="1">
      <c r="A123" s="1208"/>
      <c r="B123" s="2090" t="s">
        <v>2288</v>
      </c>
      <c r="C123" s="2091"/>
      <c r="D123" s="2091"/>
      <c r="E123" s="2091"/>
      <c r="F123" s="2091"/>
      <c r="G123" s="2091"/>
      <c r="H123" s="2091"/>
      <c r="I123" s="2092">
        <v>0</v>
      </c>
      <c r="J123" s="2092"/>
      <c r="K123" s="2092"/>
      <c r="L123" s="2092"/>
      <c r="M123" s="2092"/>
      <c r="N123" s="2092"/>
      <c r="O123" s="2092">
        <v>0</v>
      </c>
      <c r="P123" s="2092"/>
      <c r="Q123" s="2092"/>
      <c r="R123" s="2092"/>
      <c r="S123" s="2092"/>
      <c r="T123" s="2092"/>
      <c r="U123" s="2093"/>
      <c r="V123" s="1208"/>
      <c r="W123" s="1208"/>
      <c r="X123" s="2059"/>
      <c r="Y123" s="2060"/>
      <c r="Z123" s="2060"/>
      <c r="AA123" s="2060"/>
      <c r="AB123" s="2060"/>
      <c r="AC123" s="2060"/>
      <c r="AD123" s="2060"/>
      <c r="AE123" s="2060"/>
      <c r="AF123" s="2060"/>
      <c r="AG123" s="2060"/>
      <c r="AH123" s="2060"/>
      <c r="AI123" s="2060"/>
      <c r="AJ123" s="2060"/>
      <c r="AK123" s="2060"/>
      <c r="AL123" s="2060"/>
      <c r="AM123" s="2060"/>
      <c r="AN123" s="2060"/>
      <c r="AO123" s="2060"/>
      <c r="AP123" s="2060"/>
      <c r="AQ123" s="2060"/>
      <c r="AR123" s="2060"/>
      <c r="AS123" s="2060"/>
      <c r="AT123" s="2060"/>
      <c r="AU123" s="2060"/>
      <c r="AV123" s="2060"/>
      <c r="AW123" s="2060"/>
      <c r="AX123" s="2060"/>
      <c r="AY123" s="2060"/>
      <c r="AZ123" s="2060"/>
      <c r="BA123" s="2060"/>
      <c r="BB123" s="2060"/>
      <c r="BC123" s="2060"/>
      <c r="BD123" s="2061"/>
      <c r="BE123" s="1215"/>
    </row>
    <row r="124" spans="1:57" ht="15.75" customHeight="1" thickBot="1">
      <c r="A124" s="1208"/>
      <c r="B124" s="2084" t="s">
        <v>2287</v>
      </c>
      <c r="C124" s="2085"/>
      <c r="D124" s="2085"/>
      <c r="E124" s="2085"/>
      <c r="F124" s="2085"/>
      <c r="G124" s="2085"/>
      <c r="H124" s="2085"/>
      <c r="I124" s="2086">
        <v>0</v>
      </c>
      <c r="J124" s="2086"/>
      <c r="K124" s="2086"/>
      <c r="L124" s="2086"/>
      <c r="M124" s="2086"/>
      <c r="N124" s="2086"/>
      <c r="O124" s="2139"/>
      <c r="P124" s="2139"/>
      <c r="Q124" s="2139"/>
      <c r="R124" s="2139"/>
      <c r="S124" s="2139"/>
      <c r="T124" s="2139"/>
      <c r="U124" s="2140"/>
      <c r="V124" s="1208"/>
      <c r="W124" s="1208"/>
      <c r="X124" s="2059"/>
      <c r="Y124" s="2060"/>
      <c r="Z124" s="2060"/>
      <c r="AA124" s="2060"/>
      <c r="AB124" s="2060"/>
      <c r="AC124" s="2060"/>
      <c r="AD124" s="2060"/>
      <c r="AE124" s="2060"/>
      <c r="AF124" s="2060"/>
      <c r="AG124" s="2060"/>
      <c r="AH124" s="2060"/>
      <c r="AI124" s="2060"/>
      <c r="AJ124" s="2060"/>
      <c r="AK124" s="2060"/>
      <c r="AL124" s="2060"/>
      <c r="AM124" s="2060"/>
      <c r="AN124" s="2060"/>
      <c r="AO124" s="2060"/>
      <c r="AP124" s="2060"/>
      <c r="AQ124" s="2060"/>
      <c r="AR124" s="2060"/>
      <c r="AS124" s="2060"/>
      <c r="AT124" s="2060"/>
      <c r="AU124" s="2060"/>
      <c r="AV124" s="2060"/>
      <c r="AW124" s="2060"/>
      <c r="AX124" s="2060"/>
      <c r="AY124" s="2060"/>
      <c r="AZ124" s="2060"/>
      <c r="BA124" s="2060"/>
      <c r="BB124" s="2060"/>
      <c r="BC124" s="2060"/>
      <c r="BD124" s="2061"/>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59"/>
      <c r="Y125" s="2060"/>
      <c r="Z125" s="2060"/>
      <c r="AA125" s="2060"/>
      <c r="AB125" s="2060"/>
      <c r="AC125" s="2060"/>
      <c r="AD125" s="2060"/>
      <c r="AE125" s="2060"/>
      <c r="AF125" s="2060"/>
      <c r="AG125" s="2060"/>
      <c r="AH125" s="2060"/>
      <c r="AI125" s="2060"/>
      <c r="AJ125" s="2060"/>
      <c r="AK125" s="2060"/>
      <c r="AL125" s="2060"/>
      <c r="AM125" s="2060"/>
      <c r="AN125" s="2060"/>
      <c r="AO125" s="2060"/>
      <c r="AP125" s="2060"/>
      <c r="AQ125" s="2060"/>
      <c r="AR125" s="2060"/>
      <c r="AS125" s="2060"/>
      <c r="AT125" s="2060"/>
      <c r="AU125" s="2060"/>
      <c r="AV125" s="2060"/>
      <c r="AW125" s="2060"/>
      <c r="AX125" s="2060"/>
      <c r="AY125" s="2060"/>
      <c r="AZ125" s="2060"/>
      <c r="BA125" s="2060"/>
      <c r="BB125" s="2060"/>
      <c r="BC125" s="2060"/>
      <c r="BD125" s="2061"/>
      <c r="BE125" s="1215"/>
    </row>
    <row r="126" spans="1:57" ht="15.75" customHeight="1" thickBot="1">
      <c r="A126" s="1208"/>
      <c r="B126" s="1231" t="s">
        <v>2303</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59"/>
      <c r="Y126" s="2060"/>
      <c r="Z126" s="2060"/>
      <c r="AA126" s="2060"/>
      <c r="AB126" s="2060"/>
      <c r="AC126" s="2060"/>
      <c r="AD126" s="2060"/>
      <c r="AE126" s="2060"/>
      <c r="AF126" s="2060"/>
      <c r="AG126" s="2060"/>
      <c r="AH126" s="2060"/>
      <c r="AI126" s="2060"/>
      <c r="AJ126" s="2060"/>
      <c r="AK126" s="2060"/>
      <c r="AL126" s="2060"/>
      <c r="AM126" s="2060"/>
      <c r="AN126" s="2060"/>
      <c r="AO126" s="2060"/>
      <c r="AP126" s="2060"/>
      <c r="AQ126" s="2060"/>
      <c r="AR126" s="2060"/>
      <c r="AS126" s="2060"/>
      <c r="AT126" s="2060"/>
      <c r="AU126" s="2060"/>
      <c r="AV126" s="2060"/>
      <c r="AW126" s="2060"/>
      <c r="AX126" s="2060"/>
      <c r="AY126" s="2060"/>
      <c r="AZ126" s="2060"/>
      <c r="BA126" s="2060"/>
      <c r="BB126" s="2060"/>
      <c r="BC126" s="2060"/>
      <c r="BD126" s="2061"/>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59"/>
      <c r="Y127" s="2060"/>
      <c r="Z127" s="2060"/>
      <c r="AA127" s="2060"/>
      <c r="AB127" s="2060"/>
      <c r="AC127" s="2060"/>
      <c r="AD127" s="2060"/>
      <c r="AE127" s="2060"/>
      <c r="AF127" s="2060"/>
      <c r="AG127" s="2060"/>
      <c r="AH127" s="2060"/>
      <c r="AI127" s="2060"/>
      <c r="AJ127" s="2060"/>
      <c r="AK127" s="2060"/>
      <c r="AL127" s="2060"/>
      <c r="AM127" s="2060"/>
      <c r="AN127" s="2060"/>
      <c r="AO127" s="2060"/>
      <c r="AP127" s="2060"/>
      <c r="AQ127" s="2060"/>
      <c r="AR127" s="2060"/>
      <c r="AS127" s="2060"/>
      <c r="AT127" s="2060"/>
      <c r="AU127" s="2060"/>
      <c r="AV127" s="2060"/>
      <c r="AW127" s="2060"/>
      <c r="AX127" s="2060"/>
      <c r="AY127" s="2060"/>
      <c r="AZ127" s="2060"/>
      <c r="BA127" s="2060"/>
      <c r="BB127" s="2060"/>
      <c r="BC127" s="2060"/>
      <c r="BD127" s="2061"/>
      <c r="BE127" s="1215"/>
    </row>
    <row r="128" spans="1:57" ht="15.75" customHeight="1">
      <c r="A128" s="1208"/>
      <c r="B128" s="2119" t="s">
        <v>2302</v>
      </c>
      <c r="C128" s="2120"/>
      <c r="D128" s="2120"/>
      <c r="E128" s="2120"/>
      <c r="F128" s="2120"/>
      <c r="G128" s="2120"/>
      <c r="H128" s="2120"/>
      <c r="I128" s="2120"/>
      <c r="J128" s="2120"/>
      <c r="K128" s="2120"/>
      <c r="L128" s="2120"/>
      <c r="M128" s="2120"/>
      <c r="N128" s="2120"/>
      <c r="O128" s="2120"/>
      <c r="P128" s="2120"/>
      <c r="Q128" s="2120"/>
      <c r="R128" s="2120"/>
      <c r="S128" s="2120"/>
      <c r="T128" s="2120"/>
      <c r="U128" s="2121"/>
      <c r="V128" s="1208"/>
      <c r="W128" s="1208"/>
      <c r="X128" s="2059"/>
      <c r="Y128" s="2060"/>
      <c r="Z128" s="2060"/>
      <c r="AA128" s="2060"/>
      <c r="AB128" s="2060"/>
      <c r="AC128" s="2060"/>
      <c r="AD128" s="2060"/>
      <c r="AE128" s="2060"/>
      <c r="AF128" s="2060"/>
      <c r="AG128" s="2060"/>
      <c r="AH128" s="2060"/>
      <c r="AI128" s="2060"/>
      <c r="AJ128" s="2060"/>
      <c r="AK128" s="2060"/>
      <c r="AL128" s="2060"/>
      <c r="AM128" s="2060"/>
      <c r="AN128" s="2060"/>
      <c r="AO128" s="2060"/>
      <c r="AP128" s="2060"/>
      <c r="AQ128" s="2060"/>
      <c r="AR128" s="2060"/>
      <c r="AS128" s="2060"/>
      <c r="AT128" s="2060"/>
      <c r="AU128" s="2060"/>
      <c r="AV128" s="2060"/>
      <c r="AW128" s="2060"/>
      <c r="AX128" s="2060"/>
      <c r="AY128" s="2060"/>
      <c r="AZ128" s="2060"/>
      <c r="BA128" s="2060"/>
      <c r="BB128" s="2060"/>
      <c r="BC128" s="2060"/>
      <c r="BD128" s="2061"/>
      <c r="BE128" s="1215"/>
    </row>
    <row r="129" spans="1:57" ht="15.75" customHeight="1">
      <c r="A129" s="1208"/>
      <c r="B129" s="2056"/>
      <c r="C129" s="2057"/>
      <c r="D129" s="2057"/>
      <c r="E129" s="2057"/>
      <c r="F129" s="2057"/>
      <c r="G129" s="2057"/>
      <c r="H129" s="2057"/>
      <c r="I129" s="2094" t="s">
        <v>2290</v>
      </c>
      <c r="J129" s="2094"/>
      <c r="K129" s="2094"/>
      <c r="L129" s="2094"/>
      <c r="M129" s="2094"/>
      <c r="N129" s="2094"/>
      <c r="O129" s="2094"/>
      <c r="P129" s="2094" t="s">
        <v>2289</v>
      </c>
      <c r="Q129" s="2094"/>
      <c r="R129" s="2094"/>
      <c r="S129" s="2094"/>
      <c r="T129" s="2094"/>
      <c r="U129" s="2095"/>
      <c r="V129" s="1208"/>
      <c r="W129" s="1208"/>
      <c r="X129" s="2059"/>
      <c r="Y129" s="2060"/>
      <c r="Z129" s="2060"/>
      <c r="AA129" s="2060"/>
      <c r="AB129" s="2060"/>
      <c r="AC129" s="2060"/>
      <c r="AD129" s="2060"/>
      <c r="AE129" s="2060"/>
      <c r="AF129" s="2060"/>
      <c r="AG129" s="2060"/>
      <c r="AH129" s="2060"/>
      <c r="AI129" s="2060"/>
      <c r="AJ129" s="2060"/>
      <c r="AK129" s="2060"/>
      <c r="AL129" s="2060"/>
      <c r="AM129" s="2060"/>
      <c r="AN129" s="2060"/>
      <c r="AO129" s="2060"/>
      <c r="AP129" s="2060"/>
      <c r="AQ129" s="2060"/>
      <c r="AR129" s="2060"/>
      <c r="AS129" s="2060"/>
      <c r="AT129" s="2060"/>
      <c r="AU129" s="2060"/>
      <c r="AV129" s="2060"/>
      <c r="AW129" s="2060"/>
      <c r="AX129" s="2060"/>
      <c r="AY129" s="2060"/>
      <c r="AZ129" s="2060"/>
      <c r="BA129" s="2060"/>
      <c r="BB129" s="2060"/>
      <c r="BC129" s="2060"/>
      <c r="BD129" s="2061"/>
      <c r="BE129" s="1215"/>
    </row>
    <row r="130" spans="1:57" ht="15.75" customHeight="1">
      <c r="A130" s="1208"/>
      <c r="B130" s="2056"/>
      <c r="C130" s="2057"/>
      <c r="D130" s="2057"/>
      <c r="E130" s="2057"/>
      <c r="F130" s="2057"/>
      <c r="G130" s="2057"/>
      <c r="H130" s="2057"/>
      <c r="I130" s="2094"/>
      <c r="J130" s="2094"/>
      <c r="K130" s="2094"/>
      <c r="L130" s="2094"/>
      <c r="M130" s="2094"/>
      <c r="N130" s="2094"/>
      <c r="O130" s="2094"/>
      <c r="P130" s="2094"/>
      <c r="Q130" s="2094"/>
      <c r="R130" s="2094"/>
      <c r="S130" s="2094"/>
      <c r="T130" s="2094"/>
      <c r="U130" s="2095"/>
      <c r="V130" s="1208"/>
      <c r="W130" s="1208"/>
      <c r="X130" s="2059"/>
      <c r="Y130" s="2060"/>
      <c r="Z130" s="2060"/>
      <c r="AA130" s="2060"/>
      <c r="AB130" s="2060"/>
      <c r="AC130" s="2060"/>
      <c r="AD130" s="2060"/>
      <c r="AE130" s="2060"/>
      <c r="AF130" s="2060"/>
      <c r="AG130" s="2060"/>
      <c r="AH130" s="2060"/>
      <c r="AI130" s="2060"/>
      <c r="AJ130" s="2060"/>
      <c r="AK130" s="2060"/>
      <c r="AL130" s="2060"/>
      <c r="AM130" s="2060"/>
      <c r="AN130" s="2060"/>
      <c r="AO130" s="2060"/>
      <c r="AP130" s="2060"/>
      <c r="AQ130" s="2060"/>
      <c r="AR130" s="2060"/>
      <c r="AS130" s="2060"/>
      <c r="AT130" s="2060"/>
      <c r="AU130" s="2060"/>
      <c r="AV130" s="2060"/>
      <c r="AW130" s="2060"/>
      <c r="AX130" s="2060"/>
      <c r="AY130" s="2060"/>
      <c r="AZ130" s="2060"/>
      <c r="BA130" s="2060"/>
      <c r="BB130" s="2060"/>
      <c r="BC130" s="2060"/>
      <c r="BD130" s="2061"/>
      <c r="BE130" s="1215"/>
    </row>
    <row r="131" spans="1:57" ht="15.75" customHeight="1">
      <c r="A131" s="1208"/>
      <c r="B131" s="2090" t="s">
        <v>2288</v>
      </c>
      <c r="C131" s="2091"/>
      <c r="D131" s="2091"/>
      <c r="E131" s="2091"/>
      <c r="F131" s="2091"/>
      <c r="G131" s="2091"/>
      <c r="H131" s="2091"/>
      <c r="I131" s="2092">
        <v>0</v>
      </c>
      <c r="J131" s="2092"/>
      <c r="K131" s="2092"/>
      <c r="L131" s="2092"/>
      <c r="M131" s="2092"/>
      <c r="N131" s="2092"/>
      <c r="O131" s="2092"/>
      <c r="P131" s="2092">
        <v>0</v>
      </c>
      <c r="Q131" s="2092"/>
      <c r="R131" s="2092"/>
      <c r="S131" s="2092"/>
      <c r="T131" s="2092"/>
      <c r="U131" s="2093"/>
      <c r="V131" s="1208"/>
      <c r="W131" s="1208"/>
      <c r="X131" s="2059"/>
      <c r="Y131" s="2060"/>
      <c r="Z131" s="2060"/>
      <c r="AA131" s="2060"/>
      <c r="AB131" s="2060"/>
      <c r="AC131" s="2060"/>
      <c r="AD131" s="2060"/>
      <c r="AE131" s="2060"/>
      <c r="AF131" s="2060"/>
      <c r="AG131" s="2060"/>
      <c r="AH131" s="2060"/>
      <c r="AI131" s="2060"/>
      <c r="AJ131" s="2060"/>
      <c r="AK131" s="2060"/>
      <c r="AL131" s="2060"/>
      <c r="AM131" s="2060"/>
      <c r="AN131" s="2060"/>
      <c r="AO131" s="2060"/>
      <c r="AP131" s="2060"/>
      <c r="AQ131" s="2060"/>
      <c r="AR131" s="2060"/>
      <c r="AS131" s="2060"/>
      <c r="AT131" s="2060"/>
      <c r="AU131" s="2060"/>
      <c r="AV131" s="2060"/>
      <c r="AW131" s="2060"/>
      <c r="AX131" s="2060"/>
      <c r="AY131" s="2060"/>
      <c r="AZ131" s="2060"/>
      <c r="BA131" s="2060"/>
      <c r="BB131" s="2060"/>
      <c r="BC131" s="2060"/>
      <c r="BD131" s="2061"/>
      <c r="BE131" s="1215"/>
    </row>
    <row r="132" spans="1:57" ht="15.75" customHeight="1" thickBot="1">
      <c r="A132" s="1208"/>
      <c r="B132" s="2084" t="s">
        <v>2287</v>
      </c>
      <c r="C132" s="2085"/>
      <c r="D132" s="2085"/>
      <c r="E132" s="2085"/>
      <c r="F132" s="2085"/>
      <c r="G132" s="2085"/>
      <c r="H132" s="2085"/>
      <c r="I132" s="2086">
        <v>0</v>
      </c>
      <c r="J132" s="2086"/>
      <c r="K132" s="2086"/>
      <c r="L132" s="2086"/>
      <c r="M132" s="2086"/>
      <c r="N132" s="2086"/>
      <c r="O132" s="2086"/>
      <c r="P132" s="2086">
        <v>0</v>
      </c>
      <c r="Q132" s="2086"/>
      <c r="R132" s="2086"/>
      <c r="S132" s="2086"/>
      <c r="T132" s="2086"/>
      <c r="U132" s="2087"/>
      <c r="V132" s="1208"/>
      <c r="W132" s="1208"/>
      <c r="X132" s="2062"/>
      <c r="Y132" s="2063"/>
      <c r="Z132" s="2063"/>
      <c r="AA132" s="2063"/>
      <c r="AB132" s="2063"/>
      <c r="AC132" s="2063"/>
      <c r="AD132" s="2063"/>
      <c r="AE132" s="2063"/>
      <c r="AF132" s="2063"/>
      <c r="AG132" s="2063"/>
      <c r="AH132" s="2063"/>
      <c r="AI132" s="2063"/>
      <c r="AJ132" s="2063"/>
      <c r="AK132" s="2063"/>
      <c r="AL132" s="2063"/>
      <c r="AM132" s="2063"/>
      <c r="AN132" s="2063"/>
      <c r="AO132" s="2063"/>
      <c r="AP132" s="2063"/>
      <c r="AQ132" s="2063"/>
      <c r="AR132" s="2063"/>
      <c r="AS132" s="2063"/>
      <c r="AT132" s="2063"/>
      <c r="AU132" s="2063"/>
      <c r="AV132" s="2063"/>
      <c r="AW132" s="2063"/>
      <c r="AX132" s="2063"/>
      <c r="AY132" s="2063"/>
      <c r="AZ132" s="2063"/>
      <c r="BA132" s="2063"/>
      <c r="BB132" s="2063"/>
      <c r="BC132" s="2063"/>
      <c r="BD132" s="2064"/>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11" t="s">
        <v>2301</v>
      </c>
      <c r="C134" s="2112"/>
      <c r="D134" s="2112"/>
      <c r="E134" s="2112"/>
      <c r="F134" s="2112"/>
      <c r="G134" s="2112"/>
      <c r="H134" s="2112"/>
      <c r="I134" s="2112"/>
      <c r="J134" s="2112"/>
      <c r="K134" s="2112"/>
      <c r="L134" s="2112"/>
      <c r="M134" s="2112"/>
      <c r="N134" s="2112"/>
      <c r="O134" s="2112"/>
      <c r="P134" s="2112"/>
      <c r="Q134" s="2112"/>
      <c r="R134" s="2112"/>
      <c r="S134" s="2112"/>
      <c r="T134" s="2112"/>
      <c r="U134" s="2112"/>
      <c r="V134" s="2112"/>
      <c r="W134" s="2112"/>
      <c r="X134" s="2112"/>
      <c r="Y134" s="2112"/>
      <c r="Z134" s="2112"/>
      <c r="AA134" s="2112"/>
      <c r="AB134" s="2112"/>
      <c r="AC134" s="2112"/>
      <c r="AD134" s="2112"/>
      <c r="AE134" s="2112"/>
      <c r="AF134" s="2112"/>
      <c r="AG134" s="2112"/>
      <c r="AH134" s="2099" t="s">
        <v>545</v>
      </c>
      <c r="AI134" s="2099"/>
      <c r="AJ134" s="2099"/>
      <c r="AK134" s="2099"/>
      <c r="AL134" s="2099"/>
      <c r="AM134" s="2099"/>
      <c r="AN134" s="2099"/>
      <c r="AO134" s="2099"/>
      <c r="AP134" s="2099"/>
      <c r="AQ134" s="2099"/>
      <c r="AR134" s="2099"/>
      <c r="AS134" s="2099"/>
      <c r="AT134" s="2099"/>
      <c r="AU134" s="2099"/>
      <c r="AV134" s="2099"/>
      <c r="AW134" s="2099"/>
      <c r="AX134" s="2100"/>
      <c r="AY134" s="1208"/>
      <c r="AZ134" s="1208"/>
      <c r="BA134" s="1208"/>
      <c r="BB134" s="1208"/>
      <c r="BC134" s="1208"/>
      <c r="BD134" s="1208"/>
      <c r="BE134" s="1215"/>
    </row>
    <row r="135" spans="1:57" ht="15.75" customHeight="1" thickBot="1">
      <c r="A135" s="1208"/>
      <c r="B135" s="2096" t="s">
        <v>2300</v>
      </c>
      <c r="C135" s="2097"/>
      <c r="D135" s="2097"/>
      <c r="E135" s="2097"/>
      <c r="F135" s="2097"/>
      <c r="G135" s="2097"/>
      <c r="H135" s="2097"/>
      <c r="I135" s="2097"/>
      <c r="J135" s="2097"/>
      <c r="K135" s="2097"/>
      <c r="L135" s="2097"/>
      <c r="M135" s="2097"/>
      <c r="N135" s="2097"/>
      <c r="O135" s="2097"/>
      <c r="P135" s="2097"/>
      <c r="Q135" s="2097"/>
      <c r="R135" s="2097"/>
      <c r="S135" s="2097"/>
      <c r="T135" s="2097"/>
      <c r="U135" s="2097"/>
      <c r="V135" s="2097"/>
      <c r="W135" s="2097"/>
      <c r="X135" s="2097"/>
      <c r="Y135" s="2097"/>
      <c r="Z135" s="2097"/>
      <c r="AA135" s="2097"/>
      <c r="AB135" s="2097"/>
      <c r="AC135" s="2097"/>
      <c r="AD135" s="2097"/>
      <c r="AE135" s="2097"/>
      <c r="AF135" s="2097"/>
      <c r="AG135" s="2098"/>
      <c r="AH135" s="2113"/>
      <c r="AI135" s="2114"/>
      <c r="AJ135" s="2114"/>
      <c r="AK135" s="2114"/>
      <c r="AL135" s="2114"/>
      <c r="AM135" s="2114"/>
      <c r="AN135" s="2114"/>
      <c r="AO135" s="2114"/>
      <c r="AP135" s="2114"/>
      <c r="AQ135" s="2114"/>
      <c r="AR135" s="2114"/>
      <c r="AS135" s="2114"/>
      <c r="AT135" s="2114"/>
      <c r="AU135" s="2114"/>
      <c r="AV135" s="2114"/>
      <c r="AW135" s="2114"/>
      <c r="AX135" s="2115"/>
      <c r="AY135" s="1208"/>
      <c r="AZ135" s="1208"/>
      <c r="BA135" s="1208"/>
      <c r="BB135" s="1208"/>
      <c r="BC135" s="1208"/>
      <c r="BD135" s="1208"/>
      <c r="BE135" s="1215"/>
    </row>
    <row r="136" spans="1:57" ht="15.75" customHeight="1">
      <c r="A136" s="1208"/>
      <c r="B136" s="2096" t="s">
        <v>2299</v>
      </c>
      <c r="C136" s="2097"/>
      <c r="D136" s="2097"/>
      <c r="E136" s="2097"/>
      <c r="F136" s="2097"/>
      <c r="G136" s="2097"/>
      <c r="H136" s="2097"/>
      <c r="I136" s="2097"/>
      <c r="J136" s="2097"/>
      <c r="K136" s="2097"/>
      <c r="L136" s="2097"/>
      <c r="M136" s="2097"/>
      <c r="N136" s="2097"/>
      <c r="O136" s="2097"/>
      <c r="P136" s="2097"/>
      <c r="Q136" s="2097"/>
      <c r="R136" s="2097"/>
      <c r="S136" s="2097"/>
      <c r="T136" s="2097"/>
      <c r="U136" s="2097"/>
      <c r="V136" s="2097"/>
      <c r="W136" s="2097"/>
      <c r="X136" s="2097"/>
      <c r="Y136" s="2097"/>
      <c r="Z136" s="2097"/>
      <c r="AA136" s="2097"/>
      <c r="AB136" s="2097"/>
      <c r="AC136" s="2097"/>
      <c r="AD136" s="2097"/>
      <c r="AE136" s="2097"/>
      <c r="AF136" s="2097"/>
      <c r="AG136" s="2098"/>
      <c r="AH136" s="2099" t="s">
        <v>545</v>
      </c>
      <c r="AI136" s="2099"/>
      <c r="AJ136" s="2099"/>
      <c r="AK136" s="2099"/>
      <c r="AL136" s="2099"/>
      <c r="AM136" s="2099"/>
      <c r="AN136" s="2099"/>
      <c r="AO136" s="2099"/>
      <c r="AP136" s="2099"/>
      <c r="AQ136" s="2099"/>
      <c r="AR136" s="2099"/>
      <c r="AS136" s="2099"/>
      <c r="AT136" s="2099"/>
      <c r="AU136" s="2099"/>
      <c r="AV136" s="2099"/>
      <c r="AW136" s="2099"/>
      <c r="AX136" s="2100"/>
      <c r="AY136" s="1208"/>
      <c r="AZ136" s="1208"/>
      <c r="BA136" s="1208"/>
      <c r="BB136" s="1208"/>
      <c r="BC136" s="1208"/>
      <c r="BD136" s="1208"/>
      <c r="BE136" s="1215"/>
    </row>
    <row r="137" spans="1:57" ht="15.75" customHeight="1">
      <c r="A137" s="1208"/>
      <c r="B137" s="2101" t="s">
        <v>2298</v>
      </c>
      <c r="C137" s="2102"/>
      <c r="D137" s="2102"/>
      <c r="E137" s="2102"/>
      <c r="F137" s="2102"/>
      <c r="G137" s="2102"/>
      <c r="H137" s="2102"/>
      <c r="I137" s="2102"/>
      <c r="J137" s="2102"/>
      <c r="K137" s="2102"/>
      <c r="L137" s="2102"/>
      <c r="M137" s="2102"/>
      <c r="N137" s="2102"/>
      <c r="O137" s="2102"/>
      <c r="P137" s="2102"/>
      <c r="Q137" s="2102"/>
      <c r="R137" s="2103" t="s">
        <v>2297</v>
      </c>
      <c r="S137" s="2103"/>
      <c r="T137" s="2103"/>
      <c r="U137" s="2103"/>
      <c r="V137" s="2103"/>
      <c r="W137" s="2103"/>
      <c r="X137" s="2103"/>
      <c r="Y137" s="2103"/>
      <c r="Z137" s="2103"/>
      <c r="AA137" s="2103"/>
      <c r="AB137" s="2103"/>
      <c r="AC137" s="2103"/>
      <c r="AD137" s="2103"/>
      <c r="AE137" s="2103"/>
      <c r="AF137" s="2103"/>
      <c r="AG137" s="2103"/>
      <c r="AH137" s="2103"/>
      <c r="AI137" s="2103"/>
      <c r="AJ137" s="2103"/>
      <c r="AK137" s="2103"/>
      <c r="AL137" s="2103"/>
      <c r="AM137" s="2103"/>
      <c r="AN137" s="2103"/>
      <c r="AO137" s="2103"/>
      <c r="AP137" s="2103"/>
      <c r="AQ137" s="2103"/>
      <c r="AR137" s="2103"/>
      <c r="AS137" s="2103"/>
      <c r="AT137" s="2103"/>
      <c r="AU137" s="2103"/>
      <c r="AV137" s="2103"/>
      <c r="AW137" s="2103"/>
      <c r="AX137" s="2104"/>
      <c r="AY137" s="1208"/>
      <c r="AZ137" s="1208"/>
      <c r="BA137" s="1208"/>
      <c r="BB137" s="1208"/>
      <c r="BC137" s="1208" t="s">
        <v>250</v>
      </c>
      <c r="BD137" s="1208"/>
      <c r="BE137" s="1215"/>
    </row>
    <row r="138" spans="1:57" ht="15.75" customHeight="1">
      <c r="A138" s="1208"/>
      <c r="B138" s="2105" t="s">
        <v>2296</v>
      </c>
      <c r="C138" s="2106"/>
      <c r="D138" s="2106"/>
      <c r="E138" s="2106"/>
      <c r="F138" s="2106"/>
      <c r="G138" s="2106"/>
      <c r="H138" s="2106"/>
      <c r="I138" s="2106"/>
      <c r="J138" s="2106"/>
      <c r="K138" s="2106"/>
      <c r="L138" s="2106"/>
      <c r="M138" s="2106"/>
      <c r="N138" s="2106"/>
      <c r="O138" s="2106"/>
      <c r="P138" s="2106"/>
      <c r="Q138" s="2106"/>
      <c r="R138" s="2106"/>
      <c r="S138" s="2106"/>
      <c r="T138" s="2106"/>
      <c r="U138" s="2106"/>
      <c r="V138" s="2106"/>
      <c r="W138" s="2106"/>
      <c r="X138" s="2106"/>
      <c r="Y138" s="2106"/>
      <c r="Z138" s="2106"/>
      <c r="AA138" s="2106"/>
      <c r="AB138" s="2106"/>
      <c r="AC138" s="2106"/>
      <c r="AD138" s="2106"/>
      <c r="AE138" s="2106"/>
      <c r="AF138" s="2106"/>
      <c r="AG138" s="2106"/>
      <c r="AH138" s="2106"/>
      <c r="AI138" s="2106"/>
      <c r="AJ138" s="2106"/>
      <c r="AK138" s="2106"/>
      <c r="AL138" s="2106"/>
      <c r="AM138" s="2106"/>
      <c r="AN138" s="2106"/>
      <c r="AO138" s="2106"/>
      <c r="AP138" s="2106"/>
      <c r="AQ138" s="2106"/>
      <c r="AR138" s="2106"/>
      <c r="AS138" s="2106"/>
      <c r="AT138" s="2106"/>
      <c r="AU138" s="2106"/>
      <c r="AV138" s="2106"/>
      <c r="AW138" s="2106"/>
      <c r="AX138" s="2107"/>
      <c r="AY138" s="1208"/>
      <c r="AZ138" s="1208"/>
      <c r="BA138" s="1208"/>
      <c r="BB138" s="1208"/>
      <c r="BC138" s="1208"/>
      <c r="BD138" s="1208"/>
      <c r="BE138" s="1215"/>
    </row>
    <row r="139" spans="1:57" ht="15.75" customHeight="1">
      <c r="A139" s="1208"/>
      <c r="B139" s="2105"/>
      <c r="C139" s="2106"/>
      <c r="D139" s="2106"/>
      <c r="E139" s="2106"/>
      <c r="F139" s="2106"/>
      <c r="G139" s="2106"/>
      <c r="H139" s="2106"/>
      <c r="I139" s="2106"/>
      <c r="J139" s="2106"/>
      <c r="K139" s="2106"/>
      <c r="L139" s="2106"/>
      <c r="M139" s="2106"/>
      <c r="N139" s="2106"/>
      <c r="O139" s="2106"/>
      <c r="P139" s="2106"/>
      <c r="Q139" s="2106"/>
      <c r="R139" s="2106"/>
      <c r="S139" s="2106"/>
      <c r="T139" s="2106"/>
      <c r="U139" s="2106"/>
      <c r="V139" s="2106"/>
      <c r="W139" s="2106"/>
      <c r="X139" s="2106"/>
      <c r="Y139" s="2106"/>
      <c r="Z139" s="2106"/>
      <c r="AA139" s="2106"/>
      <c r="AB139" s="2106"/>
      <c r="AC139" s="2106"/>
      <c r="AD139" s="2106"/>
      <c r="AE139" s="2106"/>
      <c r="AF139" s="2106"/>
      <c r="AG139" s="2106"/>
      <c r="AH139" s="2106"/>
      <c r="AI139" s="2106"/>
      <c r="AJ139" s="2106"/>
      <c r="AK139" s="2106"/>
      <c r="AL139" s="2106"/>
      <c r="AM139" s="2106"/>
      <c r="AN139" s="2106"/>
      <c r="AO139" s="2106"/>
      <c r="AP139" s="2106"/>
      <c r="AQ139" s="2106"/>
      <c r="AR139" s="2106"/>
      <c r="AS139" s="2106"/>
      <c r="AT139" s="2106"/>
      <c r="AU139" s="2106"/>
      <c r="AV139" s="2106"/>
      <c r="AW139" s="2106"/>
      <c r="AX139" s="2107"/>
      <c r="AY139" s="1208"/>
      <c r="AZ139" s="1208"/>
      <c r="BA139" s="1208"/>
      <c r="BB139" s="1208"/>
      <c r="BC139" s="1208"/>
      <c r="BD139" s="1208"/>
      <c r="BE139" s="1215"/>
    </row>
    <row r="140" spans="1:57" ht="15.75" customHeight="1">
      <c r="A140" s="1208"/>
      <c r="B140" s="2105"/>
      <c r="C140" s="2106"/>
      <c r="D140" s="2106"/>
      <c r="E140" s="2106"/>
      <c r="F140" s="2106"/>
      <c r="G140" s="2106"/>
      <c r="H140" s="2106"/>
      <c r="I140" s="2106"/>
      <c r="J140" s="2106"/>
      <c r="K140" s="2106"/>
      <c r="L140" s="2106"/>
      <c r="M140" s="2106"/>
      <c r="N140" s="2106"/>
      <c r="O140" s="2106"/>
      <c r="P140" s="2106"/>
      <c r="Q140" s="2106"/>
      <c r="R140" s="2106"/>
      <c r="S140" s="2106"/>
      <c r="T140" s="2106"/>
      <c r="U140" s="2106"/>
      <c r="V140" s="2106"/>
      <c r="W140" s="2106"/>
      <c r="X140" s="2106"/>
      <c r="Y140" s="2106"/>
      <c r="Z140" s="2106"/>
      <c r="AA140" s="2106"/>
      <c r="AB140" s="2106"/>
      <c r="AC140" s="2106"/>
      <c r="AD140" s="2106"/>
      <c r="AE140" s="2106"/>
      <c r="AF140" s="2106"/>
      <c r="AG140" s="2106"/>
      <c r="AH140" s="2106"/>
      <c r="AI140" s="2106"/>
      <c r="AJ140" s="2106"/>
      <c r="AK140" s="2106"/>
      <c r="AL140" s="2106"/>
      <c r="AM140" s="2106"/>
      <c r="AN140" s="2106"/>
      <c r="AO140" s="2106"/>
      <c r="AP140" s="2106"/>
      <c r="AQ140" s="2106"/>
      <c r="AR140" s="2106"/>
      <c r="AS140" s="2106"/>
      <c r="AT140" s="2106"/>
      <c r="AU140" s="2106"/>
      <c r="AV140" s="2106"/>
      <c r="AW140" s="2106"/>
      <c r="AX140" s="2107"/>
      <c r="AY140" s="1208"/>
      <c r="AZ140" s="1208"/>
      <c r="BA140" s="1208"/>
      <c r="BB140" s="1208"/>
      <c r="BC140" s="1208"/>
      <c r="BD140" s="1208"/>
      <c r="BE140" s="1215"/>
    </row>
    <row r="141" spans="1:57" ht="15.75" customHeight="1">
      <c r="A141" s="1208"/>
      <c r="B141" s="2105"/>
      <c r="C141" s="2106"/>
      <c r="D141" s="2106"/>
      <c r="E141" s="2106"/>
      <c r="F141" s="2106"/>
      <c r="G141" s="2106"/>
      <c r="H141" s="2106"/>
      <c r="I141" s="2106"/>
      <c r="J141" s="2106"/>
      <c r="K141" s="2106"/>
      <c r="L141" s="2106"/>
      <c r="M141" s="2106"/>
      <c r="N141" s="2106"/>
      <c r="O141" s="2106"/>
      <c r="P141" s="2106"/>
      <c r="Q141" s="2106"/>
      <c r="R141" s="2106"/>
      <c r="S141" s="2106"/>
      <c r="T141" s="2106"/>
      <c r="U141" s="2106"/>
      <c r="V141" s="2106"/>
      <c r="W141" s="2106"/>
      <c r="X141" s="2106"/>
      <c r="Y141" s="2106"/>
      <c r="Z141" s="2106"/>
      <c r="AA141" s="2106"/>
      <c r="AB141" s="2106"/>
      <c r="AC141" s="2106"/>
      <c r="AD141" s="2106"/>
      <c r="AE141" s="2106"/>
      <c r="AF141" s="2106"/>
      <c r="AG141" s="2106"/>
      <c r="AH141" s="2106"/>
      <c r="AI141" s="2106"/>
      <c r="AJ141" s="2106"/>
      <c r="AK141" s="2106"/>
      <c r="AL141" s="2106"/>
      <c r="AM141" s="2106"/>
      <c r="AN141" s="2106"/>
      <c r="AO141" s="2106"/>
      <c r="AP141" s="2106"/>
      <c r="AQ141" s="2106"/>
      <c r="AR141" s="2106"/>
      <c r="AS141" s="2106"/>
      <c r="AT141" s="2106"/>
      <c r="AU141" s="2106"/>
      <c r="AV141" s="2106"/>
      <c r="AW141" s="2106"/>
      <c r="AX141" s="2107"/>
      <c r="AY141" s="1208"/>
      <c r="AZ141" s="1208"/>
      <c r="BA141" s="1208"/>
      <c r="BB141" s="1208"/>
      <c r="BC141" s="1208"/>
      <c r="BD141" s="1208"/>
      <c r="BE141" s="1215"/>
    </row>
    <row r="142" spans="1:57" ht="15.75" customHeight="1">
      <c r="A142" s="1208"/>
      <c r="B142" s="2105"/>
      <c r="C142" s="2106"/>
      <c r="D142" s="2106"/>
      <c r="E142" s="2106"/>
      <c r="F142" s="2106"/>
      <c r="G142" s="2106"/>
      <c r="H142" s="2106"/>
      <c r="I142" s="2106"/>
      <c r="J142" s="2106"/>
      <c r="K142" s="2106"/>
      <c r="L142" s="2106"/>
      <c r="M142" s="2106"/>
      <c r="N142" s="2106"/>
      <c r="O142" s="2106"/>
      <c r="P142" s="2106"/>
      <c r="Q142" s="2106"/>
      <c r="R142" s="2106"/>
      <c r="S142" s="2106"/>
      <c r="T142" s="2106"/>
      <c r="U142" s="2106"/>
      <c r="V142" s="2106"/>
      <c r="W142" s="2106"/>
      <c r="X142" s="2106"/>
      <c r="Y142" s="2106"/>
      <c r="Z142" s="2106"/>
      <c r="AA142" s="2106"/>
      <c r="AB142" s="2106"/>
      <c r="AC142" s="2106"/>
      <c r="AD142" s="2106"/>
      <c r="AE142" s="2106"/>
      <c r="AF142" s="2106"/>
      <c r="AG142" s="2106"/>
      <c r="AH142" s="2106"/>
      <c r="AI142" s="2106"/>
      <c r="AJ142" s="2106"/>
      <c r="AK142" s="2106"/>
      <c r="AL142" s="2106"/>
      <c r="AM142" s="2106"/>
      <c r="AN142" s="2106"/>
      <c r="AO142" s="2106"/>
      <c r="AP142" s="2106"/>
      <c r="AQ142" s="2106"/>
      <c r="AR142" s="2106"/>
      <c r="AS142" s="2106"/>
      <c r="AT142" s="2106"/>
      <c r="AU142" s="2106"/>
      <c r="AV142" s="2106"/>
      <c r="AW142" s="2106"/>
      <c r="AX142" s="2107"/>
      <c r="AY142" s="1208"/>
      <c r="AZ142" s="1208"/>
      <c r="BA142" s="1208"/>
      <c r="BB142" s="1208"/>
      <c r="BC142" s="1208"/>
      <c r="BD142" s="1208"/>
      <c r="BE142" s="1215"/>
    </row>
    <row r="143" spans="1:57" ht="15.75" customHeight="1">
      <c r="A143" s="1208"/>
      <c r="B143" s="2105"/>
      <c r="C143" s="2106"/>
      <c r="D143" s="2106"/>
      <c r="E143" s="2106"/>
      <c r="F143" s="2106"/>
      <c r="G143" s="2106"/>
      <c r="H143" s="2106"/>
      <c r="I143" s="2106"/>
      <c r="J143" s="2106"/>
      <c r="K143" s="2106"/>
      <c r="L143" s="2106"/>
      <c r="M143" s="2106"/>
      <c r="N143" s="2106"/>
      <c r="O143" s="2106"/>
      <c r="P143" s="2106"/>
      <c r="Q143" s="2106"/>
      <c r="R143" s="2106"/>
      <c r="S143" s="2106"/>
      <c r="T143" s="2106"/>
      <c r="U143" s="2106"/>
      <c r="V143" s="2106"/>
      <c r="W143" s="2106"/>
      <c r="X143" s="2106"/>
      <c r="Y143" s="2106"/>
      <c r="Z143" s="2106"/>
      <c r="AA143" s="2106"/>
      <c r="AB143" s="2106"/>
      <c r="AC143" s="2106"/>
      <c r="AD143" s="2106"/>
      <c r="AE143" s="2106"/>
      <c r="AF143" s="2106"/>
      <c r="AG143" s="2106"/>
      <c r="AH143" s="2106"/>
      <c r="AI143" s="2106"/>
      <c r="AJ143" s="2106"/>
      <c r="AK143" s="2106"/>
      <c r="AL143" s="2106"/>
      <c r="AM143" s="2106"/>
      <c r="AN143" s="2106"/>
      <c r="AO143" s="2106"/>
      <c r="AP143" s="2106"/>
      <c r="AQ143" s="2106"/>
      <c r="AR143" s="2106"/>
      <c r="AS143" s="2106"/>
      <c r="AT143" s="2106"/>
      <c r="AU143" s="2106"/>
      <c r="AV143" s="2106"/>
      <c r="AW143" s="2106"/>
      <c r="AX143" s="2107"/>
      <c r="AY143" s="1208"/>
      <c r="AZ143" s="1208"/>
      <c r="BA143" s="1208"/>
      <c r="BB143" s="1208"/>
      <c r="BC143" s="1208"/>
      <c r="BD143" s="1208"/>
      <c r="BE143" s="1215"/>
    </row>
    <row r="144" spans="1:57" ht="15.75" customHeight="1">
      <c r="A144" s="1208"/>
      <c r="B144" s="2105"/>
      <c r="C144" s="2106"/>
      <c r="D144" s="2106"/>
      <c r="E144" s="2106"/>
      <c r="F144" s="2106"/>
      <c r="G144" s="2106"/>
      <c r="H144" s="2106"/>
      <c r="I144" s="2106"/>
      <c r="J144" s="2106"/>
      <c r="K144" s="2106"/>
      <c r="L144" s="2106"/>
      <c r="M144" s="2106"/>
      <c r="N144" s="2106"/>
      <c r="O144" s="2106"/>
      <c r="P144" s="2106"/>
      <c r="Q144" s="2106"/>
      <c r="R144" s="2106"/>
      <c r="S144" s="2106"/>
      <c r="T144" s="2106"/>
      <c r="U144" s="2106"/>
      <c r="V144" s="2106"/>
      <c r="W144" s="2106"/>
      <c r="X144" s="2106"/>
      <c r="Y144" s="2106"/>
      <c r="Z144" s="2106"/>
      <c r="AA144" s="2106"/>
      <c r="AB144" s="2106"/>
      <c r="AC144" s="2106"/>
      <c r="AD144" s="2106"/>
      <c r="AE144" s="2106"/>
      <c r="AF144" s="2106"/>
      <c r="AG144" s="2106"/>
      <c r="AH144" s="2106"/>
      <c r="AI144" s="2106"/>
      <c r="AJ144" s="2106"/>
      <c r="AK144" s="2106"/>
      <c r="AL144" s="2106"/>
      <c r="AM144" s="2106"/>
      <c r="AN144" s="2106"/>
      <c r="AO144" s="2106"/>
      <c r="AP144" s="2106"/>
      <c r="AQ144" s="2106"/>
      <c r="AR144" s="2106"/>
      <c r="AS144" s="2106"/>
      <c r="AT144" s="2106"/>
      <c r="AU144" s="2106"/>
      <c r="AV144" s="2106"/>
      <c r="AW144" s="2106"/>
      <c r="AX144" s="2107"/>
      <c r="AY144" s="1208"/>
      <c r="AZ144" s="1208"/>
      <c r="BA144" s="1208"/>
      <c r="BB144" s="1208"/>
      <c r="BC144" s="1208"/>
      <c r="BD144" s="1208"/>
      <c r="BE144" s="1215"/>
    </row>
    <row r="145" spans="1:57" ht="15.75" customHeight="1">
      <c r="A145" s="1208"/>
      <c r="B145" s="2105"/>
      <c r="C145" s="2106"/>
      <c r="D145" s="2106"/>
      <c r="E145" s="2106"/>
      <c r="F145" s="2106"/>
      <c r="G145" s="2106"/>
      <c r="H145" s="2106"/>
      <c r="I145" s="2106"/>
      <c r="J145" s="2106"/>
      <c r="K145" s="2106"/>
      <c r="L145" s="2106"/>
      <c r="M145" s="2106"/>
      <c r="N145" s="2106"/>
      <c r="O145" s="2106"/>
      <c r="P145" s="2106"/>
      <c r="Q145" s="2106"/>
      <c r="R145" s="2106"/>
      <c r="S145" s="2106"/>
      <c r="T145" s="2106"/>
      <c r="U145" s="2106"/>
      <c r="V145" s="2106"/>
      <c r="W145" s="2106"/>
      <c r="X145" s="2106"/>
      <c r="Y145" s="2106"/>
      <c r="Z145" s="2106"/>
      <c r="AA145" s="2106"/>
      <c r="AB145" s="2106"/>
      <c r="AC145" s="2106"/>
      <c r="AD145" s="2106"/>
      <c r="AE145" s="2106"/>
      <c r="AF145" s="2106"/>
      <c r="AG145" s="2106"/>
      <c r="AH145" s="2106"/>
      <c r="AI145" s="2106"/>
      <c r="AJ145" s="2106"/>
      <c r="AK145" s="2106"/>
      <c r="AL145" s="2106"/>
      <c r="AM145" s="2106"/>
      <c r="AN145" s="2106"/>
      <c r="AO145" s="2106"/>
      <c r="AP145" s="2106"/>
      <c r="AQ145" s="2106"/>
      <c r="AR145" s="2106"/>
      <c r="AS145" s="2106"/>
      <c r="AT145" s="2106"/>
      <c r="AU145" s="2106"/>
      <c r="AV145" s="2106"/>
      <c r="AW145" s="2106"/>
      <c r="AX145" s="2107"/>
      <c r="AY145" s="1208"/>
      <c r="AZ145" s="1208"/>
      <c r="BA145" s="1208"/>
      <c r="BB145" s="1208"/>
      <c r="BC145" s="1208"/>
      <c r="BD145" s="1208"/>
      <c r="BE145" s="1215"/>
    </row>
    <row r="146" spans="1:57" ht="15.75" customHeight="1">
      <c r="A146" s="1208"/>
      <c r="B146" s="2105"/>
      <c r="C146" s="2106"/>
      <c r="D146" s="2106"/>
      <c r="E146" s="2106"/>
      <c r="F146" s="2106"/>
      <c r="G146" s="2106"/>
      <c r="H146" s="2106"/>
      <c r="I146" s="2106"/>
      <c r="J146" s="2106"/>
      <c r="K146" s="2106"/>
      <c r="L146" s="2106"/>
      <c r="M146" s="2106"/>
      <c r="N146" s="2106"/>
      <c r="O146" s="2106"/>
      <c r="P146" s="2106"/>
      <c r="Q146" s="2106"/>
      <c r="R146" s="2106"/>
      <c r="S146" s="2106"/>
      <c r="T146" s="2106"/>
      <c r="U146" s="2106"/>
      <c r="V146" s="2106"/>
      <c r="W146" s="2106"/>
      <c r="X146" s="2106"/>
      <c r="Y146" s="2106"/>
      <c r="Z146" s="2106"/>
      <c r="AA146" s="2106"/>
      <c r="AB146" s="2106"/>
      <c r="AC146" s="2106"/>
      <c r="AD146" s="2106"/>
      <c r="AE146" s="2106"/>
      <c r="AF146" s="2106"/>
      <c r="AG146" s="2106"/>
      <c r="AH146" s="2106"/>
      <c r="AI146" s="2106"/>
      <c r="AJ146" s="2106"/>
      <c r="AK146" s="2106"/>
      <c r="AL146" s="2106"/>
      <c r="AM146" s="2106"/>
      <c r="AN146" s="2106"/>
      <c r="AO146" s="2106"/>
      <c r="AP146" s="2106"/>
      <c r="AQ146" s="2106"/>
      <c r="AR146" s="2106"/>
      <c r="AS146" s="2106"/>
      <c r="AT146" s="2106"/>
      <c r="AU146" s="2106"/>
      <c r="AV146" s="2106"/>
      <c r="AW146" s="2106"/>
      <c r="AX146" s="2107"/>
      <c r="AY146" s="1208"/>
      <c r="AZ146" s="1208"/>
      <c r="BA146" s="1208"/>
      <c r="BB146" s="1208"/>
      <c r="BC146" s="1208"/>
      <c r="BD146" s="1208"/>
      <c r="BE146" s="1215"/>
    </row>
    <row r="147" spans="1:57" ht="15.75" customHeight="1" thickBot="1">
      <c r="A147" s="1208"/>
      <c r="B147" s="2108"/>
      <c r="C147" s="2109"/>
      <c r="D147" s="2109"/>
      <c r="E147" s="2109"/>
      <c r="F147" s="2109"/>
      <c r="G147" s="2109"/>
      <c r="H147" s="2109"/>
      <c r="I147" s="2109"/>
      <c r="J147" s="2109"/>
      <c r="K147" s="2109"/>
      <c r="L147" s="2109"/>
      <c r="M147" s="2109"/>
      <c r="N147" s="2109"/>
      <c r="O147" s="2109"/>
      <c r="P147" s="2109"/>
      <c r="Q147" s="2109"/>
      <c r="R147" s="2109"/>
      <c r="S147" s="2109"/>
      <c r="T147" s="2109"/>
      <c r="U147" s="2109"/>
      <c r="V147" s="2109"/>
      <c r="W147" s="2109"/>
      <c r="X147" s="2109"/>
      <c r="Y147" s="2109"/>
      <c r="Z147" s="2109"/>
      <c r="AA147" s="2109"/>
      <c r="AB147" s="2109"/>
      <c r="AC147" s="2109"/>
      <c r="AD147" s="2109"/>
      <c r="AE147" s="2109"/>
      <c r="AF147" s="2109"/>
      <c r="AG147" s="2109"/>
      <c r="AH147" s="2109"/>
      <c r="AI147" s="2109"/>
      <c r="AJ147" s="2109"/>
      <c r="AK147" s="2109"/>
      <c r="AL147" s="2109"/>
      <c r="AM147" s="2109"/>
      <c r="AN147" s="2109"/>
      <c r="AO147" s="2109"/>
      <c r="AP147" s="2109"/>
      <c r="AQ147" s="2109"/>
      <c r="AR147" s="2109"/>
      <c r="AS147" s="2109"/>
      <c r="AT147" s="2109"/>
      <c r="AU147" s="2109"/>
      <c r="AV147" s="2109"/>
      <c r="AW147" s="2109"/>
      <c r="AX147" s="2110"/>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2295</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2294</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88" t="s">
        <v>2293</v>
      </c>
      <c r="C151" s="2044"/>
      <c r="D151" s="2044"/>
      <c r="E151" s="2044"/>
      <c r="F151" s="2044"/>
      <c r="G151" s="2044"/>
      <c r="H151" s="2044"/>
      <c r="I151" s="2044"/>
      <c r="J151" s="2044"/>
      <c r="K151" s="2044"/>
      <c r="L151" s="2044"/>
      <c r="M151" s="2044"/>
      <c r="N151" s="2044"/>
      <c r="O151" s="2044"/>
      <c r="P151" s="2044"/>
      <c r="Q151" s="2044"/>
      <c r="R151" s="2044"/>
      <c r="S151" s="2044"/>
      <c r="T151" s="2044"/>
      <c r="U151" s="2045"/>
      <c r="V151" s="1208"/>
      <c r="W151" s="1209"/>
      <c r="X151" s="2088" t="s">
        <v>2292</v>
      </c>
      <c r="Y151" s="2044"/>
      <c r="Z151" s="2044"/>
      <c r="AA151" s="2044"/>
      <c r="AB151" s="2044"/>
      <c r="AC151" s="2044"/>
      <c r="AD151" s="2044"/>
      <c r="AE151" s="2044"/>
      <c r="AF151" s="2044"/>
      <c r="AG151" s="2044"/>
      <c r="AH151" s="2044"/>
      <c r="AI151" s="2044"/>
      <c r="AJ151" s="2044"/>
      <c r="AK151" s="2044"/>
      <c r="AL151" s="2044"/>
      <c r="AM151" s="2044"/>
      <c r="AN151" s="2044"/>
      <c r="AO151" s="2044"/>
      <c r="AP151" s="2044"/>
      <c r="AQ151" s="2045"/>
      <c r="AR151" s="1208"/>
      <c r="AS151" s="1208"/>
      <c r="AT151" s="1208"/>
      <c r="AU151" s="1208"/>
      <c r="AV151" s="1208"/>
      <c r="AW151" s="1208"/>
      <c r="AX151" s="1208"/>
      <c r="AY151" s="1208"/>
      <c r="AZ151" s="1208"/>
      <c r="BA151" s="1208"/>
      <c r="BB151" s="1208"/>
      <c r="BC151" s="1208"/>
      <c r="BD151" s="1208"/>
      <c r="BE151" s="1215"/>
    </row>
    <row r="152" spans="1:57" ht="15.75" customHeight="1">
      <c r="A152" s="1208"/>
      <c r="B152" s="2056"/>
      <c r="C152" s="2057"/>
      <c r="D152" s="2057"/>
      <c r="E152" s="2057"/>
      <c r="F152" s="2057"/>
      <c r="G152" s="2057"/>
      <c r="H152" s="2057"/>
      <c r="I152" s="2094" t="s">
        <v>2290</v>
      </c>
      <c r="J152" s="2094"/>
      <c r="K152" s="2094"/>
      <c r="L152" s="2094"/>
      <c r="M152" s="2094"/>
      <c r="N152" s="2094"/>
      <c r="O152" s="2094"/>
      <c r="P152" s="2094" t="s">
        <v>2291</v>
      </c>
      <c r="Q152" s="2094"/>
      <c r="R152" s="2094"/>
      <c r="S152" s="2094"/>
      <c r="T152" s="2094"/>
      <c r="U152" s="2095"/>
      <c r="V152" s="1208"/>
      <c r="W152" s="1208"/>
      <c r="X152" s="2056"/>
      <c r="Y152" s="2057"/>
      <c r="Z152" s="2057"/>
      <c r="AA152" s="2057"/>
      <c r="AB152" s="2057"/>
      <c r="AC152" s="2057"/>
      <c r="AD152" s="2057"/>
      <c r="AE152" s="2094" t="s">
        <v>2290</v>
      </c>
      <c r="AF152" s="2094"/>
      <c r="AG152" s="2094"/>
      <c r="AH152" s="2094"/>
      <c r="AI152" s="2094"/>
      <c r="AJ152" s="2094"/>
      <c r="AK152" s="2094"/>
      <c r="AL152" s="2094" t="s">
        <v>2289</v>
      </c>
      <c r="AM152" s="2094"/>
      <c r="AN152" s="2094"/>
      <c r="AO152" s="2094"/>
      <c r="AP152" s="2094"/>
      <c r="AQ152" s="2095"/>
      <c r="AR152" s="1208"/>
      <c r="AS152" s="1208"/>
      <c r="AT152" s="1208"/>
      <c r="AU152" s="1208"/>
      <c r="AV152" s="1208"/>
      <c r="AW152" s="1208"/>
      <c r="AX152" s="1208"/>
      <c r="AY152" s="1208"/>
      <c r="AZ152" s="1208"/>
      <c r="BA152" s="1208"/>
      <c r="BB152" s="1208"/>
      <c r="BC152" s="1208"/>
      <c r="BD152" s="1208"/>
      <c r="BE152" s="1215"/>
    </row>
    <row r="153" spans="1:57" ht="15.75" customHeight="1">
      <c r="A153" s="1208"/>
      <c r="B153" s="2056"/>
      <c r="C153" s="2057"/>
      <c r="D153" s="2057"/>
      <c r="E153" s="2057"/>
      <c r="F153" s="2057"/>
      <c r="G153" s="2057"/>
      <c r="H153" s="2057"/>
      <c r="I153" s="2094"/>
      <c r="J153" s="2094"/>
      <c r="K153" s="2094"/>
      <c r="L153" s="2094"/>
      <c r="M153" s="2094"/>
      <c r="N153" s="2094"/>
      <c r="O153" s="2094"/>
      <c r="P153" s="2094"/>
      <c r="Q153" s="2094"/>
      <c r="R153" s="2094"/>
      <c r="S153" s="2094"/>
      <c r="T153" s="2094"/>
      <c r="U153" s="2095"/>
      <c r="V153" s="1208"/>
      <c r="W153" s="1208"/>
      <c r="X153" s="2056"/>
      <c r="Y153" s="2057"/>
      <c r="Z153" s="2057"/>
      <c r="AA153" s="2057"/>
      <c r="AB153" s="2057"/>
      <c r="AC153" s="2057"/>
      <c r="AD153" s="2057"/>
      <c r="AE153" s="2094"/>
      <c r="AF153" s="2094"/>
      <c r="AG153" s="2094"/>
      <c r="AH153" s="2094"/>
      <c r="AI153" s="2094"/>
      <c r="AJ153" s="2094"/>
      <c r="AK153" s="2094"/>
      <c r="AL153" s="2094"/>
      <c r="AM153" s="2094"/>
      <c r="AN153" s="2094"/>
      <c r="AO153" s="2094"/>
      <c r="AP153" s="2094"/>
      <c r="AQ153" s="2095"/>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90" t="s">
        <v>2288</v>
      </c>
      <c r="C154" s="2091"/>
      <c r="D154" s="2091"/>
      <c r="E154" s="2091"/>
      <c r="F154" s="2091"/>
      <c r="G154" s="2091"/>
      <c r="H154" s="2091"/>
      <c r="I154" s="2092">
        <v>0</v>
      </c>
      <c r="J154" s="2092"/>
      <c r="K154" s="2092"/>
      <c r="L154" s="2092"/>
      <c r="M154" s="2092"/>
      <c r="N154" s="2092"/>
      <c r="O154" s="2092"/>
      <c r="P154" s="2092">
        <v>0</v>
      </c>
      <c r="Q154" s="2092"/>
      <c r="R154" s="2092"/>
      <c r="S154" s="2092"/>
      <c r="T154" s="2092"/>
      <c r="U154" s="2093"/>
      <c r="V154" s="1208"/>
      <c r="W154" s="1208"/>
      <c r="X154" s="2084" t="s">
        <v>2288</v>
      </c>
      <c r="Y154" s="2085"/>
      <c r="Z154" s="2085"/>
      <c r="AA154" s="2085"/>
      <c r="AB154" s="2085"/>
      <c r="AC154" s="2085"/>
      <c r="AD154" s="2085"/>
      <c r="AE154" s="2086">
        <v>0</v>
      </c>
      <c r="AF154" s="2086"/>
      <c r="AG154" s="2086"/>
      <c r="AH154" s="2086"/>
      <c r="AI154" s="2086"/>
      <c r="AJ154" s="2086"/>
      <c r="AK154" s="2086"/>
      <c r="AL154" s="2086">
        <v>0</v>
      </c>
      <c r="AM154" s="2086"/>
      <c r="AN154" s="2086"/>
      <c r="AO154" s="2086"/>
      <c r="AP154" s="2086"/>
      <c r="AQ154" s="2087"/>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84" t="s">
        <v>2287</v>
      </c>
      <c r="C155" s="2085"/>
      <c r="D155" s="2085"/>
      <c r="E155" s="2085"/>
      <c r="F155" s="2085"/>
      <c r="G155" s="2085"/>
      <c r="H155" s="2085"/>
      <c r="I155" s="2086">
        <v>0</v>
      </c>
      <c r="J155" s="2086"/>
      <c r="K155" s="2086"/>
      <c r="L155" s="2086"/>
      <c r="M155" s="2086"/>
      <c r="N155" s="2086"/>
      <c r="O155" s="2086"/>
      <c r="P155" s="2086">
        <v>0</v>
      </c>
      <c r="Q155" s="2086"/>
      <c r="R155" s="2086"/>
      <c r="S155" s="2086"/>
      <c r="T155" s="2086"/>
      <c r="U155" s="2087"/>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88" t="s">
        <v>2286</v>
      </c>
      <c r="D157" s="2044"/>
      <c r="E157" s="2044"/>
      <c r="F157" s="2044"/>
      <c r="G157" s="2044"/>
      <c r="H157" s="2044"/>
      <c r="I157" s="2044"/>
      <c r="J157" s="2044"/>
      <c r="K157" s="2044"/>
      <c r="L157" s="2044"/>
      <c r="M157" s="2044"/>
      <c r="N157" s="2044"/>
      <c r="O157" s="2044"/>
      <c r="P157" s="2044"/>
      <c r="Q157" s="2044"/>
      <c r="R157" s="2044"/>
      <c r="S157" s="2044"/>
      <c r="T157" s="2044"/>
      <c r="U157" s="2044"/>
      <c r="V157" s="2044"/>
      <c r="W157" s="2044"/>
      <c r="X157" s="2044"/>
      <c r="Y157" s="2044"/>
      <c r="Z157" s="2044"/>
      <c r="AA157" s="2044"/>
      <c r="AB157" s="2044"/>
      <c r="AC157" s="2044"/>
      <c r="AD157" s="2044"/>
      <c r="AE157" s="2044"/>
      <c r="AF157" s="2044"/>
      <c r="AG157" s="2045"/>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56" t="s">
        <v>2271</v>
      </c>
      <c r="D158" s="2057"/>
      <c r="E158" s="2057"/>
      <c r="F158" s="2057"/>
      <c r="G158" s="2057"/>
      <c r="H158" s="2057"/>
      <c r="I158" s="2057"/>
      <c r="J158" s="2057"/>
      <c r="K158" s="2057"/>
      <c r="L158" s="2057"/>
      <c r="M158" s="2057"/>
      <c r="N158" s="2057"/>
      <c r="O158" s="2057"/>
      <c r="P158" s="2057"/>
      <c r="Q158" s="2057" t="s">
        <v>2285</v>
      </c>
      <c r="R158" s="2057"/>
      <c r="S158" s="2057"/>
      <c r="T158" s="2089" t="s">
        <v>2284</v>
      </c>
      <c r="U158" s="2089"/>
      <c r="V158" s="2089"/>
      <c r="W158" s="2089"/>
      <c r="X158" s="2089"/>
      <c r="Y158" s="2089"/>
      <c r="Z158" s="2089"/>
      <c r="AA158" s="2089"/>
      <c r="AB158" s="2057" t="s">
        <v>2283</v>
      </c>
      <c r="AC158" s="2057"/>
      <c r="AD158" s="2057"/>
      <c r="AE158" s="2057"/>
      <c r="AF158" s="2057"/>
      <c r="AG158" s="2058"/>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71" t="s">
        <v>2282</v>
      </c>
      <c r="D159" s="2072"/>
      <c r="E159" s="2072"/>
      <c r="F159" s="2072"/>
      <c r="G159" s="2072"/>
      <c r="H159" s="2072"/>
      <c r="I159" s="2072"/>
      <c r="J159" s="2072"/>
      <c r="K159" s="2072"/>
      <c r="L159" s="2072"/>
      <c r="M159" s="2072"/>
      <c r="N159" s="2072"/>
      <c r="O159" s="2072"/>
      <c r="P159" s="2072"/>
      <c r="Q159" s="2014">
        <v>55</v>
      </c>
      <c r="R159" s="2014"/>
      <c r="S159" s="2014"/>
      <c r="T159" s="2065"/>
      <c r="U159" s="2065"/>
      <c r="V159" s="2065"/>
      <c r="W159" s="2065"/>
      <c r="X159" s="2065"/>
      <c r="Y159" s="2065"/>
      <c r="Z159" s="2065"/>
      <c r="AA159" s="2065"/>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71" t="s">
        <v>2281</v>
      </c>
      <c r="D160" s="2072"/>
      <c r="E160" s="2072"/>
      <c r="F160" s="2072"/>
      <c r="G160" s="2072"/>
      <c r="H160" s="2072"/>
      <c r="I160" s="2072"/>
      <c r="J160" s="2072"/>
      <c r="K160" s="2072"/>
      <c r="L160" s="2072"/>
      <c r="M160" s="2072"/>
      <c r="N160" s="2072"/>
      <c r="O160" s="2072"/>
      <c r="P160" s="2072"/>
      <c r="Q160" s="2014">
        <v>55</v>
      </c>
      <c r="R160" s="2014"/>
      <c r="S160" s="2014"/>
      <c r="T160" s="2074"/>
      <c r="U160" s="2074"/>
      <c r="V160" s="2074"/>
      <c r="W160" s="2074"/>
      <c r="X160" s="2074"/>
      <c r="Y160" s="2074"/>
      <c r="Z160" s="2074"/>
      <c r="AA160" s="2074"/>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71" t="s">
        <v>2280</v>
      </c>
      <c r="D161" s="2072"/>
      <c r="E161" s="2072"/>
      <c r="F161" s="2072"/>
      <c r="G161" s="2072"/>
      <c r="H161" s="2072"/>
      <c r="I161" s="2072"/>
      <c r="J161" s="2072"/>
      <c r="K161" s="2072"/>
      <c r="L161" s="2072"/>
      <c r="M161" s="2072"/>
      <c r="N161" s="2072"/>
      <c r="O161" s="2072"/>
      <c r="P161" s="2072"/>
      <c r="Q161" s="2014">
        <v>55</v>
      </c>
      <c r="R161" s="2014"/>
      <c r="S161" s="2014"/>
      <c r="T161" s="2065"/>
      <c r="U161" s="2065"/>
      <c r="V161" s="2065"/>
      <c r="W161" s="2065"/>
      <c r="X161" s="2065"/>
      <c r="Y161" s="2065"/>
      <c r="Z161" s="2065"/>
      <c r="AA161" s="2065"/>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71" t="s">
        <v>2279</v>
      </c>
      <c r="D162" s="2072"/>
      <c r="E162" s="2072"/>
      <c r="F162" s="2072"/>
      <c r="G162" s="2072"/>
      <c r="H162" s="2072"/>
      <c r="I162" s="2072"/>
      <c r="J162" s="2072"/>
      <c r="K162" s="2072"/>
      <c r="L162" s="2072"/>
      <c r="M162" s="2072"/>
      <c r="N162" s="2072"/>
      <c r="O162" s="2072"/>
      <c r="P162" s="2072"/>
      <c r="Q162" s="2014">
        <v>55</v>
      </c>
      <c r="R162" s="2014"/>
      <c r="S162" s="2014"/>
      <c r="T162" s="2065"/>
      <c r="U162" s="2065"/>
      <c r="V162" s="2065"/>
      <c r="W162" s="2065"/>
      <c r="X162" s="2065"/>
      <c r="Y162" s="2065"/>
      <c r="Z162" s="2065"/>
      <c r="AA162" s="2065"/>
      <c r="AB162" s="2075">
        <v>0</v>
      </c>
      <c r="AC162" s="2075"/>
      <c r="AD162" s="2075"/>
      <c r="AE162" s="2075"/>
      <c r="AF162" s="2075"/>
      <c r="AG162" s="2076"/>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71" t="s">
        <v>170</v>
      </c>
      <c r="D163" s="2072"/>
      <c r="E163" s="2072"/>
      <c r="F163" s="2073" t="s">
        <v>2260</v>
      </c>
      <c r="G163" s="2073"/>
      <c r="H163" s="2073"/>
      <c r="I163" s="2073"/>
      <c r="J163" s="2073"/>
      <c r="K163" s="2073"/>
      <c r="L163" s="2073"/>
      <c r="M163" s="2073"/>
      <c r="N163" s="2073"/>
      <c r="O163" s="2073"/>
      <c r="P163" s="2073"/>
      <c r="Q163" s="2014">
        <v>55</v>
      </c>
      <c r="R163" s="2014"/>
      <c r="S163" s="2014"/>
      <c r="T163" s="2074"/>
      <c r="U163" s="2074"/>
      <c r="V163" s="2074"/>
      <c r="W163" s="2074"/>
      <c r="X163" s="2074"/>
      <c r="Y163" s="2074"/>
      <c r="Z163" s="2074"/>
      <c r="AA163" s="2074"/>
      <c r="AB163" s="2075">
        <v>0</v>
      </c>
      <c r="AC163" s="2075"/>
      <c r="AD163" s="2075"/>
      <c r="AE163" s="2075"/>
      <c r="AF163" s="2075"/>
      <c r="AG163" s="2076"/>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71" t="s">
        <v>170</v>
      </c>
      <c r="D164" s="2072"/>
      <c r="E164" s="2072"/>
      <c r="F164" s="2073" t="s">
        <v>2260</v>
      </c>
      <c r="G164" s="2073"/>
      <c r="H164" s="2073"/>
      <c r="I164" s="2073"/>
      <c r="J164" s="2073"/>
      <c r="K164" s="2073"/>
      <c r="L164" s="2073"/>
      <c r="M164" s="2073"/>
      <c r="N164" s="2073"/>
      <c r="O164" s="2073"/>
      <c r="P164" s="2073"/>
      <c r="Q164" s="2014">
        <v>55</v>
      </c>
      <c r="R164" s="2014"/>
      <c r="S164" s="2014"/>
      <c r="T164" s="2074"/>
      <c r="U164" s="2074"/>
      <c r="V164" s="2074"/>
      <c r="W164" s="2074"/>
      <c r="X164" s="2074"/>
      <c r="Y164" s="2074"/>
      <c r="Z164" s="2074"/>
      <c r="AA164" s="2074"/>
      <c r="AB164" s="2075">
        <v>0</v>
      </c>
      <c r="AC164" s="2075"/>
      <c r="AD164" s="2075"/>
      <c r="AE164" s="2075"/>
      <c r="AF164" s="2075"/>
      <c r="AG164" s="2076"/>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77" t="s">
        <v>170</v>
      </c>
      <c r="D165" s="2078"/>
      <c r="E165" s="2078"/>
      <c r="F165" s="2079" t="s">
        <v>2260</v>
      </c>
      <c r="G165" s="2079"/>
      <c r="H165" s="2079"/>
      <c r="I165" s="2079"/>
      <c r="J165" s="2079"/>
      <c r="K165" s="2079"/>
      <c r="L165" s="2079"/>
      <c r="M165" s="2079"/>
      <c r="N165" s="2079"/>
      <c r="O165" s="2079"/>
      <c r="P165" s="2079"/>
      <c r="Q165" s="2080">
        <v>55</v>
      </c>
      <c r="R165" s="2080"/>
      <c r="S165" s="2080"/>
      <c r="T165" s="2081"/>
      <c r="U165" s="2081"/>
      <c r="V165" s="2081"/>
      <c r="W165" s="2081"/>
      <c r="X165" s="2081"/>
      <c r="Y165" s="2081"/>
      <c r="Z165" s="2081"/>
      <c r="AA165" s="2081"/>
      <c r="AB165" s="2082">
        <v>0</v>
      </c>
      <c r="AC165" s="2082"/>
      <c r="AD165" s="2082"/>
      <c r="AE165" s="2082"/>
      <c r="AF165" s="2082"/>
      <c r="AG165" s="2083"/>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42" t="s">
        <v>2278</v>
      </c>
      <c r="D167" s="2043"/>
      <c r="E167" s="2043"/>
      <c r="F167" s="2043"/>
      <c r="G167" s="2043"/>
      <c r="H167" s="2043"/>
      <c r="I167" s="2043"/>
      <c r="J167" s="2043"/>
      <c r="K167" s="2043"/>
      <c r="L167" s="2043"/>
      <c r="M167" s="2043"/>
      <c r="N167" s="2052"/>
      <c r="O167" s="1208"/>
      <c r="P167" s="2053" t="s">
        <v>2277</v>
      </c>
      <c r="Q167" s="2054"/>
      <c r="R167" s="2054"/>
      <c r="S167" s="2054"/>
      <c r="T167" s="2054"/>
      <c r="U167" s="2054"/>
      <c r="V167" s="2054"/>
      <c r="W167" s="2054"/>
      <c r="X167" s="2054"/>
      <c r="Y167" s="2054"/>
      <c r="Z167" s="2054"/>
      <c r="AA167" s="2054"/>
      <c r="AB167" s="2054"/>
      <c r="AC167" s="2054"/>
      <c r="AD167" s="2054"/>
      <c r="AE167" s="2054"/>
      <c r="AF167" s="2054"/>
      <c r="AG167" s="2054"/>
      <c r="AH167" s="2054"/>
      <c r="AI167" s="2054"/>
      <c r="AJ167" s="2054"/>
      <c r="AK167" s="2054"/>
      <c r="AL167" s="2054"/>
      <c r="AM167" s="2054"/>
      <c r="AN167" s="2054"/>
      <c r="AO167" s="2055"/>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56" t="s">
        <v>2276</v>
      </c>
      <c r="D168" s="2057"/>
      <c r="E168" s="2057"/>
      <c r="F168" s="2057"/>
      <c r="G168" s="2057"/>
      <c r="H168" s="2057"/>
      <c r="I168" s="2057" t="s">
        <v>2275</v>
      </c>
      <c r="J168" s="2057"/>
      <c r="K168" s="2057"/>
      <c r="L168" s="2057"/>
      <c r="M168" s="2057"/>
      <c r="N168" s="2058"/>
      <c r="O168" s="1208"/>
      <c r="P168" s="2059" t="s">
        <v>2274</v>
      </c>
      <c r="Q168" s="2060"/>
      <c r="R168" s="2060"/>
      <c r="S168" s="2060"/>
      <c r="T168" s="2060"/>
      <c r="U168" s="2060"/>
      <c r="V168" s="2060"/>
      <c r="W168" s="2060"/>
      <c r="X168" s="2060"/>
      <c r="Y168" s="2060"/>
      <c r="Z168" s="2060"/>
      <c r="AA168" s="2060"/>
      <c r="AB168" s="2060"/>
      <c r="AC168" s="2060"/>
      <c r="AD168" s="2060"/>
      <c r="AE168" s="2060"/>
      <c r="AF168" s="2060"/>
      <c r="AG168" s="2060"/>
      <c r="AH168" s="2060"/>
      <c r="AI168" s="2060"/>
      <c r="AJ168" s="2060"/>
      <c r="AK168" s="2060"/>
      <c r="AL168" s="2060"/>
      <c r="AM168" s="2060"/>
      <c r="AN168" s="2060"/>
      <c r="AO168" s="2061"/>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04"/>
      <c r="D169" s="2005"/>
      <c r="E169" s="2005"/>
      <c r="F169" s="2005"/>
      <c r="G169" s="2005"/>
      <c r="H169" s="2005"/>
      <c r="I169" s="2065"/>
      <c r="J169" s="2065"/>
      <c r="K169" s="2065"/>
      <c r="L169" s="2065"/>
      <c r="M169" s="2065"/>
      <c r="N169" s="2066"/>
      <c r="O169" s="1208"/>
      <c r="P169" s="2059"/>
      <c r="Q169" s="2060"/>
      <c r="R169" s="2060"/>
      <c r="S169" s="2060"/>
      <c r="T169" s="2060"/>
      <c r="U169" s="2060"/>
      <c r="V169" s="2060"/>
      <c r="W169" s="2060"/>
      <c r="X169" s="2060"/>
      <c r="Y169" s="2060"/>
      <c r="Z169" s="2060"/>
      <c r="AA169" s="2060"/>
      <c r="AB169" s="2060"/>
      <c r="AC169" s="2060"/>
      <c r="AD169" s="2060"/>
      <c r="AE169" s="2060"/>
      <c r="AF169" s="2060"/>
      <c r="AG169" s="2060"/>
      <c r="AH169" s="2060"/>
      <c r="AI169" s="2060"/>
      <c r="AJ169" s="2060"/>
      <c r="AK169" s="2060"/>
      <c r="AL169" s="2060"/>
      <c r="AM169" s="2060"/>
      <c r="AN169" s="2060"/>
      <c r="AO169" s="2061"/>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04"/>
      <c r="D170" s="2005"/>
      <c r="E170" s="2005"/>
      <c r="F170" s="2005"/>
      <c r="G170" s="2005"/>
      <c r="H170" s="2005"/>
      <c r="I170" s="2065"/>
      <c r="J170" s="2065"/>
      <c r="K170" s="2065"/>
      <c r="L170" s="2065"/>
      <c r="M170" s="2065"/>
      <c r="N170" s="2066"/>
      <c r="O170" s="1208"/>
      <c r="P170" s="2059"/>
      <c r="Q170" s="2060"/>
      <c r="R170" s="2060"/>
      <c r="S170" s="2060"/>
      <c r="T170" s="2060"/>
      <c r="U170" s="2060"/>
      <c r="V170" s="2060"/>
      <c r="W170" s="2060"/>
      <c r="X170" s="2060"/>
      <c r="Y170" s="2060"/>
      <c r="Z170" s="2060"/>
      <c r="AA170" s="2060"/>
      <c r="AB170" s="2060"/>
      <c r="AC170" s="2060"/>
      <c r="AD170" s="2060"/>
      <c r="AE170" s="2060"/>
      <c r="AF170" s="2060"/>
      <c r="AG170" s="2060"/>
      <c r="AH170" s="2060"/>
      <c r="AI170" s="2060"/>
      <c r="AJ170" s="2060"/>
      <c r="AK170" s="2060"/>
      <c r="AL170" s="2060"/>
      <c r="AM170" s="2060"/>
      <c r="AN170" s="2060"/>
      <c r="AO170" s="2061"/>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04"/>
      <c r="D171" s="2005"/>
      <c r="E171" s="2005"/>
      <c r="F171" s="2005"/>
      <c r="G171" s="2005"/>
      <c r="H171" s="2005"/>
      <c r="I171" s="2065"/>
      <c r="J171" s="2065"/>
      <c r="K171" s="2065"/>
      <c r="L171" s="2065"/>
      <c r="M171" s="2065"/>
      <c r="N171" s="2066"/>
      <c r="O171" s="1208"/>
      <c r="P171" s="2059"/>
      <c r="Q171" s="2060"/>
      <c r="R171" s="2060"/>
      <c r="S171" s="2060"/>
      <c r="T171" s="2060"/>
      <c r="U171" s="2060"/>
      <c r="V171" s="2060"/>
      <c r="W171" s="2060"/>
      <c r="X171" s="2060"/>
      <c r="Y171" s="2060"/>
      <c r="Z171" s="2060"/>
      <c r="AA171" s="2060"/>
      <c r="AB171" s="2060"/>
      <c r="AC171" s="2060"/>
      <c r="AD171" s="2060"/>
      <c r="AE171" s="2060"/>
      <c r="AF171" s="2060"/>
      <c r="AG171" s="2060"/>
      <c r="AH171" s="2060"/>
      <c r="AI171" s="2060"/>
      <c r="AJ171" s="2060"/>
      <c r="AK171" s="2060"/>
      <c r="AL171" s="2060"/>
      <c r="AM171" s="2060"/>
      <c r="AN171" s="2060"/>
      <c r="AO171" s="2061"/>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04"/>
      <c r="D172" s="2005"/>
      <c r="E172" s="2005"/>
      <c r="F172" s="2005"/>
      <c r="G172" s="2005"/>
      <c r="H172" s="2005"/>
      <c r="I172" s="2065"/>
      <c r="J172" s="2065"/>
      <c r="K172" s="2065"/>
      <c r="L172" s="2065"/>
      <c r="M172" s="2065"/>
      <c r="N172" s="2066"/>
      <c r="O172" s="1208"/>
      <c r="P172" s="2059"/>
      <c r="Q172" s="2060"/>
      <c r="R172" s="2060"/>
      <c r="S172" s="2060"/>
      <c r="T172" s="2060"/>
      <c r="U172" s="2060"/>
      <c r="V172" s="2060"/>
      <c r="W172" s="2060"/>
      <c r="X172" s="2060"/>
      <c r="Y172" s="2060"/>
      <c r="Z172" s="2060"/>
      <c r="AA172" s="2060"/>
      <c r="AB172" s="2060"/>
      <c r="AC172" s="2060"/>
      <c r="AD172" s="2060"/>
      <c r="AE172" s="2060"/>
      <c r="AF172" s="2060"/>
      <c r="AG172" s="2060"/>
      <c r="AH172" s="2060"/>
      <c r="AI172" s="2060"/>
      <c r="AJ172" s="2060"/>
      <c r="AK172" s="2060"/>
      <c r="AL172" s="2060"/>
      <c r="AM172" s="2060"/>
      <c r="AN172" s="2060"/>
      <c r="AO172" s="2061"/>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04"/>
      <c r="D173" s="2005"/>
      <c r="E173" s="2005"/>
      <c r="F173" s="2005"/>
      <c r="G173" s="2005"/>
      <c r="H173" s="2005"/>
      <c r="I173" s="2065"/>
      <c r="J173" s="2065"/>
      <c r="K173" s="2065"/>
      <c r="L173" s="2065"/>
      <c r="M173" s="2065"/>
      <c r="N173" s="2066"/>
      <c r="O173" s="1208"/>
      <c r="P173" s="2059"/>
      <c r="Q173" s="2060"/>
      <c r="R173" s="2060"/>
      <c r="S173" s="2060"/>
      <c r="T173" s="2060"/>
      <c r="U173" s="2060"/>
      <c r="V173" s="2060"/>
      <c r="W173" s="2060"/>
      <c r="X173" s="2060"/>
      <c r="Y173" s="2060"/>
      <c r="Z173" s="2060"/>
      <c r="AA173" s="2060"/>
      <c r="AB173" s="2060"/>
      <c r="AC173" s="2060"/>
      <c r="AD173" s="2060"/>
      <c r="AE173" s="2060"/>
      <c r="AF173" s="2060"/>
      <c r="AG173" s="2060"/>
      <c r="AH173" s="2060"/>
      <c r="AI173" s="2060"/>
      <c r="AJ173" s="2060"/>
      <c r="AK173" s="2060"/>
      <c r="AL173" s="2060"/>
      <c r="AM173" s="2060"/>
      <c r="AN173" s="2060"/>
      <c r="AO173" s="2061"/>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04"/>
      <c r="D174" s="2005"/>
      <c r="E174" s="2005"/>
      <c r="F174" s="2005"/>
      <c r="G174" s="2005"/>
      <c r="H174" s="2005"/>
      <c r="I174" s="2065"/>
      <c r="J174" s="2065"/>
      <c r="K174" s="2065"/>
      <c r="L174" s="2065"/>
      <c r="M174" s="2065"/>
      <c r="N174" s="2066"/>
      <c r="O174" s="1208"/>
      <c r="P174" s="2059"/>
      <c r="Q174" s="2060"/>
      <c r="R174" s="2060"/>
      <c r="S174" s="2060"/>
      <c r="T174" s="2060"/>
      <c r="U174" s="2060"/>
      <c r="V174" s="2060"/>
      <c r="W174" s="2060"/>
      <c r="X174" s="2060"/>
      <c r="Y174" s="2060"/>
      <c r="Z174" s="2060"/>
      <c r="AA174" s="2060"/>
      <c r="AB174" s="2060"/>
      <c r="AC174" s="2060"/>
      <c r="AD174" s="2060"/>
      <c r="AE174" s="2060"/>
      <c r="AF174" s="2060"/>
      <c r="AG174" s="2060"/>
      <c r="AH174" s="2060"/>
      <c r="AI174" s="2060"/>
      <c r="AJ174" s="2060"/>
      <c r="AK174" s="2060"/>
      <c r="AL174" s="2060"/>
      <c r="AM174" s="2060"/>
      <c r="AN174" s="2060"/>
      <c r="AO174" s="2061"/>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67"/>
      <c r="D175" s="2068"/>
      <c r="E175" s="2068"/>
      <c r="F175" s="2068"/>
      <c r="G175" s="2068"/>
      <c r="H175" s="2068"/>
      <c r="I175" s="2069"/>
      <c r="J175" s="2069"/>
      <c r="K175" s="2069"/>
      <c r="L175" s="2069"/>
      <c r="M175" s="2069"/>
      <c r="N175" s="2070"/>
      <c r="O175" s="1208"/>
      <c r="P175" s="2062"/>
      <c r="Q175" s="2063"/>
      <c r="R175" s="2063"/>
      <c r="S175" s="2063"/>
      <c r="T175" s="2063"/>
      <c r="U175" s="2063"/>
      <c r="V175" s="2063"/>
      <c r="W175" s="2063"/>
      <c r="X175" s="2063"/>
      <c r="Y175" s="2063"/>
      <c r="Z175" s="2063"/>
      <c r="AA175" s="2063"/>
      <c r="AB175" s="2063"/>
      <c r="AC175" s="2063"/>
      <c r="AD175" s="2063"/>
      <c r="AE175" s="2063"/>
      <c r="AF175" s="2063"/>
      <c r="AG175" s="2063"/>
      <c r="AH175" s="2063"/>
      <c r="AI175" s="2063"/>
      <c r="AJ175" s="2063"/>
      <c r="AK175" s="2063"/>
      <c r="AL175" s="2063"/>
      <c r="AM175" s="2063"/>
      <c r="AN175" s="2063"/>
      <c r="AO175" s="2064"/>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33" t="s">
        <v>2273</v>
      </c>
      <c r="D177" s="2034"/>
      <c r="E177" s="2034"/>
      <c r="F177" s="2034"/>
      <c r="G177" s="2034"/>
      <c r="H177" s="2034"/>
      <c r="I177" s="2034"/>
      <c r="J177" s="2034"/>
      <c r="K177" s="2034"/>
      <c r="L177" s="2034"/>
      <c r="M177" s="2034"/>
      <c r="N177" s="2034"/>
      <c r="O177" s="2034"/>
      <c r="P177" s="2034"/>
      <c r="Q177" s="2034"/>
      <c r="R177" s="2034"/>
      <c r="S177" s="2034"/>
      <c r="T177" s="2034"/>
      <c r="U177" s="2034"/>
      <c r="V177" s="2034"/>
      <c r="W177" s="2034"/>
      <c r="X177" s="2034"/>
      <c r="Y177" s="2034"/>
      <c r="Z177" s="2034"/>
      <c r="AA177" s="2034"/>
      <c r="AB177" s="2034"/>
      <c r="AC177" s="2034"/>
      <c r="AD177" s="2034"/>
      <c r="AE177" s="2035"/>
      <c r="AF177" s="1208"/>
      <c r="AG177" s="1208"/>
      <c r="AH177" s="1918"/>
      <c r="AI177" s="1918"/>
      <c r="AJ177" s="1918"/>
      <c r="AK177" s="1918"/>
      <c r="AL177" s="1918"/>
      <c r="AM177" s="1918"/>
      <c r="AN177" s="1918"/>
      <c r="AO177" s="1918"/>
      <c r="AP177" s="1918"/>
      <c r="AQ177" s="1918"/>
      <c r="AR177" s="1918"/>
      <c r="AS177" s="1918"/>
      <c r="AT177" s="1918"/>
      <c r="AU177" s="1918"/>
      <c r="AV177" s="1918"/>
      <c r="AW177" s="1918"/>
      <c r="AX177" s="1918"/>
      <c r="AY177" s="1918"/>
      <c r="AZ177" s="1918"/>
      <c r="BA177" s="1918"/>
      <c r="BB177" s="1918"/>
      <c r="BC177" s="1918"/>
      <c r="BD177" s="1918"/>
      <c r="BE177" s="1918"/>
    </row>
    <row r="178" spans="1:57" ht="15.75" customHeight="1" thickBot="1">
      <c r="A178" s="1208"/>
      <c r="B178" s="1208"/>
      <c r="C178" s="2036"/>
      <c r="D178" s="2037"/>
      <c r="E178" s="2037"/>
      <c r="F178" s="2037"/>
      <c r="G178" s="2037"/>
      <c r="H178" s="2037"/>
      <c r="I178" s="2037"/>
      <c r="J178" s="2037"/>
      <c r="K178" s="2037"/>
      <c r="L178" s="2037"/>
      <c r="M178" s="2037"/>
      <c r="N178" s="2037"/>
      <c r="O178" s="2037"/>
      <c r="P178" s="2037"/>
      <c r="Q178" s="2037"/>
      <c r="R178" s="2037"/>
      <c r="S178" s="2037"/>
      <c r="T178" s="2037"/>
      <c r="U178" s="2037"/>
      <c r="V178" s="2037"/>
      <c r="W178" s="2037"/>
      <c r="X178" s="2037"/>
      <c r="Y178" s="2037"/>
      <c r="Z178" s="2037"/>
      <c r="AA178" s="2037"/>
      <c r="AB178" s="2037"/>
      <c r="AC178" s="2037"/>
      <c r="AD178" s="2037"/>
      <c r="AE178" s="2038"/>
      <c r="AF178" s="1208"/>
      <c r="AG178" s="1208"/>
      <c r="AH178" s="1918"/>
      <c r="AI178" s="1918"/>
      <c r="AJ178" s="1918"/>
      <c r="AK178" s="1918"/>
      <c r="AL178" s="1918"/>
      <c r="AM178" s="1918"/>
      <c r="AN178" s="1918"/>
      <c r="AO178" s="1918"/>
      <c r="AP178" s="1918"/>
      <c r="AQ178" s="1918"/>
      <c r="AR178" s="1918"/>
      <c r="AS178" s="1918"/>
      <c r="AT178" s="1918"/>
      <c r="AU178" s="1918"/>
      <c r="AV178" s="1918"/>
      <c r="AW178" s="1918"/>
      <c r="AX178" s="1918"/>
      <c r="AY178" s="1918"/>
      <c r="AZ178" s="1918"/>
      <c r="BA178" s="1918"/>
      <c r="BB178" s="1918"/>
      <c r="BC178" s="1918"/>
      <c r="BD178" s="1918"/>
      <c r="BE178" s="1918"/>
    </row>
    <row r="179" spans="1:57" ht="15.75" customHeight="1">
      <c r="A179" s="1208"/>
      <c r="B179" s="1208"/>
      <c r="C179" s="2042" t="s">
        <v>2271</v>
      </c>
      <c r="D179" s="2043"/>
      <c r="E179" s="2043"/>
      <c r="F179" s="2043"/>
      <c r="G179" s="2043"/>
      <c r="H179" s="2043"/>
      <c r="I179" s="2043"/>
      <c r="J179" s="2043"/>
      <c r="K179" s="2043"/>
      <c r="L179" s="2043"/>
      <c r="M179" s="2043"/>
      <c r="N179" s="2043" t="s">
        <v>2272</v>
      </c>
      <c r="O179" s="2043"/>
      <c r="P179" s="2043"/>
      <c r="Q179" s="2043"/>
      <c r="R179" s="2043"/>
      <c r="S179" s="2043"/>
      <c r="T179" s="2043"/>
      <c r="U179" s="2044" t="s">
        <v>2271</v>
      </c>
      <c r="V179" s="2044"/>
      <c r="W179" s="2044"/>
      <c r="X179" s="2044"/>
      <c r="Y179" s="2044"/>
      <c r="Z179" s="2044"/>
      <c r="AA179" s="2044"/>
      <c r="AB179" s="2044"/>
      <c r="AC179" s="2044"/>
      <c r="AD179" s="2044"/>
      <c r="AE179" s="2045"/>
      <c r="AF179" s="1208"/>
      <c r="AG179" s="1208"/>
      <c r="AH179" s="1918"/>
      <c r="AI179" s="1918"/>
      <c r="AJ179" s="1918"/>
      <c r="AK179" s="1918"/>
      <c r="AL179" s="1918"/>
      <c r="AM179" s="1918"/>
      <c r="AN179" s="1918"/>
      <c r="AO179" s="1918"/>
      <c r="AP179" s="1918"/>
      <c r="AQ179" s="1918"/>
      <c r="AR179" s="1918"/>
      <c r="AS179" s="1918"/>
      <c r="AT179" s="1918"/>
      <c r="AU179" s="1918"/>
      <c r="AV179" s="1918"/>
      <c r="AW179" s="1918"/>
      <c r="AX179" s="1918"/>
      <c r="AY179" s="1918"/>
      <c r="AZ179" s="1918"/>
      <c r="BA179" s="1918"/>
      <c r="BB179" s="1918"/>
      <c r="BC179" s="1918"/>
      <c r="BD179" s="1918"/>
      <c r="BE179" s="1918"/>
    </row>
    <row r="180" spans="1:57" ht="15.75" customHeight="1">
      <c r="A180" s="1208"/>
      <c r="B180" s="1208"/>
      <c r="C180" s="2021" t="s">
        <v>2270</v>
      </c>
      <c r="D180" s="2022"/>
      <c r="E180" s="2022"/>
      <c r="F180" s="2022"/>
      <c r="G180" s="2022"/>
      <c r="H180" s="2022"/>
      <c r="I180" s="2022"/>
      <c r="J180" s="2022"/>
      <c r="K180" s="2022"/>
      <c r="L180" s="2022"/>
      <c r="M180" s="2022"/>
      <c r="N180" s="2032">
        <f>'Sources and Uses Budget'!B105</f>
        <v>33346227</v>
      </c>
      <c r="O180" s="2032"/>
      <c r="P180" s="2032"/>
      <c r="Q180" s="2032"/>
      <c r="R180" s="2032"/>
      <c r="S180" s="2032"/>
      <c r="T180" s="2032"/>
      <c r="U180" s="2046"/>
      <c r="V180" s="2046"/>
      <c r="W180" s="2046"/>
      <c r="X180" s="2046"/>
      <c r="Y180" s="2046"/>
      <c r="Z180" s="2046"/>
      <c r="AA180" s="2046"/>
      <c r="AB180" s="2046"/>
      <c r="AC180" s="2046"/>
      <c r="AD180" s="2046"/>
      <c r="AE180" s="2047"/>
      <c r="AF180" s="1208"/>
      <c r="AG180" s="1208"/>
      <c r="AH180" s="1918"/>
      <c r="AI180" s="1918"/>
      <c r="AJ180" s="1918"/>
      <c r="AK180" s="1918"/>
      <c r="AL180" s="1918"/>
      <c r="AM180" s="1918"/>
      <c r="AN180" s="1918"/>
      <c r="AO180" s="1918"/>
      <c r="AP180" s="1918"/>
      <c r="AQ180" s="1918"/>
      <c r="AR180" s="1918"/>
      <c r="AS180" s="1918"/>
      <c r="AT180" s="1918"/>
      <c r="AU180" s="1918"/>
      <c r="AV180" s="1918"/>
      <c r="AW180" s="1918"/>
      <c r="AX180" s="1918"/>
      <c r="AY180" s="1918"/>
      <c r="AZ180" s="1918"/>
      <c r="BA180" s="1918"/>
      <c r="BB180" s="1918"/>
      <c r="BC180" s="1918"/>
      <c r="BD180" s="1918"/>
      <c r="BE180" s="1918"/>
    </row>
    <row r="181" spans="1:57" ht="15.75" customHeight="1">
      <c r="A181" s="1208"/>
      <c r="B181" s="1208"/>
      <c r="C181" s="2021" t="s">
        <v>2269</v>
      </c>
      <c r="D181" s="2022"/>
      <c r="E181" s="2022"/>
      <c r="F181" s="2022"/>
      <c r="G181" s="2022"/>
      <c r="H181" s="2022"/>
      <c r="I181" s="2022"/>
      <c r="J181" s="2022"/>
      <c r="K181" s="2022"/>
      <c r="L181" s="2022"/>
      <c r="M181" s="2022"/>
      <c r="N181" s="2032">
        <f>N180/J29</f>
        <v>427515.73076923075</v>
      </c>
      <c r="O181" s="2032"/>
      <c r="P181" s="2032"/>
      <c r="Q181" s="2032"/>
      <c r="R181" s="2032"/>
      <c r="S181" s="2032"/>
      <c r="T181" s="2032"/>
      <c r="U181" s="1248"/>
      <c r="V181" s="1248"/>
      <c r="W181" s="1248"/>
      <c r="X181" s="1248"/>
      <c r="Y181" s="1248"/>
      <c r="Z181" s="1248"/>
      <c r="AA181" s="1248"/>
      <c r="AB181" s="1248"/>
      <c r="AC181" s="1248"/>
      <c r="AD181" s="1248"/>
      <c r="AE181" s="1249"/>
      <c r="AF181" s="1208"/>
      <c r="AG181" s="1208"/>
      <c r="AH181" s="1918"/>
      <c r="AI181" s="1918"/>
      <c r="AJ181" s="1918"/>
      <c r="AK181" s="1918"/>
      <c r="AL181" s="1918"/>
      <c r="AM181" s="1918"/>
      <c r="AN181" s="1918"/>
      <c r="AO181" s="1918"/>
      <c r="AP181" s="1918"/>
      <c r="AQ181" s="1918"/>
      <c r="AR181" s="1918"/>
      <c r="AS181" s="1918"/>
      <c r="AT181" s="1918"/>
      <c r="AU181" s="1918"/>
      <c r="AV181" s="1918"/>
      <c r="AW181" s="1918"/>
      <c r="AX181" s="1918"/>
      <c r="AY181" s="1918"/>
      <c r="AZ181" s="1918"/>
      <c r="BA181" s="1918"/>
      <c r="BB181" s="1918"/>
      <c r="BC181" s="1918"/>
      <c r="BD181" s="1918"/>
      <c r="BE181" s="1918"/>
    </row>
    <row r="182" spans="1:57" ht="15.75" customHeight="1">
      <c r="A182" s="1208"/>
      <c r="B182" s="1208"/>
      <c r="C182" s="2048" t="s">
        <v>2268</v>
      </c>
      <c r="D182" s="2049"/>
      <c r="E182" s="2049"/>
      <c r="F182" s="2049"/>
      <c r="G182" s="2049"/>
      <c r="H182" s="2049"/>
      <c r="I182" s="2049"/>
      <c r="J182" s="2049"/>
      <c r="K182" s="2049"/>
      <c r="L182" s="2049"/>
      <c r="M182" s="2049"/>
      <c r="N182" s="2050">
        <v>0</v>
      </c>
      <c r="O182" s="2050"/>
      <c r="P182" s="2050"/>
      <c r="Q182" s="2050"/>
      <c r="R182" s="2050"/>
      <c r="S182" s="2050"/>
      <c r="T182" s="2050"/>
      <c r="U182" s="2008"/>
      <c r="V182" s="2008"/>
      <c r="W182" s="2008"/>
      <c r="X182" s="2008"/>
      <c r="Y182" s="2008"/>
      <c r="Z182" s="2008"/>
      <c r="AA182" s="2008"/>
      <c r="AB182" s="2008"/>
      <c r="AC182" s="2008"/>
      <c r="AD182" s="2008"/>
      <c r="AE182" s="2009"/>
      <c r="AF182" s="1208"/>
      <c r="AG182" s="1208"/>
      <c r="AH182" s="1918"/>
      <c r="AI182" s="1918"/>
      <c r="AJ182" s="1918"/>
      <c r="AK182" s="1918"/>
      <c r="AL182" s="1918"/>
      <c r="AM182" s="1918"/>
      <c r="AN182" s="1918"/>
      <c r="AO182" s="1918"/>
      <c r="AP182" s="1918"/>
      <c r="AQ182" s="1918"/>
      <c r="AR182" s="1918"/>
      <c r="AS182" s="1918"/>
      <c r="AT182" s="1918"/>
      <c r="AU182" s="1918"/>
      <c r="AV182" s="1918"/>
      <c r="AW182" s="1918"/>
      <c r="AX182" s="1918"/>
      <c r="AY182" s="1918"/>
      <c r="AZ182" s="1918"/>
      <c r="BA182" s="1918"/>
      <c r="BB182" s="1918"/>
      <c r="BC182" s="1918"/>
      <c r="BD182" s="1918"/>
      <c r="BE182" s="1918"/>
    </row>
    <row r="183" spans="1:57" ht="15.75" customHeight="1" thickBot="1">
      <c r="A183" s="1208"/>
      <c r="B183" s="1208"/>
      <c r="C183" s="2021" t="s">
        <v>2267</v>
      </c>
      <c r="D183" s="2022"/>
      <c r="E183" s="2022"/>
      <c r="F183" s="2022"/>
      <c r="G183" s="2022"/>
      <c r="H183" s="2022"/>
      <c r="I183" s="2022"/>
      <c r="J183" s="2022"/>
      <c r="K183" s="2022"/>
      <c r="L183" s="2022"/>
      <c r="M183" s="2022"/>
      <c r="N183" s="2051">
        <f>SUM('Sources and Uses Budget'!B85:B86)</f>
        <v>0</v>
      </c>
      <c r="O183" s="2051"/>
      <c r="P183" s="2051"/>
      <c r="Q183" s="2051"/>
      <c r="R183" s="2051"/>
      <c r="S183" s="2051"/>
      <c r="T183" s="2051"/>
      <c r="U183" s="2008"/>
      <c r="V183" s="2008"/>
      <c r="W183" s="2008"/>
      <c r="X183" s="2008"/>
      <c r="Y183" s="2008"/>
      <c r="Z183" s="2008"/>
      <c r="AA183" s="2008"/>
      <c r="AB183" s="2008"/>
      <c r="AC183" s="2008"/>
      <c r="AD183" s="2008"/>
      <c r="AE183" s="2009"/>
      <c r="AF183" s="1208"/>
      <c r="AG183" s="1208"/>
      <c r="AH183" s="1918"/>
      <c r="AI183" s="1918"/>
      <c r="AJ183" s="1918"/>
      <c r="AK183" s="1918"/>
      <c r="AL183" s="1918"/>
      <c r="AM183" s="1918"/>
      <c r="AN183" s="1918"/>
      <c r="AO183" s="1918"/>
      <c r="AP183" s="1918"/>
      <c r="AQ183" s="1918"/>
      <c r="AR183" s="1918"/>
      <c r="AS183" s="1918"/>
      <c r="AT183" s="1918"/>
      <c r="AU183" s="1918"/>
      <c r="AV183" s="1918"/>
      <c r="AW183" s="1918"/>
      <c r="AX183" s="1918"/>
      <c r="AY183" s="1918"/>
      <c r="AZ183" s="1918"/>
      <c r="BA183" s="1918"/>
      <c r="BB183" s="1918"/>
      <c r="BC183" s="1918"/>
      <c r="BD183" s="1918"/>
      <c r="BE183" s="1918"/>
    </row>
    <row r="184" spans="1:57" ht="15.75" customHeight="1" thickBot="1">
      <c r="A184" s="1208"/>
      <c r="B184" s="1208"/>
      <c r="C184" s="2021" t="s">
        <v>2266</v>
      </c>
      <c r="D184" s="2022"/>
      <c r="E184" s="2022"/>
      <c r="F184" s="2022"/>
      <c r="G184" s="2022"/>
      <c r="H184" s="2022"/>
      <c r="I184" s="2022"/>
      <c r="J184" s="2022"/>
      <c r="K184" s="2022"/>
      <c r="L184" s="2022"/>
      <c r="M184" s="2022"/>
      <c r="N184" s="2051">
        <f>'Sources and Uses Budget'!B8</f>
        <v>593000</v>
      </c>
      <c r="O184" s="2051"/>
      <c r="P184" s="2051"/>
      <c r="Q184" s="2051"/>
      <c r="R184" s="2051"/>
      <c r="S184" s="2051"/>
      <c r="T184" s="2051"/>
      <c r="U184" s="2008"/>
      <c r="V184" s="2008"/>
      <c r="W184" s="2008"/>
      <c r="X184" s="2008"/>
      <c r="Y184" s="2008"/>
      <c r="Z184" s="2008"/>
      <c r="AA184" s="2008"/>
      <c r="AB184" s="2008"/>
      <c r="AC184" s="2008"/>
      <c r="AD184" s="2008"/>
      <c r="AE184" s="2009"/>
      <c r="AF184" s="1208"/>
      <c r="AG184" s="1208"/>
      <c r="AH184" s="2018" t="s">
        <v>2264</v>
      </c>
      <c r="AI184" s="2019"/>
      <c r="AJ184" s="2019"/>
      <c r="AK184" s="2019"/>
      <c r="AL184" s="2019"/>
      <c r="AM184" s="2019"/>
      <c r="AN184" s="2019"/>
      <c r="AO184" s="2019"/>
      <c r="AP184" s="2019"/>
      <c r="AQ184" s="2019"/>
      <c r="AR184" s="2019"/>
      <c r="AS184" s="2019"/>
      <c r="AT184" s="2019"/>
      <c r="AU184" s="2019"/>
      <c r="AV184" s="2019"/>
      <c r="AW184" s="2019"/>
      <c r="AX184" s="2019"/>
      <c r="AY184" s="2019"/>
      <c r="AZ184" s="2019"/>
      <c r="BA184" s="2019"/>
      <c r="BB184" s="2019"/>
      <c r="BC184" s="2019"/>
      <c r="BD184" s="2019"/>
      <c r="BE184" s="2020"/>
    </row>
    <row r="185" spans="1:57" ht="15.75" customHeight="1">
      <c r="A185" s="1208"/>
      <c r="B185" s="1208"/>
      <c r="C185" s="2021" t="s">
        <v>2265</v>
      </c>
      <c r="D185" s="2022"/>
      <c r="E185" s="2022"/>
      <c r="F185" s="2022"/>
      <c r="G185" s="2022"/>
      <c r="H185" s="2022"/>
      <c r="I185" s="2022"/>
      <c r="J185" s="2022"/>
      <c r="K185" s="2022"/>
      <c r="L185" s="2022"/>
      <c r="M185" s="2022"/>
      <c r="N185" s="2007">
        <v>0</v>
      </c>
      <c r="O185" s="2007"/>
      <c r="P185" s="2007"/>
      <c r="Q185" s="2007"/>
      <c r="R185" s="2007"/>
      <c r="S185" s="2007"/>
      <c r="T185" s="2007"/>
      <c r="U185" s="2008"/>
      <c r="V185" s="2008"/>
      <c r="W185" s="2008"/>
      <c r="X185" s="2008"/>
      <c r="Y185" s="2008"/>
      <c r="Z185" s="2008"/>
      <c r="AA185" s="2008"/>
      <c r="AB185" s="2008"/>
      <c r="AC185" s="2008"/>
      <c r="AD185" s="2008"/>
      <c r="AE185" s="2009"/>
      <c r="AF185" s="1208"/>
      <c r="AG185" s="1208"/>
      <c r="AH185" s="2023" t="s">
        <v>2264</v>
      </c>
      <c r="AI185" s="2024"/>
      <c r="AJ185" s="2024"/>
      <c r="AK185" s="2024"/>
      <c r="AL185" s="2024"/>
      <c r="AM185" s="2024"/>
      <c r="AN185" s="2024"/>
      <c r="AO185" s="2024"/>
      <c r="AP185" s="2024"/>
      <c r="AQ185" s="2024"/>
      <c r="AR185" s="2024"/>
      <c r="AS185" s="2024"/>
      <c r="AT185" s="2024"/>
      <c r="AU185" s="2025">
        <v>0</v>
      </c>
      <c r="AV185" s="2025"/>
      <c r="AW185" s="2025"/>
      <c r="AX185" s="2025"/>
      <c r="AY185" s="2025"/>
      <c r="AZ185" s="2025"/>
      <c r="BA185" s="2025"/>
      <c r="BB185" s="2025"/>
      <c r="BC185" s="2026"/>
      <c r="BD185" s="2027"/>
      <c r="BE185" s="2028"/>
    </row>
    <row r="186" spans="1:57" ht="15.75" customHeight="1">
      <c r="A186" s="1208"/>
      <c r="B186" s="1208"/>
      <c r="C186" s="2021" t="s">
        <v>2263</v>
      </c>
      <c r="D186" s="2022"/>
      <c r="E186" s="2022"/>
      <c r="F186" s="2022"/>
      <c r="G186" s="2022"/>
      <c r="H186" s="2022"/>
      <c r="I186" s="2022"/>
      <c r="J186" s="2022"/>
      <c r="K186" s="2022"/>
      <c r="L186" s="2022"/>
      <c r="M186" s="2022"/>
      <c r="N186" s="2007">
        <v>0</v>
      </c>
      <c r="O186" s="2007"/>
      <c r="P186" s="2007"/>
      <c r="Q186" s="2007"/>
      <c r="R186" s="2007"/>
      <c r="S186" s="2007"/>
      <c r="T186" s="2007"/>
      <c r="U186" s="2008"/>
      <c r="V186" s="2008"/>
      <c r="W186" s="2008"/>
      <c r="X186" s="2008"/>
      <c r="Y186" s="2008"/>
      <c r="Z186" s="2008"/>
      <c r="AA186" s="2008"/>
      <c r="AB186" s="2008"/>
      <c r="AC186" s="2008"/>
      <c r="AD186" s="2008"/>
      <c r="AE186" s="2009"/>
      <c r="AF186" s="1208"/>
      <c r="AG186" s="1208"/>
      <c r="AH186" s="2039" t="s">
        <v>2262</v>
      </c>
      <c r="AI186" s="2040"/>
      <c r="AJ186" s="2040"/>
      <c r="AK186" s="2040"/>
      <c r="AL186" s="2040"/>
      <c r="AM186" s="2040"/>
      <c r="AN186" s="2040"/>
      <c r="AO186" s="2040"/>
      <c r="AP186" s="2040"/>
      <c r="AQ186" s="2040"/>
      <c r="AR186" s="2040"/>
      <c r="AS186" s="2040"/>
      <c r="AT186" s="2040"/>
      <c r="AU186" s="2041"/>
      <c r="AV186" s="2041"/>
      <c r="AW186" s="2041"/>
      <c r="AX186" s="2041"/>
      <c r="AY186" s="2041"/>
      <c r="AZ186" s="2041"/>
      <c r="BA186" s="2041"/>
      <c r="BB186" s="2041"/>
      <c r="BC186" s="2029"/>
      <c r="BD186" s="2030"/>
      <c r="BE186" s="2031"/>
    </row>
    <row r="187" spans="1:57" ht="15.75" customHeight="1">
      <c r="A187" s="1208"/>
      <c r="B187" s="1208"/>
      <c r="C187" s="2013" t="s">
        <v>300</v>
      </c>
      <c r="D187" s="2014"/>
      <c r="E187" s="2006" t="s">
        <v>2260</v>
      </c>
      <c r="F187" s="2006"/>
      <c r="G187" s="2006"/>
      <c r="H187" s="2006"/>
      <c r="I187" s="2006"/>
      <c r="J187" s="2006"/>
      <c r="K187" s="2006"/>
      <c r="L187" s="2006"/>
      <c r="M187" s="2006"/>
      <c r="N187" s="2007">
        <v>0</v>
      </c>
      <c r="O187" s="2007"/>
      <c r="P187" s="2007"/>
      <c r="Q187" s="2007"/>
      <c r="R187" s="2007"/>
      <c r="S187" s="2007"/>
      <c r="T187" s="2007"/>
      <c r="U187" s="2008"/>
      <c r="V187" s="2008"/>
      <c r="W187" s="2008"/>
      <c r="X187" s="2008"/>
      <c r="Y187" s="2008"/>
      <c r="Z187" s="2008"/>
      <c r="AA187" s="2008"/>
      <c r="AB187" s="2008"/>
      <c r="AC187" s="2008"/>
      <c r="AD187" s="2008"/>
      <c r="AE187" s="2009"/>
      <c r="AF187" s="1208"/>
      <c r="AG187" s="1208"/>
      <c r="AH187" s="2015" t="s">
        <v>2261</v>
      </c>
      <c r="AI187" s="2016"/>
      <c r="AJ187" s="2016"/>
      <c r="AK187" s="2016"/>
      <c r="AL187" s="2016"/>
      <c r="AM187" s="2016"/>
      <c r="AN187" s="2016"/>
      <c r="AO187" s="2016"/>
      <c r="AP187" s="2016"/>
      <c r="AQ187" s="2016"/>
      <c r="AR187" s="2016"/>
      <c r="AS187" s="2016"/>
      <c r="AT187" s="2016"/>
      <c r="AU187" s="2017">
        <f>SUM(AU185:BB186)</f>
        <v>0</v>
      </c>
      <c r="AV187" s="2017"/>
      <c r="AW187" s="2017"/>
      <c r="AX187" s="2017"/>
      <c r="AY187" s="2017"/>
      <c r="AZ187" s="2017"/>
      <c r="BA187" s="2017"/>
      <c r="BB187" s="2017"/>
      <c r="BC187" s="2029"/>
      <c r="BD187" s="2030"/>
      <c r="BE187" s="2031"/>
    </row>
    <row r="188" spans="1:57" ht="15.75" customHeight="1" thickBot="1">
      <c r="A188" s="1208"/>
      <c r="B188" s="1208"/>
      <c r="C188" s="2004" t="s">
        <v>300</v>
      </c>
      <c r="D188" s="2005"/>
      <c r="E188" s="2006" t="s">
        <v>2260</v>
      </c>
      <c r="F188" s="2006"/>
      <c r="G188" s="2006"/>
      <c r="H188" s="2006"/>
      <c r="I188" s="2006"/>
      <c r="J188" s="2006"/>
      <c r="K188" s="2006"/>
      <c r="L188" s="2006"/>
      <c r="M188" s="2006"/>
      <c r="N188" s="2007">
        <v>0</v>
      </c>
      <c r="O188" s="2007"/>
      <c r="P188" s="2007"/>
      <c r="Q188" s="2007"/>
      <c r="R188" s="2007"/>
      <c r="S188" s="2007"/>
      <c r="T188" s="2007"/>
      <c r="U188" s="2008"/>
      <c r="V188" s="2008"/>
      <c r="W188" s="2008"/>
      <c r="X188" s="2008"/>
      <c r="Y188" s="2008"/>
      <c r="Z188" s="2008"/>
      <c r="AA188" s="2008"/>
      <c r="AB188" s="2008"/>
      <c r="AC188" s="2008"/>
      <c r="AD188" s="2008"/>
      <c r="AE188" s="2009"/>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010"/>
      <c r="BD188" s="2011"/>
      <c r="BE188" s="2012"/>
    </row>
    <row r="189" spans="1:57" ht="15.75" customHeight="1" thickBot="1">
      <c r="A189" s="1208"/>
      <c r="B189" s="1208"/>
      <c r="C189" s="1992" t="s">
        <v>300</v>
      </c>
      <c r="D189" s="1993"/>
      <c r="E189" s="1994" t="s">
        <v>2260</v>
      </c>
      <c r="F189" s="1994"/>
      <c r="G189" s="1994"/>
      <c r="H189" s="1994"/>
      <c r="I189" s="1994"/>
      <c r="J189" s="1994"/>
      <c r="K189" s="1994"/>
      <c r="L189" s="1994"/>
      <c r="M189" s="1995"/>
      <c r="N189" s="1996">
        <v>0</v>
      </c>
      <c r="O189" s="1996"/>
      <c r="P189" s="1996"/>
      <c r="Q189" s="1996"/>
      <c r="R189" s="1996"/>
      <c r="S189" s="1996"/>
      <c r="T189" s="1997"/>
      <c r="U189" s="1998"/>
      <c r="V189" s="1999"/>
      <c r="W189" s="1999"/>
      <c r="X189" s="1999"/>
      <c r="Y189" s="1999"/>
      <c r="Z189" s="1999"/>
      <c r="AA189" s="1999"/>
      <c r="AB189" s="1999"/>
      <c r="AC189" s="1999"/>
      <c r="AD189" s="1999"/>
      <c r="AE189" s="2000"/>
      <c r="AF189" s="1208"/>
      <c r="AG189" s="1208"/>
      <c r="AH189" s="2001" t="s">
        <v>2259</v>
      </c>
      <c r="AI189" s="2002"/>
      <c r="AJ189" s="2002"/>
      <c r="AK189" s="2002"/>
      <c r="AL189" s="2002"/>
      <c r="AM189" s="2002"/>
      <c r="AN189" s="2002"/>
      <c r="AO189" s="2002"/>
      <c r="AP189" s="2002"/>
      <c r="AQ189" s="2002"/>
      <c r="AR189" s="2002"/>
      <c r="AS189" s="2002"/>
      <c r="AT189" s="2002"/>
      <c r="AU189" s="2003"/>
      <c r="AV189" s="2003"/>
      <c r="AW189" s="2003"/>
      <c r="AX189" s="2003"/>
      <c r="AY189" s="2003"/>
      <c r="AZ189" s="2003"/>
      <c r="BA189" s="2003"/>
      <c r="BB189" s="2003"/>
      <c r="BC189" s="1164"/>
      <c r="BD189" s="1164"/>
      <c r="BE189" s="1252"/>
    </row>
    <row r="190" spans="1:57" ht="15.75" customHeight="1">
      <c r="A190" s="1208"/>
      <c r="B190" s="1208"/>
      <c r="C190" s="1975" t="s">
        <v>2258</v>
      </c>
      <c r="D190" s="1976"/>
      <c r="E190" s="1976"/>
      <c r="F190" s="1976"/>
      <c r="G190" s="1976"/>
      <c r="H190" s="1976"/>
      <c r="I190" s="1976"/>
      <c r="J190" s="1976"/>
      <c r="K190" s="1976"/>
      <c r="L190" s="1976"/>
      <c r="M190" s="1976"/>
      <c r="N190" s="1977">
        <f>SUM(N182:T189)</f>
        <v>593000</v>
      </c>
      <c r="O190" s="1977"/>
      <c r="P190" s="1977"/>
      <c r="Q190" s="1977"/>
      <c r="R190" s="1977"/>
      <c r="S190" s="1977"/>
      <c r="T190" s="1978"/>
      <c r="U190" s="1208"/>
      <c r="V190" s="1208"/>
      <c r="W190" s="1208"/>
      <c r="X190" s="1208"/>
      <c r="Y190" s="1208"/>
      <c r="Z190" s="1208"/>
      <c r="AA190" s="1208"/>
      <c r="AB190" s="1208"/>
      <c r="AC190" s="1208"/>
      <c r="AD190" s="1208"/>
      <c r="AE190" s="1208"/>
      <c r="AF190" s="1208"/>
      <c r="AG190" s="1208"/>
      <c r="AH190" s="1979" t="s">
        <v>2257</v>
      </c>
      <c r="AI190" s="1980"/>
      <c r="AJ190" s="1980"/>
      <c r="AK190" s="1980"/>
      <c r="AL190" s="1980"/>
      <c r="AM190" s="1980"/>
      <c r="AN190" s="1980"/>
      <c r="AO190" s="1980"/>
      <c r="AP190" s="1980"/>
      <c r="AQ190" s="1980"/>
      <c r="AR190" s="1980"/>
      <c r="AS190" s="1980"/>
      <c r="AT190" s="1980"/>
      <c r="AU190" s="1980"/>
      <c r="AV190" s="1980"/>
      <c r="AW190" s="1980"/>
      <c r="AX190" s="1980"/>
      <c r="AY190" s="1980"/>
      <c r="AZ190" s="1980"/>
      <c r="BA190" s="1980"/>
      <c r="BB190" s="1980"/>
      <c r="BC190" s="1980"/>
      <c r="BD190" s="1980"/>
      <c r="BE190" s="1981"/>
    </row>
    <row r="191" spans="1:57" ht="15.75" customHeight="1" thickBot="1">
      <c r="A191" s="1208"/>
      <c r="B191" s="1208"/>
      <c r="C191" s="1985" t="s">
        <v>2256</v>
      </c>
      <c r="D191" s="1986"/>
      <c r="E191" s="1986"/>
      <c r="F191" s="1986"/>
      <c r="G191" s="1986"/>
      <c r="H191" s="1986"/>
      <c r="I191" s="1986"/>
      <c r="J191" s="1986"/>
      <c r="K191" s="1986"/>
      <c r="L191" s="1986"/>
      <c r="M191" s="1986"/>
      <c r="N191" s="1987">
        <f>(N180-N190)/J29</f>
        <v>419913.16666666669</v>
      </c>
      <c r="O191" s="1988"/>
      <c r="P191" s="1988"/>
      <c r="Q191" s="1988"/>
      <c r="R191" s="1988"/>
      <c r="S191" s="1988"/>
      <c r="T191" s="1989"/>
      <c r="U191" s="1216"/>
      <c r="V191" s="1208"/>
      <c r="W191" s="1208"/>
      <c r="X191" s="1208"/>
      <c r="Y191" s="1208"/>
      <c r="Z191" s="1208"/>
      <c r="AA191" s="1208"/>
      <c r="AB191" s="1208"/>
      <c r="AC191" s="1208"/>
      <c r="AD191" s="1208"/>
      <c r="AE191" s="1208"/>
      <c r="AF191" s="1208"/>
      <c r="AG191" s="1208"/>
      <c r="AH191" s="1982"/>
      <c r="AI191" s="1983"/>
      <c r="AJ191" s="1983"/>
      <c r="AK191" s="1983"/>
      <c r="AL191" s="1983"/>
      <c r="AM191" s="1983"/>
      <c r="AN191" s="1983"/>
      <c r="AO191" s="1983"/>
      <c r="AP191" s="1983"/>
      <c r="AQ191" s="1983"/>
      <c r="AR191" s="1983"/>
      <c r="AS191" s="1983"/>
      <c r="AT191" s="1983"/>
      <c r="AU191" s="1983"/>
      <c r="AV191" s="1983"/>
      <c r="AW191" s="1983"/>
      <c r="AX191" s="1983"/>
      <c r="AY191" s="1983"/>
      <c r="AZ191" s="1983"/>
      <c r="BA191" s="1983"/>
      <c r="BB191" s="1983"/>
      <c r="BC191" s="1983"/>
      <c r="BD191" s="1983"/>
      <c r="BE191" s="1984"/>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90"/>
      <c r="AI192" s="1990"/>
      <c r="AJ192" s="1990"/>
      <c r="AK192" s="1990"/>
      <c r="AL192" s="1990"/>
      <c r="AM192" s="1990"/>
      <c r="AN192" s="1990"/>
      <c r="AO192" s="1990"/>
      <c r="AP192" s="1990"/>
      <c r="AQ192" s="1990"/>
      <c r="AR192" s="1990"/>
      <c r="AS192" s="1991"/>
      <c r="AT192" s="1991"/>
      <c r="AU192" s="1991"/>
      <c r="AV192" s="1991"/>
      <c r="AW192" s="1991"/>
      <c r="AX192" s="1991"/>
      <c r="AY192" s="1991"/>
      <c r="AZ192" s="1991"/>
      <c r="BA192" s="1991"/>
      <c r="BB192" s="1991"/>
      <c r="BC192" s="1991"/>
      <c r="BD192" s="1991"/>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70" t="s">
        <v>2255</v>
      </c>
      <c r="D194" s="1971"/>
      <c r="E194" s="1971"/>
      <c r="F194" s="1971"/>
      <c r="G194" s="1971"/>
      <c r="H194" s="1971"/>
      <c r="I194" s="1971"/>
      <c r="J194" s="1971"/>
      <c r="K194" s="1971"/>
      <c r="L194" s="1971"/>
      <c r="M194" s="1971"/>
      <c r="N194" s="1971"/>
      <c r="O194" s="1971"/>
      <c r="P194" s="1971"/>
      <c r="Q194" s="1971"/>
      <c r="R194" s="1971"/>
      <c r="S194" s="1971"/>
      <c r="T194" s="1971"/>
      <c r="U194" s="1971"/>
      <c r="V194" s="1971"/>
      <c r="W194" s="1971"/>
      <c r="X194" s="1971"/>
      <c r="Y194" s="1971"/>
      <c r="Z194" s="1971"/>
      <c r="AA194" s="1971"/>
      <c r="AB194" s="1971"/>
      <c r="AC194" s="1971"/>
      <c r="AD194" s="1971"/>
      <c r="AE194" s="1972"/>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73" t="s">
        <v>2254</v>
      </c>
      <c r="D195" s="1973"/>
      <c r="E195" s="1973"/>
      <c r="F195" s="1973"/>
      <c r="G195" s="1973"/>
      <c r="H195" s="1973"/>
      <c r="I195" s="1973"/>
      <c r="J195" s="1973"/>
      <c r="K195" s="1973"/>
      <c r="L195" s="1973"/>
      <c r="M195" s="1973"/>
      <c r="N195" s="1973"/>
      <c r="O195" s="1974" t="s">
        <v>2253</v>
      </c>
      <c r="P195" s="1974"/>
      <c r="Q195" s="1974"/>
      <c r="R195" s="1974"/>
      <c r="S195" s="1974"/>
      <c r="T195" s="1974"/>
      <c r="U195" s="1974"/>
      <c r="V195" s="1974"/>
      <c r="W195" s="1974"/>
      <c r="X195" s="1974" t="s">
        <v>2252</v>
      </c>
      <c r="Y195" s="1974"/>
      <c r="Z195" s="1974"/>
      <c r="AA195" s="1974"/>
      <c r="AB195" s="1974"/>
      <c r="AC195" s="1974"/>
      <c r="AD195" s="1974"/>
      <c r="AE195" s="1974"/>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65" t="s">
        <v>2251</v>
      </c>
      <c r="D196" s="1965"/>
      <c r="E196" s="1965"/>
      <c r="F196" s="1965"/>
      <c r="G196" s="1965"/>
      <c r="H196" s="1965"/>
      <c r="I196" s="1965"/>
      <c r="J196" s="1965"/>
      <c r="K196" s="1965"/>
      <c r="L196" s="1965"/>
      <c r="M196" s="1965"/>
      <c r="N196" s="1965"/>
      <c r="O196" s="1966" t="s">
        <v>2250</v>
      </c>
      <c r="P196" s="1966"/>
      <c r="Q196" s="1966"/>
      <c r="R196" s="1966"/>
      <c r="S196" s="1966"/>
      <c r="T196" s="1966"/>
      <c r="U196" s="1966"/>
      <c r="V196" s="1966"/>
      <c r="W196" s="1966"/>
      <c r="X196" s="1967">
        <v>0.03</v>
      </c>
      <c r="Y196" s="1967"/>
      <c r="Z196" s="1967"/>
      <c r="AA196" s="1967"/>
      <c r="AB196" s="1967"/>
      <c r="AC196" s="1967"/>
      <c r="AD196" s="1967"/>
      <c r="AE196" s="1967"/>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65" t="s">
        <v>854</v>
      </c>
      <c r="D197" s="1965"/>
      <c r="E197" s="1965"/>
      <c r="F197" s="1965"/>
      <c r="G197" s="1965"/>
      <c r="H197" s="1965"/>
      <c r="I197" s="1965"/>
      <c r="J197" s="1965"/>
      <c r="K197" s="1965"/>
      <c r="L197" s="1965"/>
      <c r="M197" s="1965"/>
      <c r="N197" s="1965"/>
      <c r="O197" s="1966" t="s">
        <v>2250</v>
      </c>
      <c r="P197" s="1966"/>
      <c r="Q197" s="1966"/>
      <c r="R197" s="1966"/>
      <c r="S197" s="1966"/>
      <c r="T197" s="1966"/>
      <c r="U197" s="1966"/>
      <c r="V197" s="1966"/>
      <c r="W197" s="1966"/>
      <c r="X197" s="1967">
        <v>0.03</v>
      </c>
      <c r="Y197" s="1967"/>
      <c r="Z197" s="1967"/>
      <c r="AA197" s="1967"/>
      <c r="AB197" s="1967"/>
      <c r="AC197" s="1967"/>
      <c r="AD197" s="1967"/>
      <c r="AE197" s="1967"/>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65" t="s">
        <v>2249</v>
      </c>
      <c r="D198" s="1965"/>
      <c r="E198" s="1965"/>
      <c r="F198" s="1965"/>
      <c r="G198" s="1965"/>
      <c r="H198" s="1965"/>
      <c r="I198" s="1965"/>
      <c r="J198" s="1965"/>
      <c r="K198" s="1965"/>
      <c r="L198" s="1965"/>
      <c r="M198" s="1965"/>
      <c r="N198" s="1965"/>
      <c r="O198" s="1968">
        <f>SUM(O196:W197)</f>
        <v>0</v>
      </c>
      <c r="P198" s="1969"/>
      <c r="Q198" s="1969"/>
      <c r="R198" s="1969"/>
      <c r="S198" s="1969"/>
      <c r="T198" s="1969"/>
      <c r="U198" s="1969"/>
      <c r="V198" s="1969"/>
      <c r="W198" s="1969"/>
      <c r="X198" s="1969" t="s">
        <v>2248</v>
      </c>
      <c r="Y198" s="1969"/>
      <c r="Z198" s="1969"/>
      <c r="AA198" s="1969"/>
      <c r="AB198" s="1969"/>
      <c r="AC198" s="1969"/>
      <c r="AD198" s="1969"/>
      <c r="AE198" s="1969"/>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39" t="s">
        <v>2247</v>
      </c>
      <c r="D199" s="1939"/>
      <c r="E199" s="1939"/>
      <c r="F199" s="1939"/>
      <c r="G199" s="1939"/>
      <c r="H199" s="1939"/>
      <c r="I199" s="1939"/>
      <c r="J199" s="1939"/>
      <c r="K199" s="1939"/>
      <c r="L199" s="1939"/>
      <c r="M199" s="1939"/>
      <c r="N199" s="1939"/>
      <c r="O199" s="1939"/>
      <c r="P199" s="1939"/>
      <c r="Q199" s="1939"/>
      <c r="R199" s="1939"/>
      <c r="S199" s="1939"/>
      <c r="T199" s="1939"/>
      <c r="U199" s="1939"/>
      <c r="V199" s="1939"/>
      <c r="W199" s="1939"/>
      <c r="X199" s="1939"/>
      <c r="Y199" s="1939"/>
      <c r="Z199" s="1939"/>
      <c r="AA199" s="1939"/>
      <c r="AB199" s="1939"/>
      <c r="AC199" s="1939"/>
      <c r="AD199" s="1939"/>
      <c r="AE199" s="1939"/>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40" t="s">
        <v>2246</v>
      </c>
      <c r="D201" s="1941"/>
      <c r="E201" s="1941"/>
      <c r="F201" s="1941"/>
      <c r="G201" s="1941"/>
      <c r="H201" s="1941"/>
      <c r="I201" s="1941"/>
      <c r="J201" s="1941"/>
      <c r="K201" s="1941"/>
      <c r="L201" s="1941"/>
      <c r="M201" s="1941"/>
      <c r="N201" s="1941"/>
      <c r="O201" s="1941"/>
      <c r="P201" s="1941"/>
      <c r="Q201" s="1941"/>
      <c r="R201" s="1941"/>
      <c r="S201" s="1941"/>
      <c r="T201" s="1941"/>
      <c r="U201" s="1941"/>
      <c r="V201" s="1941"/>
      <c r="W201" s="1941"/>
      <c r="X201" s="1941"/>
      <c r="Y201" s="1941"/>
      <c r="Z201" s="1941"/>
      <c r="AA201" s="1941"/>
      <c r="AB201" s="1941"/>
      <c r="AC201" s="1941"/>
      <c r="AD201" s="1941"/>
      <c r="AE201" s="1941"/>
      <c r="AF201" s="1941"/>
      <c r="AG201" s="1941"/>
      <c r="AH201" s="1941"/>
      <c r="AI201" s="1941"/>
      <c r="AJ201" s="1941"/>
      <c r="AK201" s="1942"/>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43" t="s">
        <v>2245</v>
      </c>
      <c r="D202" s="1944"/>
      <c r="E202" s="1944"/>
      <c r="F202" s="1945"/>
      <c r="G202" s="1949" t="s">
        <v>2244</v>
      </c>
      <c r="H202" s="1944"/>
      <c r="I202" s="1944"/>
      <c r="J202" s="1944"/>
      <c r="K202" s="1944"/>
      <c r="L202" s="1944"/>
      <c r="M202" s="1944"/>
      <c r="N202" s="1944"/>
      <c r="O202" s="1945"/>
      <c r="P202" s="1951" t="s">
        <v>2243</v>
      </c>
      <c r="Q202" s="1952"/>
      <c r="R202" s="1952"/>
      <c r="S202" s="1952"/>
      <c r="T202" s="1953"/>
      <c r="U202" s="1957" t="s">
        <v>2242</v>
      </c>
      <c r="V202" s="1958"/>
      <c r="W202" s="1958"/>
      <c r="X202" s="1959"/>
      <c r="Y202" s="1957" t="s">
        <v>2241</v>
      </c>
      <c r="Z202" s="1958"/>
      <c r="AA202" s="1958"/>
      <c r="AB202" s="1959"/>
      <c r="AC202" s="1957" t="s">
        <v>2240</v>
      </c>
      <c r="AD202" s="1958"/>
      <c r="AE202" s="1958"/>
      <c r="AF202" s="1959"/>
      <c r="AG202" s="1949" t="s">
        <v>2239</v>
      </c>
      <c r="AH202" s="1944"/>
      <c r="AI202" s="1944"/>
      <c r="AJ202" s="1944"/>
      <c r="AK202" s="1963"/>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46"/>
      <c r="D203" s="1947"/>
      <c r="E203" s="1947"/>
      <c r="F203" s="1948"/>
      <c r="G203" s="1950"/>
      <c r="H203" s="1947"/>
      <c r="I203" s="1947"/>
      <c r="J203" s="1947"/>
      <c r="K203" s="1947"/>
      <c r="L203" s="1947"/>
      <c r="M203" s="1947"/>
      <c r="N203" s="1947"/>
      <c r="O203" s="1948"/>
      <c r="P203" s="1954"/>
      <c r="Q203" s="1955"/>
      <c r="R203" s="1955"/>
      <c r="S203" s="1955"/>
      <c r="T203" s="1956"/>
      <c r="U203" s="1960"/>
      <c r="V203" s="1961"/>
      <c r="W203" s="1961"/>
      <c r="X203" s="1962"/>
      <c r="Y203" s="1960"/>
      <c r="Z203" s="1961"/>
      <c r="AA203" s="1961"/>
      <c r="AB203" s="1962"/>
      <c r="AC203" s="1960"/>
      <c r="AD203" s="1961"/>
      <c r="AE203" s="1961"/>
      <c r="AF203" s="1962"/>
      <c r="AG203" s="1950"/>
      <c r="AH203" s="1947"/>
      <c r="AI203" s="1947"/>
      <c r="AJ203" s="1947"/>
      <c r="AK203" s="1964"/>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32">
        <v>1</v>
      </c>
      <c r="D204" s="1933"/>
      <c r="E204" s="1933"/>
      <c r="F204" s="1933"/>
      <c r="G204" s="1934" t="s">
        <v>1859</v>
      </c>
      <c r="H204" s="1934"/>
      <c r="I204" s="1934"/>
      <c r="J204" s="1934"/>
      <c r="K204" s="1934"/>
      <c r="L204" s="1934"/>
      <c r="M204" s="1934"/>
      <c r="N204" s="1934"/>
      <c r="O204" s="1934"/>
      <c r="P204" s="1935"/>
      <c r="Q204" s="1938"/>
      <c r="R204" s="1938"/>
      <c r="S204" s="1938"/>
      <c r="T204" s="1938"/>
      <c r="U204" s="1936" t="s">
        <v>1859</v>
      </c>
      <c r="V204" s="1936"/>
      <c r="W204" s="1936"/>
      <c r="X204" s="1936"/>
      <c r="Y204" s="1936" t="s">
        <v>1859</v>
      </c>
      <c r="Z204" s="1936"/>
      <c r="AA204" s="1936"/>
      <c r="AB204" s="1936"/>
      <c r="AC204" s="1937" t="s">
        <v>1859</v>
      </c>
      <c r="AD204" s="1937"/>
      <c r="AE204" s="1937"/>
      <c r="AF204" s="1937"/>
      <c r="AG204" s="1921"/>
      <c r="AH204" s="1922"/>
      <c r="AI204" s="1922"/>
      <c r="AJ204" s="1922"/>
      <c r="AK204" s="1923"/>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32">
        <v>2</v>
      </c>
      <c r="D205" s="1933"/>
      <c r="E205" s="1933"/>
      <c r="F205" s="1933"/>
      <c r="G205" s="1934" t="s">
        <v>1859</v>
      </c>
      <c r="H205" s="1934"/>
      <c r="I205" s="1934"/>
      <c r="J205" s="1934"/>
      <c r="K205" s="1934"/>
      <c r="L205" s="1934"/>
      <c r="M205" s="1934"/>
      <c r="N205" s="1934"/>
      <c r="O205" s="1934"/>
      <c r="P205" s="1935"/>
      <c r="Q205" s="1935"/>
      <c r="R205" s="1935"/>
      <c r="S205" s="1935"/>
      <c r="T205" s="1935"/>
      <c r="U205" s="1936" t="s">
        <v>1859</v>
      </c>
      <c r="V205" s="1936"/>
      <c r="W205" s="1936"/>
      <c r="X205" s="1936"/>
      <c r="Y205" s="1936" t="s">
        <v>1859</v>
      </c>
      <c r="Z205" s="1936"/>
      <c r="AA205" s="1936"/>
      <c r="AB205" s="1936"/>
      <c r="AC205" s="1937" t="s">
        <v>1859</v>
      </c>
      <c r="AD205" s="1937"/>
      <c r="AE205" s="1937"/>
      <c r="AF205" s="1937"/>
      <c r="AG205" s="1921"/>
      <c r="AH205" s="1922"/>
      <c r="AI205" s="1922"/>
      <c r="AJ205" s="1922"/>
      <c r="AK205" s="1923"/>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32">
        <v>3</v>
      </c>
      <c r="D206" s="1933"/>
      <c r="E206" s="1933"/>
      <c r="F206" s="1933"/>
      <c r="G206" s="1934" t="s">
        <v>1859</v>
      </c>
      <c r="H206" s="1934"/>
      <c r="I206" s="1934"/>
      <c r="J206" s="1934"/>
      <c r="K206" s="1934"/>
      <c r="L206" s="1934"/>
      <c r="M206" s="1934"/>
      <c r="N206" s="1934"/>
      <c r="O206" s="1934"/>
      <c r="P206" s="1935"/>
      <c r="Q206" s="1935"/>
      <c r="R206" s="1935"/>
      <c r="S206" s="1935"/>
      <c r="T206" s="1935"/>
      <c r="U206" s="1936" t="s">
        <v>1859</v>
      </c>
      <c r="V206" s="1936"/>
      <c r="W206" s="1936"/>
      <c r="X206" s="1936"/>
      <c r="Y206" s="1936" t="s">
        <v>1859</v>
      </c>
      <c r="Z206" s="1936"/>
      <c r="AA206" s="1936"/>
      <c r="AB206" s="1936"/>
      <c r="AC206" s="1937" t="s">
        <v>1859</v>
      </c>
      <c r="AD206" s="1937"/>
      <c r="AE206" s="1937"/>
      <c r="AF206" s="1937"/>
      <c r="AG206" s="1921"/>
      <c r="AH206" s="1922"/>
      <c r="AI206" s="1922"/>
      <c r="AJ206" s="1922"/>
      <c r="AK206" s="1923"/>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32">
        <v>4</v>
      </c>
      <c r="D207" s="1933"/>
      <c r="E207" s="1933"/>
      <c r="F207" s="1933"/>
      <c r="G207" s="1934" t="s">
        <v>1859</v>
      </c>
      <c r="H207" s="1934"/>
      <c r="I207" s="1934"/>
      <c r="J207" s="1934"/>
      <c r="K207" s="1934"/>
      <c r="L207" s="1934"/>
      <c r="M207" s="1934"/>
      <c r="N207" s="1934"/>
      <c r="O207" s="1934"/>
      <c r="P207" s="1935"/>
      <c r="Q207" s="1935"/>
      <c r="R207" s="1935"/>
      <c r="S207" s="1935"/>
      <c r="T207" s="1935"/>
      <c r="U207" s="1936" t="s">
        <v>1859</v>
      </c>
      <c r="V207" s="1936"/>
      <c r="W207" s="1936"/>
      <c r="X207" s="1936"/>
      <c r="Y207" s="1936" t="s">
        <v>1859</v>
      </c>
      <c r="Z207" s="1936"/>
      <c r="AA207" s="1936"/>
      <c r="AB207" s="1936"/>
      <c r="AC207" s="1937" t="s">
        <v>1859</v>
      </c>
      <c r="AD207" s="1937"/>
      <c r="AE207" s="1937"/>
      <c r="AF207" s="1937"/>
      <c r="AG207" s="1921"/>
      <c r="AH207" s="1922"/>
      <c r="AI207" s="1922"/>
      <c r="AJ207" s="1922"/>
      <c r="AK207" s="1923"/>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32">
        <v>5</v>
      </c>
      <c r="D208" s="1933"/>
      <c r="E208" s="1933"/>
      <c r="F208" s="1933"/>
      <c r="G208" s="1934" t="s">
        <v>1859</v>
      </c>
      <c r="H208" s="1934"/>
      <c r="I208" s="1934"/>
      <c r="J208" s="1934"/>
      <c r="K208" s="1934"/>
      <c r="L208" s="1934"/>
      <c r="M208" s="1934"/>
      <c r="N208" s="1934"/>
      <c r="O208" s="1934"/>
      <c r="P208" s="1935"/>
      <c r="Q208" s="1935"/>
      <c r="R208" s="1935"/>
      <c r="S208" s="1935"/>
      <c r="T208" s="1935"/>
      <c r="U208" s="1936" t="s">
        <v>1859</v>
      </c>
      <c r="V208" s="1936"/>
      <c r="W208" s="1936"/>
      <c r="X208" s="1936"/>
      <c r="Y208" s="1936" t="s">
        <v>1859</v>
      </c>
      <c r="Z208" s="1936"/>
      <c r="AA208" s="1936"/>
      <c r="AB208" s="1936"/>
      <c r="AC208" s="1937" t="s">
        <v>1859</v>
      </c>
      <c r="AD208" s="1937"/>
      <c r="AE208" s="1937"/>
      <c r="AF208" s="1937"/>
      <c r="AG208" s="1921"/>
      <c r="AH208" s="1922"/>
      <c r="AI208" s="1922"/>
      <c r="AJ208" s="1922"/>
      <c r="AK208" s="1923"/>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32">
        <v>6</v>
      </c>
      <c r="D209" s="1933"/>
      <c r="E209" s="1933"/>
      <c r="F209" s="1933"/>
      <c r="G209" s="1934" t="s">
        <v>1859</v>
      </c>
      <c r="H209" s="1934"/>
      <c r="I209" s="1934"/>
      <c r="J209" s="1934"/>
      <c r="K209" s="1934"/>
      <c r="L209" s="1934"/>
      <c r="M209" s="1934"/>
      <c r="N209" s="1934"/>
      <c r="O209" s="1934"/>
      <c r="P209" s="1935"/>
      <c r="Q209" s="1935"/>
      <c r="R209" s="1935"/>
      <c r="S209" s="1935"/>
      <c r="T209" s="1935"/>
      <c r="U209" s="1936"/>
      <c r="V209" s="1936"/>
      <c r="W209" s="1936"/>
      <c r="X209" s="1936"/>
      <c r="Y209" s="1936"/>
      <c r="Z209" s="1936"/>
      <c r="AA209" s="1936"/>
      <c r="AB209" s="1936"/>
      <c r="AC209" s="1937" t="s">
        <v>1859</v>
      </c>
      <c r="AD209" s="1937"/>
      <c r="AE209" s="1937"/>
      <c r="AF209" s="1937"/>
      <c r="AG209" s="1921"/>
      <c r="AH209" s="1922"/>
      <c r="AI209" s="1922"/>
      <c r="AJ209" s="1922"/>
      <c r="AK209" s="1923"/>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32">
        <v>7</v>
      </c>
      <c r="D210" s="1933"/>
      <c r="E210" s="1933"/>
      <c r="F210" s="1933"/>
      <c r="G210" s="1934"/>
      <c r="H210" s="1934"/>
      <c r="I210" s="1934"/>
      <c r="J210" s="1934"/>
      <c r="K210" s="1934"/>
      <c r="L210" s="1934"/>
      <c r="M210" s="1934"/>
      <c r="N210" s="1934"/>
      <c r="O210" s="1934"/>
      <c r="P210" s="1935"/>
      <c r="Q210" s="1935"/>
      <c r="R210" s="1935"/>
      <c r="S210" s="1935"/>
      <c r="T210" s="1935"/>
      <c r="U210" s="1936"/>
      <c r="V210" s="1936"/>
      <c r="W210" s="1936"/>
      <c r="X210" s="1936"/>
      <c r="Y210" s="1936"/>
      <c r="Z210" s="1936"/>
      <c r="AA210" s="1936"/>
      <c r="AB210" s="1936"/>
      <c r="AC210" s="1937" t="s">
        <v>1859</v>
      </c>
      <c r="AD210" s="1937"/>
      <c r="AE210" s="1937"/>
      <c r="AF210" s="1937"/>
      <c r="AG210" s="1921"/>
      <c r="AH210" s="1922"/>
      <c r="AI210" s="1922"/>
      <c r="AJ210" s="1922"/>
      <c r="AK210" s="1923"/>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24" t="s">
        <v>2238</v>
      </c>
      <c r="D211" s="1925"/>
      <c r="E211" s="1925"/>
      <c r="F211" s="1925"/>
      <c r="G211" s="1925"/>
      <c r="H211" s="1925"/>
      <c r="I211" s="1925"/>
      <c r="J211" s="1925"/>
      <c r="K211" s="1925"/>
      <c r="L211" s="1925"/>
      <c r="M211" s="1925"/>
      <c r="N211" s="1925"/>
      <c r="O211" s="1925"/>
      <c r="P211" s="1926"/>
      <c r="Q211" s="1926"/>
      <c r="R211" s="1926"/>
      <c r="S211" s="1926"/>
      <c r="T211" s="1926"/>
      <c r="U211" s="1927">
        <f>-SUM(U204:U210)</f>
        <v>0</v>
      </c>
      <c r="V211" s="1927"/>
      <c r="W211" s="1927"/>
      <c r="X211" s="1927"/>
      <c r="Y211" s="1927">
        <f>-SUM(Y204:Y210)</f>
        <v>0</v>
      </c>
      <c r="Z211" s="1927"/>
      <c r="AA211" s="1927"/>
      <c r="AB211" s="1927"/>
      <c r="AC211" s="1928">
        <f>-SUM(AC204:AC210)</f>
        <v>0</v>
      </c>
      <c r="AD211" s="1928"/>
      <c r="AE211" s="1928"/>
      <c r="AF211" s="1928"/>
      <c r="AG211" s="1929"/>
      <c r="AH211" s="1930"/>
      <c r="AI211" s="1930"/>
      <c r="AJ211" s="1930"/>
      <c r="AK211" s="1931"/>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2237</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908" t="s">
        <v>2236</v>
      </c>
      <c r="C216" s="1909"/>
      <c r="D216" s="1909"/>
      <c r="E216" s="1909"/>
      <c r="F216" s="1909"/>
      <c r="G216" s="1909"/>
      <c r="H216" s="1909"/>
      <c r="I216" s="1909"/>
      <c r="J216" s="1909"/>
      <c r="K216" s="1909"/>
      <c r="L216" s="1909"/>
      <c r="M216" s="1909"/>
      <c r="N216" s="1909"/>
      <c r="O216" s="1909"/>
      <c r="P216" s="1909"/>
      <c r="Q216" s="1909"/>
      <c r="R216" s="1909"/>
      <c r="S216" s="1909"/>
      <c r="T216" s="1909"/>
      <c r="U216" s="1909"/>
      <c r="V216" s="1909"/>
      <c r="W216" s="1909"/>
      <c r="X216" s="1909"/>
      <c r="Y216" s="1909"/>
      <c r="Z216" s="1909"/>
      <c r="AA216" s="1909"/>
      <c r="AB216" s="1909"/>
      <c r="AC216" s="1909"/>
      <c r="AD216" s="1909"/>
      <c r="AE216" s="1909"/>
      <c r="AF216" s="1909"/>
      <c r="AG216" s="1909"/>
      <c r="AH216" s="1909"/>
      <c r="AI216" s="1909"/>
      <c r="AJ216" s="1909"/>
      <c r="AK216" s="1909"/>
      <c r="AL216" s="1909"/>
      <c r="AM216" s="1909"/>
      <c r="AN216" s="1909"/>
      <c r="AO216" s="1909"/>
      <c r="AP216" s="1909"/>
      <c r="AQ216" s="1909"/>
      <c r="AR216" s="1909"/>
      <c r="AS216" s="1909"/>
      <c r="AT216" s="1909"/>
      <c r="AU216" s="1909"/>
      <c r="AV216" s="1909"/>
      <c r="AW216" s="1909"/>
      <c r="AX216" s="1909"/>
      <c r="AY216" s="1909"/>
      <c r="AZ216" s="1909"/>
      <c r="BA216" s="1909"/>
      <c r="BB216" s="1909"/>
      <c r="BC216" s="1909"/>
      <c r="BD216" s="1910"/>
      <c r="BE216" s="1215"/>
    </row>
    <row r="217" spans="1:57" ht="15.75" customHeight="1">
      <c r="A217" s="1208"/>
      <c r="B217" s="1911"/>
      <c r="C217" s="1912"/>
      <c r="D217" s="1912"/>
      <c r="E217" s="1912"/>
      <c r="F217" s="1912"/>
      <c r="G217" s="1912"/>
      <c r="H217" s="1912"/>
      <c r="I217" s="1912"/>
      <c r="J217" s="1912"/>
      <c r="K217" s="1912"/>
      <c r="L217" s="1912"/>
      <c r="M217" s="1912"/>
      <c r="N217" s="1912"/>
      <c r="O217" s="1912"/>
      <c r="P217" s="1912"/>
      <c r="Q217" s="1912"/>
      <c r="R217" s="1912"/>
      <c r="S217" s="1912"/>
      <c r="T217" s="1912"/>
      <c r="U217" s="1912"/>
      <c r="V217" s="1912"/>
      <c r="W217" s="1912"/>
      <c r="X217" s="1912"/>
      <c r="Y217" s="1912"/>
      <c r="Z217" s="1912"/>
      <c r="AA217" s="1912"/>
      <c r="AB217" s="1912"/>
      <c r="AC217" s="1912"/>
      <c r="AD217" s="1912"/>
      <c r="AE217" s="1912"/>
      <c r="AF217" s="1912"/>
      <c r="AG217" s="1912"/>
      <c r="AH217" s="1912"/>
      <c r="AI217" s="1912"/>
      <c r="AJ217" s="1912"/>
      <c r="AK217" s="1912"/>
      <c r="AL217" s="1912"/>
      <c r="AM217" s="1912"/>
      <c r="AN217" s="1912"/>
      <c r="AO217" s="1912"/>
      <c r="AP217" s="1912"/>
      <c r="AQ217" s="1912"/>
      <c r="AR217" s="1912"/>
      <c r="AS217" s="1912"/>
      <c r="AT217" s="1912"/>
      <c r="AU217" s="1912"/>
      <c r="AV217" s="1912"/>
      <c r="AW217" s="1912"/>
      <c r="AX217" s="1912"/>
      <c r="AY217" s="1912"/>
      <c r="AZ217" s="1912"/>
      <c r="BA217" s="1912"/>
      <c r="BB217" s="1912"/>
      <c r="BC217" s="1912"/>
      <c r="BD217" s="1913"/>
      <c r="BE217" s="1215"/>
    </row>
    <row r="218" spans="1:57" ht="15.75" customHeight="1">
      <c r="A218" s="1208"/>
      <c r="B218" s="1914" t="s">
        <v>2235</v>
      </c>
      <c r="C218" s="1915"/>
      <c r="D218" s="1915"/>
      <c r="E218" s="1915"/>
      <c r="F218" s="1915"/>
      <c r="G218" s="1915"/>
      <c r="H218" s="1915"/>
      <c r="I218" s="1915"/>
      <c r="J218" s="1915"/>
      <c r="K218" s="1915"/>
      <c r="L218" s="1915"/>
      <c r="M218" s="1915"/>
      <c r="N218" s="1915"/>
      <c r="O218" s="1915"/>
      <c r="P218" s="1915"/>
      <c r="Q218" s="1915"/>
      <c r="R218" s="1915"/>
      <c r="S218" s="1915"/>
      <c r="T218" s="1915"/>
      <c r="U218" s="1915"/>
      <c r="V218" s="1915"/>
      <c r="W218" s="1915"/>
      <c r="X218" s="1915"/>
      <c r="Y218" s="1915"/>
      <c r="Z218" s="1915"/>
      <c r="AA218" s="1915"/>
      <c r="AB218" s="1915"/>
      <c r="AC218" s="1915"/>
      <c r="AD218" s="1915"/>
      <c r="AE218" s="1915"/>
      <c r="AF218" s="1915"/>
      <c r="AG218" s="1915"/>
      <c r="AH218" s="1915"/>
      <c r="AI218" s="1915"/>
      <c r="AJ218" s="1915"/>
      <c r="AK218" s="1915"/>
      <c r="AL218" s="1915"/>
      <c r="AM218" s="1915"/>
      <c r="AN218" s="1915"/>
      <c r="AO218" s="1915"/>
      <c r="AP218" s="1915"/>
      <c r="AQ218" s="1915"/>
      <c r="AR218" s="1915"/>
      <c r="AS218" s="1915"/>
      <c r="AT218" s="1915"/>
      <c r="AU218" s="1915"/>
      <c r="AV218" s="1915"/>
      <c r="AW218" s="1915"/>
      <c r="AX218" s="1915"/>
      <c r="AY218" s="1915"/>
      <c r="AZ218" s="1915"/>
      <c r="BA218" s="1915"/>
      <c r="BB218" s="1915"/>
      <c r="BC218" s="1915"/>
      <c r="BD218" s="1916"/>
      <c r="BE218" s="1215"/>
    </row>
    <row r="219" spans="1:57" ht="15.75" customHeight="1">
      <c r="A219" s="1208"/>
      <c r="B219" s="1914" t="s">
        <v>2234</v>
      </c>
      <c r="C219" s="1915"/>
      <c r="D219" s="1915"/>
      <c r="E219" s="1915"/>
      <c r="F219" s="1915"/>
      <c r="G219" s="1915"/>
      <c r="H219" s="1915"/>
      <c r="I219" s="1915"/>
      <c r="J219" s="1915"/>
      <c r="K219" s="1915"/>
      <c r="L219" s="1915"/>
      <c r="M219" s="1915"/>
      <c r="N219" s="1915"/>
      <c r="O219" s="1915"/>
      <c r="P219" s="1915"/>
      <c r="Q219" s="1915"/>
      <c r="R219" s="1915"/>
      <c r="S219" s="1915"/>
      <c r="T219" s="1915"/>
      <c r="U219" s="1915"/>
      <c r="V219" s="1915"/>
      <c r="W219" s="1915"/>
      <c r="X219" s="1915"/>
      <c r="Y219" s="1915"/>
      <c r="Z219" s="1915"/>
      <c r="AA219" s="1915"/>
      <c r="AB219" s="1915"/>
      <c r="AC219" s="1915"/>
      <c r="AD219" s="1915"/>
      <c r="AE219" s="1915"/>
      <c r="AF219" s="1915"/>
      <c r="AG219" s="1915"/>
      <c r="AH219" s="1915"/>
      <c r="AI219" s="1915"/>
      <c r="AJ219" s="1915"/>
      <c r="AK219" s="1915"/>
      <c r="AL219" s="1915"/>
      <c r="AM219" s="1915"/>
      <c r="AN219" s="1915"/>
      <c r="AO219" s="1915"/>
      <c r="AP219" s="1915"/>
      <c r="AQ219" s="1915"/>
      <c r="AR219" s="1915"/>
      <c r="AS219" s="1915"/>
      <c r="AT219" s="1915"/>
      <c r="AU219" s="1915"/>
      <c r="AV219" s="1915"/>
      <c r="AW219" s="1915"/>
      <c r="AX219" s="1915"/>
      <c r="AY219" s="1915"/>
      <c r="AZ219" s="1915"/>
      <c r="BA219" s="1915"/>
      <c r="BB219" s="1915"/>
      <c r="BC219" s="1915"/>
      <c r="BD219" s="1916"/>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17" t="s">
        <v>2233</v>
      </c>
      <c r="C221" s="1918"/>
      <c r="D221" s="1918"/>
      <c r="E221" s="1918"/>
      <c r="F221" s="1918"/>
      <c r="G221" s="1918"/>
      <c r="H221" s="1918"/>
      <c r="I221" s="1918"/>
      <c r="J221" s="1918"/>
      <c r="K221" s="1918"/>
      <c r="L221" s="1918"/>
      <c r="M221" s="1918"/>
      <c r="N221" s="1918"/>
      <c r="O221" s="1918"/>
      <c r="P221" s="1918"/>
      <c r="Q221" s="1918"/>
      <c r="R221" s="1918"/>
      <c r="S221" s="1918"/>
      <c r="T221" s="1918"/>
      <c r="U221" s="1918"/>
      <c r="V221" s="1918"/>
      <c r="W221" s="1918"/>
      <c r="X221" s="1918"/>
      <c r="Y221" s="1918"/>
      <c r="Z221" s="1918"/>
      <c r="AA221" s="1918"/>
      <c r="AB221" s="1918"/>
      <c r="AC221" s="1918"/>
      <c r="AD221" s="1918"/>
      <c r="AE221" s="1918"/>
      <c r="AF221" s="1918"/>
      <c r="AG221" s="1918"/>
      <c r="AH221" s="1918"/>
      <c r="AI221" s="1918"/>
      <c r="AJ221" s="1918"/>
      <c r="AK221" s="1918"/>
      <c r="AL221" s="1918"/>
      <c r="AM221" s="1918"/>
      <c r="AN221" s="1918"/>
      <c r="AO221" s="1918"/>
      <c r="AP221" s="1918"/>
      <c r="AQ221" s="1918"/>
      <c r="AR221" s="1918"/>
      <c r="AS221" s="1918"/>
      <c r="AT221" s="1918"/>
      <c r="AU221" s="1918"/>
      <c r="AV221" s="1918"/>
      <c r="AW221" s="1918"/>
      <c r="AX221" s="1918"/>
      <c r="AY221" s="1918"/>
      <c r="AZ221" s="1918"/>
      <c r="BA221" s="1918"/>
      <c r="BB221" s="1918"/>
      <c r="BC221" s="1918"/>
      <c r="BD221" s="1919"/>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2232</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20" t="s">
        <v>2231</v>
      </c>
      <c r="I225" s="1920"/>
      <c r="J225" s="1920"/>
      <c r="K225" s="1920"/>
      <c r="L225" s="1920"/>
      <c r="M225" s="1920"/>
      <c r="N225" s="1920"/>
      <c r="O225" s="1920"/>
      <c r="P225" s="1920"/>
      <c r="Q225" s="1920"/>
      <c r="R225" s="1920"/>
      <c r="S225" s="1920"/>
      <c r="T225" s="1920"/>
      <c r="U225" s="1920"/>
      <c r="V225" s="1920"/>
      <c r="W225" s="1920"/>
      <c r="X225" s="1920"/>
      <c r="Y225" s="1920"/>
      <c r="Z225" s="1920"/>
      <c r="AA225" s="1920"/>
      <c r="AB225" s="1920"/>
      <c r="AC225" s="1920"/>
      <c r="AD225" s="1920"/>
      <c r="AE225" s="1920"/>
      <c r="AF225" s="1920"/>
      <c r="AG225" s="1920"/>
      <c r="AH225" s="1920"/>
      <c r="AI225" s="1920"/>
      <c r="AJ225" s="1920"/>
      <c r="AK225" s="1920"/>
      <c r="AL225" s="1920"/>
      <c r="AM225" s="1920"/>
      <c r="AN225" s="1920"/>
      <c r="AO225" s="1920"/>
      <c r="AP225" s="1920"/>
      <c r="AQ225" s="1920"/>
      <c r="AR225" s="1920"/>
      <c r="AS225" s="1920"/>
      <c r="AT225" s="1920"/>
      <c r="AU225" s="1920"/>
      <c r="AV225" s="1920"/>
      <c r="AW225" s="1920"/>
      <c r="AX225" s="1920"/>
      <c r="AY225" s="1920"/>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903" t="s">
        <v>2230</v>
      </c>
      <c r="I227" s="1903"/>
      <c r="J227" s="1903"/>
      <c r="K227" s="1903"/>
      <c r="L227" s="1903"/>
      <c r="M227" s="1903"/>
      <c r="N227" s="1903"/>
      <c r="O227" s="1903"/>
      <c r="P227" s="1903"/>
      <c r="Q227" s="1903"/>
      <c r="R227" s="1903"/>
      <c r="S227" s="1903"/>
      <c r="T227" s="1903"/>
      <c r="U227" s="1903"/>
      <c r="V227" s="1903"/>
      <c r="W227" s="1903"/>
      <c r="X227" s="1903"/>
      <c r="Y227" s="1903"/>
      <c r="Z227" s="1903"/>
      <c r="AA227" s="1903"/>
      <c r="AB227" s="1903"/>
      <c r="AC227" s="1903"/>
      <c r="AD227" s="1903"/>
      <c r="AE227" s="1903"/>
      <c r="AF227" s="1903"/>
      <c r="AG227" s="1903"/>
      <c r="AH227" s="1903"/>
      <c r="AI227" s="1903"/>
      <c r="AJ227" s="1903"/>
      <c r="AK227" s="1903"/>
      <c r="AL227" s="1903"/>
      <c r="AM227" s="1903"/>
      <c r="AN227" s="1903"/>
      <c r="AO227" s="1903"/>
      <c r="AP227" s="1903"/>
      <c r="AQ227" s="1903"/>
      <c r="AR227" s="1903"/>
      <c r="AS227" s="1903"/>
      <c r="AT227" s="1903"/>
      <c r="AU227" s="1903"/>
      <c r="AV227" s="1903"/>
      <c r="AW227" s="1903"/>
      <c r="AX227" s="1903"/>
      <c r="AY227" s="1903"/>
      <c r="AZ227" s="1903"/>
      <c r="BA227" s="1208"/>
      <c r="BB227" s="1208"/>
      <c r="BC227" s="1208"/>
      <c r="BD227" s="1215"/>
      <c r="BE227" s="1215"/>
    </row>
    <row r="228" spans="1:57" ht="15.75" customHeight="1">
      <c r="A228" s="1208"/>
      <c r="B228" s="1207"/>
      <c r="C228" s="1208"/>
      <c r="D228" s="1208"/>
      <c r="E228" s="1208"/>
      <c r="F228" s="1208"/>
      <c r="G228" s="1208"/>
      <c r="H228" s="1903"/>
      <c r="I228" s="1903"/>
      <c r="J228" s="1903"/>
      <c r="K228" s="1903"/>
      <c r="L228" s="1903"/>
      <c r="M228" s="1903"/>
      <c r="N228" s="1903"/>
      <c r="O228" s="1903"/>
      <c r="P228" s="1903"/>
      <c r="Q228" s="1903"/>
      <c r="R228" s="1903"/>
      <c r="S228" s="1903"/>
      <c r="T228" s="1903"/>
      <c r="U228" s="1903"/>
      <c r="V228" s="1903"/>
      <c r="W228" s="1903"/>
      <c r="X228" s="1903"/>
      <c r="Y228" s="1903"/>
      <c r="Z228" s="1903"/>
      <c r="AA228" s="1903"/>
      <c r="AB228" s="1903"/>
      <c r="AC228" s="1903"/>
      <c r="AD228" s="1903"/>
      <c r="AE228" s="1903"/>
      <c r="AF228" s="1903"/>
      <c r="AG228" s="1903"/>
      <c r="AH228" s="1903"/>
      <c r="AI228" s="1903"/>
      <c r="AJ228" s="1903"/>
      <c r="AK228" s="1903"/>
      <c r="AL228" s="1903"/>
      <c r="AM228" s="1903"/>
      <c r="AN228" s="1903"/>
      <c r="AO228" s="1903"/>
      <c r="AP228" s="1903"/>
      <c r="AQ228" s="1903"/>
      <c r="AR228" s="1903"/>
      <c r="AS228" s="1903"/>
      <c r="AT228" s="1903"/>
      <c r="AU228" s="1903"/>
      <c r="AV228" s="1903"/>
      <c r="AW228" s="1903"/>
      <c r="AX228" s="1903"/>
      <c r="AY228" s="1903"/>
      <c r="AZ228" s="1903"/>
      <c r="BA228" s="1208"/>
      <c r="BB228" s="1208"/>
      <c r="BC228" s="1208"/>
      <c r="BD228" s="1215"/>
      <c r="BE228" s="1215"/>
    </row>
    <row r="229" spans="1:57" ht="15.75" customHeight="1">
      <c r="A229" s="1208"/>
      <c r="B229" s="1207"/>
      <c r="C229" s="1208"/>
      <c r="D229" s="1208"/>
      <c r="E229" s="1208"/>
      <c r="F229" s="1208"/>
      <c r="G229" s="1208"/>
      <c r="H229" s="1903"/>
      <c r="I229" s="1903"/>
      <c r="J229" s="1903"/>
      <c r="K229" s="1903"/>
      <c r="L229" s="1903"/>
      <c r="M229" s="1903"/>
      <c r="N229" s="1903"/>
      <c r="O229" s="1903"/>
      <c r="P229" s="1903"/>
      <c r="Q229" s="1903"/>
      <c r="R229" s="1903"/>
      <c r="S229" s="1903"/>
      <c r="T229" s="1903"/>
      <c r="U229" s="1903"/>
      <c r="V229" s="1903"/>
      <c r="W229" s="1903"/>
      <c r="X229" s="1903"/>
      <c r="Y229" s="1903"/>
      <c r="Z229" s="1903"/>
      <c r="AA229" s="1903"/>
      <c r="AB229" s="1903"/>
      <c r="AC229" s="1903"/>
      <c r="AD229" s="1903"/>
      <c r="AE229" s="1903"/>
      <c r="AF229" s="1903"/>
      <c r="AG229" s="1903"/>
      <c r="AH229" s="1903"/>
      <c r="AI229" s="1903"/>
      <c r="AJ229" s="1903"/>
      <c r="AK229" s="1903"/>
      <c r="AL229" s="1903"/>
      <c r="AM229" s="1903"/>
      <c r="AN229" s="1903"/>
      <c r="AO229" s="1903"/>
      <c r="AP229" s="1903"/>
      <c r="AQ229" s="1903"/>
      <c r="AR229" s="1903"/>
      <c r="AS229" s="1903"/>
      <c r="AT229" s="1903"/>
      <c r="AU229" s="1903"/>
      <c r="AV229" s="1903"/>
      <c r="AW229" s="1903"/>
      <c r="AX229" s="1903"/>
      <c r="AY229" s="1903"/>
      <c r="AZ229" s="1903"/>
      <c r="BA229" s="1208"/>
      <c r="BB229" s="1208"/>
      <c r="BC229" s="1208"/>
      <c r="BD229" s="1215"/>
      <c r="BE229" s="1215"/>
    </row>
    <row r="230" spans="1:57" ht="15.75" customHeight="1">
      <c r="A230" s="1208"/>
      <c r="B230" s="1207"/>
      <c r="C230" s="1208"/>
      <c r="D230" s="1208"/>
      <c r="E230" s="1208"/>
      <c r="F230" s="1208"/>
      <c r="G230" s="1208"/>
      <c r="H230" s="1903"/>
      <c r="I230" s="1903"/>
      <c r="J230" s="1903"/>
      <c r="K230" s="1903"/>
      <c r="L230" s="1903"/>
      <c r="M230" s="1903"/>
      <c r="N230" s="1903"/>
      <c r="O230" s="1903"/>
      <c r="P230" s="1903"/>
      <c r="Q230" s="1903"/>
      <c r="R230" s="1903"/>
      <c r="S230" s="1903"/>
      <c r="T230" s="1903"/>
      <c r="U230" s="1903"/>
      <c r="V230" s="1903"/>
      <c r="W230" s="1903"/>
      <c r="X230" s="1903"/>
      <c r="Y230" s="1903"/>
      <c r="Z230" s="1903"/>
      <c r="AA230" s="1903"/>
      <c r="AB230" s="1903"/>
      <c r="AC230" s="1903"/>
      <c r="AD230" s="1903"/>
      <c r="AE230" s="1903"/>
      <c r="AF230" s="1903"/>
      <c r="AG230" s="1903"/>
      <c r="AH230" s="1903"/>
      <c r="AI230" s="1903"/>
      <c r="AJ230" s="1903"/>
      <c r="AK230" s="1903"/>
      <c r="AL230" s="1903"/>
      <c r="AM230" s="1903"/>
      <c r="AN230" s="1903"/>
      <c r="AO230" s="1903"/>
      <c r="AP230" s="1903"/>
      <c r="AQ230" s="1903"/>
      <c r="AR230" s="1903"/>
      <c r="AS230" s="1903"/>
      <c r="AT230" s="1903"/>
      <c r="AU230" s="1903"/>
      <c r="AV230" s="1903"/>
      <c r="AW230" s="1903"/>
      <c r="AX230" s="1903"/>
      <c r="AY230" s="1903"/>
      <c r="AZ230" s="1903"/>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904" t="s">
        <v>2229</v>
      </c>
      <c r="I232" s="1904"/>
      <c r="J232" s="1904"/>
      <c r="K232" s="1904"/>
      <c r="L232" s="1904"/>
      <c r="M232" s="1904"/>
      <c r="N232" s="1904"/>
      <c r="O232" s="1904"/>
      <c r="P232" s="1904"/>
      <c r="Q232" s="1904"/>
      <c r="R232" s="1904"/>
      <c r="S232" s="1904"/>
      <c r="T232" s="1904"/>
      <c r="U232" s="1904"/>
      <c r="V232" s="1904"/>
      <c r="W232" s="1904"/>
      <c r="X232" s="1904"/>
      <c r="Y232" s="1904"/>
      <c r="Z232" s="1904"/>
      <c r="AA232" s="1904"/>
      <c r="AB232" s="1904"/>
      <c r="AC232" s="1904"/>
      <c r="AD232" s="1904"/>
      <c r="AE232" s="1904"/>
      <c r="AF232" s="1904"/>
      <c r="AG232" s="1904"/>
      <c r="AH232" s="1904"/>
      <c r="AI232" s="1904"/>
      <c r="AJ232" s="1904"/>
      <c r="AK232" s="1904"/>
      <c r="AL232" s="1904"/>
      <c r="AM232" s="1904"/>
      <c r="AN232" s="1904"/>
      <c r="AO232" s="1904"/>
      <c r="AP232" s="1904"/>
      <c r="AQ232" s="1904"/>
      <c r="AR232" s="1904"/>
      <c r="AS232" s="1904"/>
      <c r="AT232" s="1904"/>
      <c r="AU232" s="1904"/>
      <c r="AV232" s="1904"/>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94" t="s">
        <v>2228</v>
      </c>
      <c r="I234" s="1894"/>
      <c r="J234" s="1894"/>
      <c r="K234" s="1894"/>
      <c r="L234" s="1259"/>
      <c r="M234" s="1259"/>
      <c r="N234" s="1259"/>
      <c r="O234" s="1259"/>
      <c r="P234" s="1259"/>
      <c r="Q234" s="1259"/>
      <c r="R234" s="1259"/>
      <c r="S234" s="1905"/>
      <c r="T234" s="1906"/>
      <c r="U234" s="1906"/>
      <c r="V234" s="1906"/>
      <c r="W234" s="1906"/>
      <c r="X234" s="1906"/>
      <c r="Y234" s="1906"/>
      <c r="Z234" s="1906"/>
      <c r="AA234" s="1906"/>
      <c r="AB234" s="1906"/>
      <c r="AC234" s="1906"/>
      <c r="AD234" s="1906"/>
      <c r="AE234" s="1906"/>
      <c r="AF234" s="1906"/>
      <c r="AG234" s="1906"/>
      <c r="AH234" s="1906"/>
      <c r="AI234" s="1906"/>
      <c r="AJ234" s="1907"/>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94" t="s">
        <v>2227</v>
      </c>
      <c r="I236" s="1894"/>
      <c r="J236" s="1894"/>
      <c r="K236" s="1261"/>
      <c r="L236" s="1259"/>
      <c r="M236" s="1259"/>
      <c r="N236" s="1259"/>
      <c r="O236" s="1259"/>
      <c r="P236" s="1259"/>
      <c r="Q236" s="1259"/>
      <c r="R236" s="1259"/>
      <c r="S236" s="1895"/>
      <c r="T236" s="1896"/>
      <c r="U236" s="1896"/>
      <c r="V236" s="1896"/>
      <c r="W236" s="1896"/>
      <c r="X236" s="1896"/>
      <c r="Y236" s="1896"/>
      <c r="Z236" s="1896"/>
      <c r="AA236" s="1896"/>
      <c r="AB236" s="1896"/>
      <c r="AC236" s="1896"/>
      <c r="AD236" s="1896"/>
      <c r="AE236" s="1896"/>
      <c r="AF236" s="1896"/>
      <c r="AG236" s="1896"/>
      <c r="AH236" s="1896"/>
      <c r="AI236" s="1896"/>
      <c r="AJ236" s="1897"/>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94" t="s">
        <v>441</v>
      </c>
      <c r="I238" s="1894"/>
      <c r="J238" s="1261"/>
      <c r="K238" s="1261"/>
      <c r="L238" s="1259"/>
      <c r="M238" s="1259"/>
      <c r="N238" s="1259"/>
      <c r="O238" s="1259"/>
      <c r="P238" s="1259"/>
      <c r="Q238" s="1259"/>
      <c r="R238" s="1259"/>
      <c r="S238" s="1895"/>
      <c r="T238" s="1896"/>
      <c r="U238" s="1896"/>
      <c r="V238" s="1896"/>
      <c r="W238" s="1896"/>
      <c r="X238" s="1896"/>
      <c r="Y238" s="1896"/>
      <c r="Z238" s="1896"/>
      <c r="AA238" s="1896"/>
      <c r="AB238" s="1896"/>
      <c r="AC238" s="1896"/>
      <c r="AD238" s="1896"/>
      <c r="AE238" s="1896"/>
      <c r="AF238" s="1896"/>
      <c r="AG238" s="1896"/>
      <c r="AH238" s="1896"/>
      <c r="AI238" s="1896"/>
      <c r="AJ238" s="1897"/>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98" t="s">
        <v>2226</v>
      </c>
      <c r="I240" s="1898"/>
      <c r="J240" s="1898"/>
      <c r="K240" s="1898"/>
      <c r="L240" s="1898"/>
      <c r="M240" s="1898"/>
      <c r="N240" s="1898"/>
      <c r="O240" s="1898"/>
      <c r="P240" s="1259"/>
      <c r="Q240" s="1259"/>
      <c r="R240" s="1259"/>
      <c r="S240" s="1895"/>
      <c r="T240" s="1896"/>
      <c r="U240" s="1896"/>
      <c r="V240" s="1896"/>
      <c r="W240" s="1896"/>
      <c r="X240" s="1896"/>
      <c r="Y240" s="1896"/>
      <c r="Z240" s="1896"/>
      <c r="AA240" s="1896"/>
      <c r="AB240" s="1896"/>
      <c r="AC240" s="1896"/>
      <c r="AD240" s="1896"/>
      <c r="AE240" s="1896"/>
      <c r="AF240" s="1896"/>
      <c r="AG240" s="1896"/>
      <c r="AH240" s="1896"/>
      <c r="AI240" s="1896"/>
      <c r="AJ240" s="1897"/>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99" t="s">
        <v>2225</v>
      </c>
      <c r="I242" s="1899"/>
      <c r="J242" s="1259"/>
      <c r="K242" s="1259"/>
      <c r="L242" s="1259"/>
      <c r="M242" s="1259"/>
      <c r="N242" s="1259"/>
      <c r="O242" s="1259"/>
      <c r="P242" s="1259"/>
      <c r="Q242" s="1259"/>
      <c r="R242" s="1259"/>
      <c r="S242" s="1900"/>
      <c r="T242" s="1901"/>
      <c r="U242" s="1901"/>
      <c r="V242" s="1901"/>
      <c r="W242" s="1901"/>
      <c r="X242" s="1901"/>
      <c r="Y242" s="1901"/>
      <c r="Z242" s="1901"/>
      <c r="AA242" s="1901"/>
      <c r="AB242" s="1901"/>
      <c r="AC242" s="1901"/>
      <c r="AD242" s="1901"/>
      <c r="AE242" s="1901"/>
      <c r="AF242" s="1901"/>
      <c r="AG242" s="1901"/>
      <c r="AH242" s="1901"/>
      <c r="AI242" s="1901"/>
      <c r="AJ242" s="1902"/>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3" workbookViewId="0">
      <selection activeCell="AB57" sqref="AB57:AF57"/>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68" t="s">
        <v>1280</v>
      </c>
      <c r="B1" s="2368"/>
      <c r="C1" s="2368"/>
      <c r="D1" s="2368"/>
      <c r="E1" s="2368"/>
      <c r="F1" s="2368"/>
      <c r="G1" s="2368"/>
      <c r="H1" s="2368"/>
      <c r="I1" s="2368"/>
      <c r="J1" s="2368"/>
      <c r="K1" s="2368"/>
      <c r="L1" s="2368"/>
      <c r="M1" s="2368"/>
      <c r="N1" s="2368"/>
      <c r="O1" s="2368"/>
      <c r="P1" s="2368"/>
      <c r="Q1" s="2368"/>
      <c r="R1" s="2368"/>
      <c r="S1" s="2368"/>
      <c r="T1" s="2368"/>
      <c r="U1" s="2368"/>
      <c r="V1" s="2368"/>
      <c r="W1" s="2368"/>
      <c r="X1" s="2368"/>
      <c r="Y1" s="2368"/>
      <c r="Z1" s="2368"/>
      <c r="AA1" s="2368"/>
      <c r="AB1" s="2368"/>
      <c r="AC1" s="2368"/>
      <c r="AD1" s="2368"/>
      <c r="AE1" s="2368"/>
      <c r="AF1" s="2368"/>
      <c r="AG1" s="2368"/>
      <c r="AH1" s="2368"/>
      <c r="AI1" s="2368"/>
      <c r="AJ1" s="2368"/>
      <c r="AK1" s="2368"/>
      <c r="AL1" s="2368"/>
      <c r="AM1" s="2368"/>
      <c r="AN1" s="2368"/>
    </row>
    <row r="2" spans="1:40" ht="12.95" customHeight="1" thickBot="1">
      <c r="A2" s="2369"/>
      <c r="B2" s="2369"/>
      <c r="C2" s="2369"/>
      <c r="D2" s="2369"/>
      <c r="E2" s="2369"/>
      <c r="F2" s="2369"/>
      <c r="G2" s="2369"/>
      <c r="H2" s="2369"/>
      <c r="I2" s="2369"/>
      <c r="J2" s="2369"/>
      <c r="K2" s="2369"/>
      <c r="L2" s="2369"/>
      <c r="M2" s="2369"/>
      <c r="N2" s="2369"/>
      <c r="O2" s="2369"/>
      <c r="P2" s="2369"/>
      <c r="Q2" s="2369"/>
      <c r="R2" s="2369"/>
      <c r="S2" s="2369"/>
      <c r="T2" s="2369"/>
      <c r="U2" s="2369"/>
      <c r="V2" s="2369"/>
      <c r="W2" s="2369"/>
      <c r="X2" s="2369"/>
      <c r="Y2" s="2369"/>
      <c r="Z2" s="2369"/>
      <c r="AA2" s="2369"/>
      <c r="AB2" s="2369"/>
      <c r="AC2" s="2369"/>
      <c r="AD2" s="2369"/>
      <c r="AE2" s="2369"/>
      <c r="AF2" s="2369"/>
      <c r="AG2" s="2369"/>
      <c r="AH2" s="2369"/>
      <c r="AI2" s="2369"/>
      <c r="AJ2" s="2369"/>
      <c r="AK2" s="2369"/>
      <c r="AL2" s="2369"/>
      <c r="AM2" s="2369"/>
      <c r="AN2" s="2369"/>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70" t="str">
        <f xml:space="preserve"> IF(T25=100%,'Sources and Basis Breakdown'!G2,'Sources and Basis Breakdown'!F2)</f>
        <v>30% PVC for New Const/
Rehabilitation
DDA/QCT
Building(s)</v>
      </c>
      <c r="U7" s="2370"/>
      <c r="V7" s="2370"/>
      <c r="W7" s="2370"/>
      <c r="X7" s="2370"/>
      <c r="Y7" s="2370" t="str">
        <f>IF(T25=100%,"",'Sources and Basis Breakdown'!G2)</f>
        <v>30% PVC for New Const/
Rehabilitation
NON-DDA/
NON-QCT Building(s)</v>
      </c>
      <c r="Z7" s="2370"/>
      <c r="AA7" s="2370"/>
      <c r="AB7" s="2370"/>
      <c r="AC7" s="2370"/>
      <c r="AD7" s="2370" t="str">
        <f xml:space="preserve"> IF(T25=100%, 'Sources and Basis Breakdown'!J2,'Sources and Basis Breakdown'!I2)</f>
        <v>30% PVC for Acquisition
DDA/QCT Building(s)</v>
      </c>
      <c r="AE7" s="2370"/>
      <c r="AF7" s="2370"/>
      <c r="AG7" s="2370"/>
      <c r="AH7" s="2370"/>
      <c r="AI7" s="2370" t="str">
        <f>IF(T25=100%,"",'Sources and Basis Breakdown'!J2)</f>
        <v>30% PVC for Acquisition
NON-DDA/
NON-QCT Building(s)</v>
      </c>
      <c r="AJ7" s="2370"/>
      <c r="AK7" s="2370"/>
      <c r="AL7" s="2370"/>
      <c r="AM7" s="2370"/>
    </row>
    <row r="8" spans="1:40" ht="12.95" customHeight="1">
      <c r="B8" s="407"/>
      <c r="T8" s="2370"/>
      <c r="U8" s="2370"/>
      <c r="V8" s="2370"/>
      <c r="W8" s="2370"/>
      <c r="X8" s="2370"/>
      <c r="Y8" s="2370"/>
      <c r="Z8" s="2370"/>
      <c r="AA8" s="2370"/>
      <c r="AB8" s="2370"/>
      <c r="AC8" s="2370"/>
      <c r="AD8" s="2370"/>
      <c r="AE8" s="2370"/>
      <c r="AF8" s="2370"/>
      <c r="AG8" s="2370"/>
      <c r="AH8" s="2370"/>
      <c r="AI8" s="2370"/>
      <c r="AJ8" s="2370"/>
      <c r="AK8" s="2370"/>
      <c r="AL8" s="2370"/>
      <c r="AM8" s="2370"/>
    </row>
    <row r="9" spans="1:40" ht="12.95" customHeight="1">
      <c r="B9" s="407"/>
      <c r="T9" s="2370"/>
      <c r="U9" s="2370"/>
      <c r="V9" s="2370"/>
      <c r="W9" s="2370"/>
      <c r="X9" s="2370"/>
      <c r="Y9" s="2370"/>
      <c r="Z9" s="2370"/>
      <c r="AA9" s="2370"/>
      <c r="AB9" s="2370"/>
      <c r="AC9" s="2370"/>
      <c r="AD9" s="2370"/>
      <c r="AE9" s="2370"/>
      <c r="AF9" s="2370"/>
      <c r="AG9" s="2370"/>
      <c r="AH9" s="2370"/>
      <c r="AI9" s="2370"/>
      <c r="AJ9" s="2370"/>
      <c r="AK9" s="2370"/>
      <c r="AL9" s="2370"/>
      <c r="AM9" s="2370"/>
    </row>
    <row r="10" spans="1:40" ht="12.95" customHeight="1">
      <c r="B10" s="408"/>
      <c r="C10" s="409"/>
      <c r="D10" s="409"/>
      <c r="E10" s="409"/>
      <c r="F10" s="409"/>
      <c r="G10" s="409"/>
      <c r="H10" s="409"/>
      <c r="I10" s="409"/>
      <c r="J10" s="409"/>
      <c r="K10" s="409"/>
      <c r="L10" s="409"/>
      <c r="M10" s="409"/>
      <c r="N10" s="409"/>
      <c r="O10" s="409"/>
      <c r="P10" s="409"/>
      <c r="Q10" s="409"/>
      <c r="R10" s="409"/>
      <c r="S10" s="409"/>
      <c r="T10" s="2370"/>
      <c r="U10" s="2370"/>
      <c r="V10" s="2370"/>
      <c r="W10" s="2370"/>
      <c r="X10" s="2370"/>
      <c r="Y10" s="2370"/>
      <c r="Z10" s="2370"/>
      <c r="AA10" s="2370"/>
      <c r="AB10" s="2370"/>
      <c r="AC10" s="2370"/>
      <c r="AD10" s="2370"/>
      <c r="AE10" s="2370"/>
      <c r="AF10" s="2370"/>
      <c r="AG10" s="2370"/>
      <c r="AH10" s="2370"/>
      <c r="AI10" s="2370"/>
      <c r="AJ10" s="2370"/>
      <c r="AK10" s="2370"/>
      <c r="AL10" s="2370"/>
      <c r="AM10" s="2370"/>
    </row>
    <row r="11" spans="1:40" ht="12.95" customHeight="1">
      <c r="B11" s="2349" t="s">
        <v>375</v>
      </c>
      <c r="C11" s="2350"/>
      <c r="D11" s="2350"/>
      <c r="E11" s="2350"/>
      <c r="F11" s="2350"/>
      <c r="G11" s="2350"/>
      <c r="H11" s="2350"/>
      <c r="I11" s="2350"/>
      <c r="J11" s="2350"/>
      <c r="K11" s="2350"/>
      <c r="L11" s="2350"/>
      <c r="M11" s="2350"/>
      <c r="N11" s="2350"/>
      <c r="O11" s="2350"/>
      <c r="P11" s="2350"/>
      <c r="Q11" s="2350"/>
      <c r="R11" s="2350"/>
      <c r="S11" s="2351"/>
      <c r="T11" s="2371">
        <f>IF('Sources and Basis Breakdown'!F107=0,'Sources and Basis Breakdown'!E107,'Sources and Basis Breakdown'!F107)</f>
        <v>15223401</v>
      </c>
      <c r="U11" s="2372"/>
      <c r="V11" s="2372"/>
      <c r="W11" s="2372"/>
      <c r="X11" s="2372"/>
      <c r="Y11" s="2371">
        <f>IF(Y7="",0,IF('Sources and Basis Breakdown'!G107+'Sources and Basis Breakdown'!F107='Sources and Basis Breakdown'!E107,'Sources and Basis Breakdown'!G107,0))</f>
        <v>0</v>
      </c>
      <c r="Z11" s="2372"/>
      <c r="AA11" s="2372"/>
      <c r="AB11" s="2372"/>
      <c r="AC11" s="2372"/>
      <c r="AD11" s="2372">
        <f>IF('Sources and Basis Breakdown'!I107=0,'Sources and Basis Breakdown'!H107,'Sources and Basis Breakdown'!I107)</f>
        <v>15822601</v>
      </c>
      <c r="AE11" s="2372"/>
      <c r="AF11" s="2372"/>
      <c r="AG11" s="2372"/>
      <c r="AH11" s="2372"/>
      <c r="AI11" s="2372">
        <f>IF(Y7="",0,IF('Sources and Basis Breakdown'!I107+'Sources and Basis Breakdown'!J107='Sources and Basis Breakdown'!H107,'Sources and Basis Breakdown'!J107,0))</f>
        <v>0</v>
      </c>
      <c r="AJ11" s="2372"/>
      <c r="AK11" s="2372"/>
      <c r="AL11" s="2372"/>
      <c r="AM11" s="2372"/>
    </row>
    <row r="12" spans="1:40" ht="12.95" customHeight="1">
      <c r="B12" s="2364" t="s">
        <v>497</v>
      </c>
      <c r="C12" s="1295"/>
      <c r="D12" s="1295"/>
      <c r="E12" s="1295"/>
      <c r="F12" s="1295"/>
      <c r="G12" s="1295"/>
      <c r="H12" s="1295"/>
      <c r="I12" s="1295"/>
      <c r="J12" s="1295"/>
      <c r="K12" s="1295"/>
      <c r="L12" s="1295"/>
      <c r="M12" s="1295"/>
      <c r="N12" s="1295"/>
      <c r="O12" s="1295"/>
      <c r="P12" s="1295"/>
      <c r="Q12" s="1295"/>
      <c r="R12" s="1295"/>
      <c r="S12" s="2365"/>
      <c r="T12" s="2337"/>
      <c r="U12" s="2338"/>
      <c r="V12" s="2338"/>
      <c r="W12" s="2338"/>
      <c r="X12" s="2339"/>
      <c r="Y12" s="2337"/>
      <c r="Z12" s="2338"/>
      <c r="AA12" s="2338"/>
      <c r="AB12" s="2338"/>
      <c r="AC12" s="2339"/>
      <c r="AD12" s="2337"/>
      <c r="AE12" s="2338"/>
      <c r="AF12" s="2338"/>
      <c r="AG12" s="2338"/>
      <c r="AH12" s="2339"/>
      <c r="AI12" s="2337"/>
      <c r="AJ12" s="2338"/>
      <c r="AK12" s="2338"/>
      <c r="AL12" s="2338"/>
      <c r="AM12" s="2339"/>
    </row>
    <row r="13" spans="1:40" ht="12.95" customHeight="1">
      <c r="B13" s="435"/>
      <c r="C13" s="2366" t="s">
        <v>498</v>
      </c>
      <c r="D13" s="2366"/>
      <c r="E13" s="2366"/>
      <c r="F13" s="2366"/>
      <c r="G13" s="2366"/>
      <c r="H13" s="2366"/>
      <c r="I13" s="2366"/>
      <c r="J13" s="2366"/>
      <c r="K13" s="2366"/>
      <c r="L13" s="2366"/>
      <c r="M13" s="2366"/>
      <c r="N13" s="2366"/>
      <c r="O13" s="2366"/>
      <c r="P13" s="2366"/>
      <c r="Q13" s="2366"/>
      <c r="R13" s="2366"/>
      <c r="S13" s="2367"/>
      <c r="T13" s="2373"/>
      <c r="U13" s="2374"/>
      <c r="V13" s="2374"/>
      <c r="W13" s="2374"/>
      <c r="X13" s="2374"/>
      <c r="Y13" s="2373"/>
      <c r="Z13" s="2374"/>
      <c r="AA13" s="2374"/>
      <c r="AB13" s="2374"/>
      <c r="AC13" s="2374"/>
      <c r="AD13" s="2374"/>
      <c r="AE13" s="2374"/>
      <c r="AF13" s="2374"/>
      <c r="AG13" s="2374"/>
      <c r="AH13" s="2374"/>
      <c r="AI13" s="2374"/>
      <c r="AJ13" s="2374"/>
      <c r="AK13" s="2374"/>
      <c r="AL13" s="2374"/>
      <c r="AM13" s="2374"/>
    </row>
    <row r="14" spans="1:40" ht="12.95" customHeight="1">
      <c r="B14" s="435"/>
      <c r="C14" s="2366" t="s">
        <v>499</v>
      </c>
      <c r="D14" s="2366"/>
      <c r="E14" s="2366"/>
      <c r="F14" s="2366"/>
      <c r="G14" s="2366"/>
      <c r="H14" s="2366"/>
      <c r="I14" s="2366"/>
      <c r="J14" s="2366"/>
      <c r="K14" s="2366"/>
      <c r="L14" s="2366"/>
      <c r="M14" s="2366"/>
      <c r="N14" s="2366"/>
      <c r="O14" s="2366"/>
      <c r="P14" s="2366"/>
      <c r="Q14" s="2366"/>
      <c r="R14" s="2366"/>
      <c r="S14" s="2367"/>
      <c r="T14" s="2340"/>
      <c r="U14" s="2341"/>
      <c r="V14" s="2341"/>
      <c r="W14" s="2341"/>
      <c r="X14" s="2341"/>
      <c r="Y14" s="2340"/>
      <c r="Z14" s="2341"/>
      <c r="AA14" s="2341"/>
      <c r="AB14" s="2341"/>
      <c r="AC14" s="2341"/>
      <c r="AD14" s="2341"/>
      <c r="AE14" s="2341"/>
      <c r="AF14" s="2341"/>
      <c r="AG14" s="2341"/>
      <c r="AH14" s="2341"/>
      <c r="AI14" s="2341"/>
      <c r="AJ14" s="2341"/>
      <c r="AK14" s="2341"/>
      <c r="AL14" s="2341"/>
      <c r="AM14" s="2341"/>
    </row>
    <row r="15" spans="1:40" ht="12.95" customHeight="1">
      <c r="B15" s="435"/>
      <c r="C15" s="2366" t="s">
        <v>500</v>
      </c>
      <c r="D15" s="2366"/>
      <c r="E15" s="2366"/>
      <c r="F15" s="2366"/>
      <c r="G15" s="2366"/>
      <c r="H15" s="2366"/>
      <c r="I15" s="2366"/>
      <c r="J15" s="2366"/>
      <c r="K15" s="2366"/>
      <c r="L15" s="2366"/>
      <c r="M15" s="2366"/>
      <c r="N15" s="2366"/>
      <c r="O15" s="2366"/>
      <c r="P15" s="2366"/>
      <c r="Q15" s="2366"/>
      <c r="R15" s="2366"/>
      <c r="S15" s="2367"/>
      <c r="T15" s="2340"/>
      <c r="U15" s="2341"/>
      <c r="V15" s="2341"/>
      <c r="W15" s="2341"/>
      <c r="X15" s="2341"/>
      <c r="Y15" s="2340"/>
      <c r="Z15" s="2341"/>
      <c r="AA15" s="2341"/>
      <c r="AB15" s="2341"/>
      <c r="AC15" s="2341"/>
      <c r="AD15" s="2341"/>
      <c r="AE15" s="2341"/>
      <c r="AF15" s="2341"/>
      <c r="AG15" s="2341"/>
      <c r="AH15" s="2341"/>
      <c r="AI15" s="2341"/>
      <c r="AJ15" s="2341"/>
      <c r="AK15" s="2341"/>
      <c r="AL15" s="2341"/>
      <c r="AM15" s="2341"/>
    </row>
    <row r="16" spans="1:40" ht="12.95" customHeight="1">
      <c r="B16" s="435"/>
      <c r="C16" s="2366" t="s">
        <v>805</v>
      </c>
      <c r="D16" s="2366"/>
      <c r="E16" s="2366"/>
      <c r="F16" s="2366"/>
      <c r="G16" s="2366"/>
      <c r="H16" s="2366"/>
      <c r="I16" s="2366"/>
      <c r="J16" s="2366"/>
      <c r="K16" s="2366"/>
      <c r="L16" s="2366"/>
      <c r="M16" s="2366"/>
      <c r="N16" s="2366"/>
      <c r="O16" s="2366"/>
      <c r="P16" s="2366"/>
      <c r="Q16" s="2366"/>
      <c r="R16" s="2366"/>
      <c r="S16" s="2367"/>
      <c r="T16" s="2340"/>
      <c r="U16" s="2341"/>
      <c r="V16" s="2341"/>
      <c r="W16" s="2341"/>
      <c r="X16" s="2341"/>
      <c r="Y16" s="2340"/>
      <c r="Z16" s="2341"/>
      <c r="AA16" s="2341"/>
      <c r="AB16" s="2341"/>
      <c r="AC16" s="2341"/>
      <c r="AD16" s="2341"/>
      <c r="AE16" s="2341"/>
      <c r="AF16" s="2341"/>
      <c r="AG16" s="2341"/>
      <c r="AH16" s="2341"/>
      <c r="AI16" s="2341"/>
      <c r="AJ16" s="2341"/>
      <c r="AK16" s="2341"/>
      <c r="AL16" s="2341"/>
      <c r="AM16" s="2341"/>
    </row>
    <row r="17" spans="1:40" ht="12.95" customHeight="1">
      <c r="B17" s="435"/>
      <c r="C17" s="2366" t="s">
        <v>501</v>
      </c>
      <c r="D17" s="2366"/>
      <c r="E17" s="2366"/>
      <c r="F17" s="2366"/>
      <c r="G17" s="2366"/>
      <c r="H17" s="2366"/>
      <c r="I17" s="2366"/>
      <c r="J17" s="2366"/>
      <c r="K17" s="2366"/>
      <c r="L17" s="2366"/>
      <c r="M17" s="2366"/>
      <c r="N17" s="2366"/>
      <c r="O17" s="2366"/>
      <c r="P17" s="2366"/>
      <c r="Q17" s="2366"/>
      <c r="R17" s="2366"/>
      <c r="S17" s="2367"/>
      <c r="T17" s="2340"/>
      <c r="U17" s="2341"/>
      <c r="V17" s="2341"/>
      <c r="W17" s="2341"/>
      <c r="X17" s="2341"/>
      <c r="Y17" s="2340"/>
      <c r="Z17" s="2341"/>
      <c r="AA17" s="2341"/>
      <c r="AB17" s="2341"/>
      <c r="AC17" s="2341"/>
      <c r="AD17" s="2341"/>
      <c r="AE17" s="2341"/>
      <c r="AF17" s="2341"/>
      <c r="AG17" s="2341"/>
      <c r="AH17" s="2341"/>
      <c r="AI17" s="2341"/>
      <c r="AJ17" s="2341"/>
      <c r="AK17" s="2341"/>
      <c r="AL17" s="2341"/>
      <c r="AM17" s="2341"/>
    </row>
    <row r="18" spans="1:40" ht="12.95" customHeight="1">
      <c r="A18"/>
      <c r="B18" s="1144"/>
      <c r="C18" s="1840" t="s">
        <v>960</v>
      </c>
      <c r="D18" s="1840"/>
      <c r="E18" s="1840"/>
      <c r="F18" s="1840"/>
      <c r="G18" s="1840"/>
      <c r="H18" s="1840"/>
      <c r="I18" s="1840"/>
      <c r="J18" s="1840"/>
      <c r="K18" s="1840"/>
      <c r="L18" s="1840"/>
      <c r="M18" s="1840"/>
      <c r="N18" s="1840"/>
      <c r="O18" s="1840"/>
      <c r="P18" s="1840"/>
      <c r="Q18" s="1840"/>
      <c r="R18" s="1840"/>
      <c r="S18" s="1841"/>
      <c r="T18" s="2340"/>
      <c r="U18" s="2341"/>
      <c r="V18" s="2341"/>
      <c r="W18" s="2341"/>
      <c r="X18" s="2341"/>
      <c r="Y18" s="2340"/>
      <c r="Z18" s="2341"/>
      <c r="AA18" s="2341"/>
      <c r="AB18" s="2341"/>
      <c r="AC18" s="2341"/>
      <c r="AD18" s="2341"/>
      <c r="AE18" s="2341"/>
      <c r="AF18" s="2341"/>
      <c r="AG18" s="2341"/>
      <c r="AH18" s="2341"/>
      <c r="AI18" s="2341"/>
      <c r="AJ18" s="2341"/>
      <c r="AK18" s="2341"/>
      <c r="AL18" s="2341"/>
      <c r="AM18" s="2341"/>
    </row>
    <row r="19" spans="1:40" ht="12.95" customHeight="1">
      <c r="B19" s="1144"/>
      <c r="C19" s="1840" t="s">
        <v>960</v>
      </c>
      <c r="D19" s="1840"/>
      <c r="E19" s="1840"/>
      <c r="F19" s="1840"/>
      <c r="G19" s="1840"/>
      <c r="H19" s="1840"/>
      <c r="I19" s="1840"/>
      <c r="J19" s="1840"/>
      <c r="K19" s="1840"/>
      <c r="L19" s="1840"/>
      <c r="M19" s="1840"/>
      <c r="N19" s="1840"/>
      <c r="O19" s="1840"/>
      <c r="P19" s="1840"/>
      <c r="Q19" s="1840"/>
      <c r="R19" s="1840"/>
      <c r="S19" s="1841"/>
      <c r="T19" s="2340"/>
      <c r="U19" s="2341"/>
      <c r="V19" s="2341"/>
      <c r="W19" s="2341"/>
      <c r="X19" s="2341"/>
      <c r="Y19" s="2340"/>
      <c r="Z19" s="2341"/>
      <c r="AA19" s="2341"/>
      <c r="AB19" s="2341"/>
      <c r="AC19" s="2341"/>
      <c r="AD19" s="2341"/>
      <c r="AE19" s="2341"/>
      <c r="AF19" s="2341"/>
      <c r="AG19" s="2341"/>
      <c r="AH19" s="2341"/>
      <c r="AI19" s="2341"/>
      <c r="AJ19" s="2341"/>
      <c r="AK19" s="2341"/>
      <c r="AL19" s="2341"/>
      <c r="AM19" s="2341"/>
    </row>
    <row r="20" spans="1:40" ht="12.95" customHeight="1">
      <c r="B20" s="2349" t="s">
        <v>502</v>
      </c>
      <c r="C20" s="2350"/>
      <c r="D20" s="2350"/>
      <c r="E20" s="2350"/>
      <c r="F20" s="2350"/>
      <c r="G20" s="2350"/>
      <c r="H20" s="2350"/>
      <c r="I20" s="2350"/>
      <c r="J20" s="2350"/>
      <c r="K20" s="2350"/>
      <c r="L20" s="2350"/>
      <c r="M20" s="2350"/>
      <c r="N20" s="2350"/>
      <c r="O20" s="2350"/>
      <c r="P20" s="2350"/>
      <c r="Q20" s="2350"/>
      <c r="R20" s="2350"/>
      <c r="S20" s="2351"/>
      <c r="T20" s="2342">
        <f>SUM(T13:X19)</f>
        <v>0</v>
      </c>
      <c r="U20" s="2343"/>
      <c r="V20" s="2343"/>
      <c r="W20" s="2343"/>
      <c r="X20" s="2343"/>
      <c r="Y20" s="2342">
        <f>SUM(Y13:AC19)</f>
        <v>0</v>
      </c>
      <c r="Z20" s="2343"/>
      <c r="AA20" s="2343"/>
      <c r="AB20" s="2343"/>
      <c r="AC20" s="2343"/>
      <c r="AD20" s="2344">
        <f>SUM(AD13:AH19)</f>
        <v>0</v>
      </c>
      <c r="AE20" s="2345"/>
      <c r="AF20" s="2345"/>
      <c r="AG20" s="2345"/>
      <c r="AH20" s="2342"/>
      <c r="AI20" s="2344">
        <f>SUM(AI13:AM19)</f>
        <v>0</v>
      </c>
      <c r="AJ20" s="2345"/>
      <c r="AK20" s="2345"/>
      <c r="AL20" s="2345"/>
      <c r="AM20" s="2342"/>
    </row>
    <row r="21" spans="1:40" ht="12.95" customHeight="1">
      <c r="B21" s="2349" t="s">
        <v>1263</v>
      </c>
      <c r="C21" s="2350"/>
      <c r="D21" s="2350"/>
      <c r="E21" s="2350"/>
      <c r="F21" s="2350"/>
      <c r="G21" s="2350"/>
      <c r="H21" s="2350"/>
      <c r="I21" s="2350"/>
      <c r="J21" s="2350"/>
      <c r="K21" s="2350"/>
      <c r="L21" s="2350"/>
      <c r="M21" s="2350"/>
      <c r="N21" s="2350"/>
      <c r="O21" s="2350"/>
      <c r="P21" s="2350"/>
      <c r="Q21" s="2350"/>
      <c r="R21" s="2350"/>
      <c r="S21" s="2351"/>
      <c r="T21" s="2340"/>
      <c r="U21" s="2341"/>
      <c r="V21" s="2341"/>
      <c r="W21" s="2341"/>
      <c r="X21" s="2341"/>
      <c r="Y21" s="2340"/>
      <c r="Z21" s="2341"/>
      <c r="AA21" s="2341"/>
      <c r="AB21" s="2341"/>
      <c r="AC21" s="2341"/>
      <c r="AD21" s="2337"/>
      <c r="AE21" s="2338"/>
      <c r="AF21" s="2338"/>
      <c r="AG21" s="2338"/>
      <c r="AH21" s="2339"/>
      <c r="AI21" s="2337"/>
      <c r="AJ21" s="2338"/>
      <c r="AK21" s="2338"/>
      <c r="AL21" s="2338"/>
      <c r="AM21" s="2339"/>
    </row>
    <row r="22" spans="1:40" ht="12.95" customHeight="1">
      <c r="B22" s="2349" t="s">
        <v>503</v>
      </c>
      <c r="C22" s="2350"/>
      <c r="D22" s="2350"/>
      <c r="E22" s="2350"/>
      <c r="F22" s="2350"/>
      <c r="G22" s="2350"/>
      <c r="H22" s="2350"/>
      <c r="I22" s="2350"/>
      <c r="J22" s="2350"/>
      <c r="K22" s="2350"/>
      <c r="L22" s="2350"/>
      <c r="M22" s="2350"/>
      <c r="N22" s="2350"/>
      <c r="O22" s="2350"/>
      <c r="P22" s="2350"/>
      <c r="Q22" s="2350"/>
      <c r="R22" s="2350"/>
      <c r="S22" s="2351"/>
      <c r="T22" s="2375">
        <f>(ABS(T20)+ABS(T21))*-1</f>
        <v>0</v>
      </c>
      <c r="U22" s="2376"/>
      <c r="V22" s="2376"/>
      <c r="W22" s="2376"/>
      <c r="X22" s="2376"/>
      <c r="Y22" s="2375">
        <f>(Y20+Y21)*-1</f>
        <v>0</v>
      </c>
      <c r="Z22" s="2376"/>
      <c r="AA22" s="2376"/>
      <c r="AB22" s="2376"/>
      <c r="AC22" s="2376"/>
      <c r="AD22" s="2377">
        <f>(AD20)*-1</f>
        <v>0</v>
      </c>
      <c r="AE22" s="2378"/>
      <c r="AF22" s="2378"/>
      <c r="AG22" s="2378"/>
      <c r="AH22" s="2375"/>
      <c r="AI22" s="2377">
        <f>(AI20)*-1</f>
        <v>0</v>
      </c>
      <c r="AJ22" s="2378"/>
      <c r="AK22" s="2378"/>
      <c r="AL22" s="2378"/>
      <c r="AM22" s="2375"/>
    </row>
    <row r="23" spans="1:40" ht="12.95" customHeight="1">
      <c r="B23" s="2349" t="s">
        <v>504</v>
      </c>
      <c r="C23" s="2350"/>
      <c r="D23" s="2350"/>
      <c r="E23" s="2350"/>
      <c r="F23" s="2350"/>
      <c r="G23" s="2350"/>
      <c r="H23" s="2350"/>
      <c r="I23" s="2350"/>
      <c r="J23" s="2350"/>
      <c r="K23" s="2350"/>
      <c r="L23" s="2350"/>
      <c r="M23" s="2350"/>
      <c r="N23" s="2350"/>
      <c r="O23" s="2350"/>
      <c r="P23" s="2350"/>
      <c r="Q23" s="2350"/>
      <c r="R23" s="2350"/>
      <c r="S23" s="2351"/>
      <c r="T23" s="2342">
        <f>T11+T22</f>
        <v>15223401</v>
      </c>
      <c r="U23" s="2343"/>
      <c r="V23" s="2343"/>
      <c r="W23" s="2343"/>
      <c r="X23" s="2343"/>
      <c r="Y23" s="2342">
        <f>Y11+Y22</f>
        <v>0</v>
      </c>
      <c r="Z23" s="2343"/>
      <c r="AA23" s="2343"/>
      <c r="AB23" s="2343"/>
      <c r="AC23" s="2343"/>
      <c r="AD23" s="2342">
        <f>AD11+AD22</f>
        <v>15822601</v>
      </c>
      <c r="AE23" s="2343"/>
      <c r="AF23" s="2343"/>
      <c r="AG23" s="2343"/>
      <c r="AH23" s="2343"/>
      <c r="AI23" s="2342">
        <f>AI11+AI22</f>
        <v>0</v>
      </c>
      <c r="AJ23" s="2343"/>
      <c r="AK23" s="2343"/>
      <c r="AL23" s="2343"/>
      <c r="AM23" s="2343"/>
    </row>
    <row r="24" spans="1:40" ht="12.95" customHeight="1">
      <c r="B24" s="2349" t="s">
        <v>961</v>
      </c>
      <c r="C24" s="2350"/>
      <c r="D24" s="2350"/>
      <c r="E24" s="2350"/>
      <c r="F24" s="2350"/>
      <c r="G24" s="2350"/>
      <c r="H24" s="2350"/>
      <c r="I24" s="2350"/>
      <c r="J24" s="2350"/>
      <c r="K24" s="2350"/>
      <c r="L24" s="2350"/>
      <c r="M24" s="2350"/>
      <c r="N24" s="2350"/>
      <c r="O24" s="2350"/>
      <c r="P24" s="2350"/>
      <c r="Q24" s="2350"/>
      <c r="R24" s="2350"/>
      <c r="S24" s="2351"/>
      <c r="T24" s="2344">
        <f>Application!AJ1062</f>
        <v>65752960</v>
      </c>
      <c r="U24" s="2345"/>
      <c r="V24" s="2345"/>
      <c r="W24" s="2345"/>
      <c r="X24" s="2345"/>
      <c r="Y24" s="2345"/>
      <c r="Z24" s="2345"/>
      <c r="AA24" s="2345"/>
      <c r="AB24" s="2345"/>
      <c r="AC24" s="2345"/>
      <c r="AD24" s="2345"/>
      <c r="AE24" s="2345"/>
      <c r="AF24" s="2345"/>
      <c r="AG24" s="2345"/>
      <c r="AH24" s="2345"/>
      <c r="AI24" s="2345"/>
      <c r="AJ24" s="2345"/>
      <c r="AK24" s="2345"/>
      <c r="AL24" s="2345"/>
      <c r="AM24" s="2342"/>
    </row>
    <row r="25" spans="1:40" ht="12.95" customHeight="1">
      <c r="B25" s="2353" t="s">
        <v>1264</v>
      </c>
      <c r="C25" s="2354"/>
      <c r="D25" s="2354"/>
      <c r="E25" s="2354"/>
      <c r="F25" s="2354"/>
      <c r="G25" s="2354"/>
      <c r="H25" s="2354"/>
      <c r="I25" s="2354"/>
      <c r="J25" s="2354"/>
      <c r="K25" s="2354"/>
      <c r="L25" s="2354"/>
      <c r="M25" s="2354"/>
      <c r="N25" s="2354"/>
      <c r="O25" s="2354"/>
      <c r="P25" s="2354"/>
      <c r="Q25" s="2354"/>
      <c r="R25" s="2354"/>
      <c r="S25" s="2355"/>
      <c r="T25" s="2379">
        <f>IF(OR(Application!T196="yes",Application!T195="yes"),1.3,1)</f>
        <v>1.3</v>
      </c>
      <c r="U25" s="2380"/>
      <c r="V25" s="2380"/>
      <c r="W25" s="2380"/>
      <c r="X25" s="2380"/>
      <c r="Y25" s="2379">
        <v>1</v>
      </c>
      <c r="Z25" s="2380"/>
      <c r="AA25" s="2380"/>
      <c r="AB25" s="2380"/>
      <c r="AC25" s="2380"/>
      <c r="AD25" s="2379">
        <v>1</v>
      </c>
      <c r="AE25" s="2380"/>
      <c r="AF25" s="2380"/>
      <c r="AG25" s="2380"/>
      <c r="AH25" s="2381"/>
      <c r="AI25" s="2379">
        <v>1</v>
      </c>
      <c r="AJ25" s="2380"/>
      <c r="AK25" s="2380"/>
      <c r="AL25" s="2380"/>
      <c r="AM25" s="2381"/>
    </row>
    <row r="26" spans="1:40" ht="12.95" customHeight="1">
      <c r="B26" s="2349" t="s">
        <v>505</v>
      </c>
      <c r="C26" s="2350"/>
      <c r="D26" s="2350"/>
      <c r="E26" s="2350"/>
      <c r="F26" s="2350"/>
      <c r="G26" s="2350"/>
      <c r="H26" s="2350"/>
      <c r="I26" s="2350"/>
      <c r="J26" s="2350"/>
      <c r="K26" s="2350"/>
      <c r="L26" s="2350"/>
      <c r="M26" s="2350"/>
      <c r="N26" s="2350"/>
      <c r="O26" s="2350"/>
      <c r="P26" s="2350"/>
      <c r="Q26" s="2350"/>
      <c r="R26" s="2350"/>
      <c r="S26" s="2351"/>
      <c r="T26" s="2342">
        <f>T23*T25</f>
        <v>19790421.300000001</v>
      </c>
      <c r="U26" s="2343"/>
      <c r="V26" s="2343"/>
      <c r="W26" s="2343"/>
      <c r="X26" s="2343"/>
      <c r="Y26" s="2342">
        <f>Y23*Y25</f>
        <v>0</v>
      </c>
      <c r="Z26" s="2343"/>
      <c r="AA26" s="2343"/>
      <c r="AB26" s="2343"/>
      <c r="AC26" s="2343"/>
      <c r="AD26" s="2342">
        <f>AD23*AD25</f>
        <v>15822601</v>
      </c>
      <c r="AE26" s="2343"/>
      <c r="AF26" s="2343"/>
      <c r="AG26" s="2343"/>
      <c r="AH26" s="2343"/>
      <c r="AI26" s="2342">
        <f>AI23*AI25</f>
        <v>0</v>
      </c>
      <c r="AJ26" s="2343"/>
      <c r="AK26" s="2343"/>
      <c r="AL26" s="2343"/>
      <c r="AM26" s="2343"/>
    </row>
    <row r="27" spans="1:40" ht="12.95" customHeight="1">
      <c r="A27" s="410"/>
      <c r="B27" s="2356" t="s">
        <v>426</v>
      </c>
      <c r="C27" s="2357"/>
      <c r="D27" s="2357"/>
      <c r="E27" s="2357"/>
      <c r="F27" s="2357"/>
      <c r="G27" s="2357"/>
      <c r="H27" s="2357"/>
      <c r="I27" s="2357"/>
      <c r="J27" s="2357"/>
      <c r="K27" s="2357"/>
      <c r="L27" s="2357"/>
      <c r="M27" s="2357"/>
      <c r="N27" s="2357"/>
      <c r="O27" s="2357"/>
      <c r="P27" s="2357"/>
      <c r="Q27" s="2357"/>
      <c r="R27" s="2357"/>
      <c r="S27" s="2358"/>
      <c r="T27" s="2362">
        <f>Application!$AG$454</f>
        <v>1</v>
      </c>
      <c r="U27" s="2363"/>
      <c r="V27" s="2363"/>
      <c r="W27" s="2363"/>
      <c r="X27" s="2363"/>
      <c r="Y27" s="2362">
        <f>Application!$AG$454</f>
        <v>1</v>
      </c>
      <c r="Z27" s="2363"/>
      <c r="AA27" s="2363"/>
      <c r="AB27" s="2363"/>
      <c r="AC27" s="2363"/>
      <c r="AD27" s="2362">
        <f>Application!$AG$454</f>
        <v>1</v>
      </c>
      <c r="AE27" s="2363"/>
      <c r="AF27" s="2363"/>
      <c r="AG27" s="2363"/>
      <c r="AH27" s="2363"/>
      <c r="AI27" s="2362">
        <f>Application!$AG$454</f>
        <v>1</v>
      </c>
      <c r="AJ27" s="2363"/>
      <c r="AK27" s="2363"/>
      <c r="AL27" s="2363"/>
      <c r="AM27" s="2363"/>
    </row>
    <row r="28" spans="1:40" ht="12.95" customHeight="1">
      <c r="A28" s="404"/>
      <c r="B28" s="2349" t="s">
        <v>506</v>
      </c>
      <c r="C28" s="2350"/>
      <c r="D28" s="2350"/>
      <c r="E28" s="2350"/>
      <c r="F28" s="2350"/>
      <c r="G28" s="2350"/>
      <c r="H28" s="2350"/>
      <c r="I28" s="2350"/>
      <c r="J28" s="2350"/>
      <c r="K28" s="2350"/>
      <c r="L28" s="2350"/>
      <c r="M28" s="2350"/>
      <c r="N28" s="2350"/>
      <c r="O28" s="2350"/>
      <c r="P28" s="2350"/>
      <c r="Q28" s="2350"/>
      <c r="R28" s="2350"/>
      <c r="S28" s="2351"/>
      <c r="T28" s="2342">
        <f>IF(ISERROR((T26*T27)),0,(T26*T27))</f>
        <v>19790421.300000001</v>
      </c>
      <c r="U28" s="2343"/>
      <c r="V28" s="2343"/>
      <c r="W28" s="2343"/>
      <c r="X28" s="2343"/>
      <c r="Y28" s="2342">
        <f>IF(ISERROR((Y26*Y27)),0,(Y26*Y27))</f>
        <v>0</v>
      </c>
      <c r="Z28" s="2343"/>
      <c r="AA28" s="2343"/>
      <c r="AB28" s="2343"/>
      <c r="AC28" s="2343"/>
      <c r="AD28" s="2342">
        <f>IF(ISERROR((AD26*AD27)),0,(AD26*AD27))</f>
        <v>15822601</v>
      </c>
      <c r="AE28" s="2343"/>
      <c r="AF28" s="2343"/>
      <c r="AG28" s="2343"/>
      <c r="AH28" s="2343"/>
      <c r="AI28" s="2342">
        <f>IF(ISERROR((AI26*AI27)),0,(AI26*AI27))</f>
        <v>0</v>
      </c>
      <c r="AJ28" s="2343"/>
      <c r="AK28" s="2343"/>
      <c r="AL28" s="2343"/>
      <c r="AM28" s="2343"/>
    </row>
    <row r="29" spans="1:40" ht="12.95" customHeight="1">
      <c r="B29" s="2349" t="s">
        <v>523</v>
      </c>
      <c r="C29" s="2350"/>
      <c r="D29" s="2350"/>
      <c r="E29" s="2350"/>
      <c r="F29" s="2350"/>
      <c r="G29" s="2350"/>
      <c r="H29" s="2350"/>
      <c r="I29" s="2350"/>
      <c r="J29" s="2350"/>
      <c r="K29" s="2350"/>
      <c r="L29" s="2350"/>
      <c r="M29" s="2350"/>
      <c r="N29" s="2350"/>
      <c r="O29" s="2350"/>
      <c r="P29" s="2350"/>
      <c r="Q29" s="2350"/>
      <c r="R29" s="2350"/>
      <c r="S29" s="2351"/>
      <c r="T29" s="2344">
        <f>T28+Y28+AD28+AI28</f>
        <v>35613022.299999997</v>
      </c>
      <c r="U29" s="2345"/>
      <c r="V29" s="2345"/>
      <c r="W29" s="2345"/>
      <c r="X29" s="2345"/>
      <c r="Y29" s="2345"/>
      <c r="Z29" s="2345"/>
      <c r="AA29" s="2345"/>
      <c r="AB29" s="2345"/>
      <c r="AC29" s="2345"/>
      <c r="AD29" s="2345"/>
      <c r="AE29" s="2345"/>
      <c r="AF29" s="2345"/>
      <c r="AG29" s="2345"/>
      <c r="AH29" s="2345"/>
      <c r="AI29" s="2345"/>
      <c r="AJ29" s="2345"/>
      <c r="AK29" s="2345"/>
      <c r="AL29" s="2345"/>
      <c r="AM29" s="2342"/>
    </row>
    <row r="30" spans="1:40" ht="12.95" customHeight="1">
      <c r="B30" s="2352" t="s">
        <v>1266</v>
      </c>
      <c r="C30" s="2352"/>
      <c r="D30" s="2352"/>
      <c r="E30" s="2352"/>
      <c r="F30" s="2352"/>
      <c r="G30" s="2352"/>
      <c r="H30" s="2352"/>
      <c r="I30" s="2352"/>
      <c r="J30" s="2352"/>
      <c r="K30" s="2352"/>
      <c r="L30" s="2352"/>
      <c r="M30" s="2352"/>
      <c r="N30" s="2352"/>
      <c r="O30" s="2352"/>
      <c r="P30" s="2352"/>
      <c r="Q30" s="2352"/>
      <c r="R30" s="2352"/>
      <c r="S30" s="2352"/>
      <c r="T30" s="2352"/>
      <c r="U30" s="2352"/>
      <c r="V30" s="2352"/>
      <c r="W30" s="2352"/>
      <c r="X30" s="2352"/>
      <c r="Y30" s="2352"/>
      <c r="Z30" s="2352"/>
      <c r="AA30" s="2352"/>
      <c r="AB30" s="2352"/>
      <c r="AC30" s="2352"/>
      <c r="AD30" s="2352"/>
      <c r="AE30" s="2352"/>
      <c r="AF30" s="2352"/>
      <c r="AG30" s="2352"/>
      <c r="AH30" s="2352"/>
      <c r="AI30" s="2352"/>
      <c r="AJ30" s="2352"/>
      <c r="AK30" s="2352"/>
      <c r="AL30" s="2352"/>
      <c r="AM30" s="2352"/>
    </row>
    <row r="31" spans="1:40" ht="12.95" customHeight="1">
      <c r="B31" s="2352" t="s">
        <v>1265</v>
      </c>
      <c r="C31" s="2352"/>
      <c r="D31" s="2352"/>
      <c r="E31" s="2352"/>
      <c r="F31" s="2352"/>
      <c r="G31" s="2352"/>
      <c r="H31" s="2352"/>
      <c r="I31" s="2352"/>
      <c r="J31" s="2352"/>
      <c r="K31" s="2352"/>
      <c r="L31" s="2352"/>
      <c r="M31" s="2352"/>
      <c r="N31" s="2352"/>
      <c r="O31" s="2352"/>
      <c r="P31" s="2352"/>
      <c r="Q31" s="2352"/>
      <c r="R31" s="2352"/>
      <c r="S31" s="2352"/>
      <c r="T31" s="2352"/>
      <c r="U31" s="2352"/>
      <c r="V31" s="2352"/>
      <c r="W31" s="2352"/>
      <c r="X31" s="2352"/>
      <c r="Y31" s="2352"/>
      <c r="Z31" s="2352"/>
      <c r="AA31" s="2352"/>
      <c r="AB31" s="2352"/>
      <c r="AC31" s="2352"/>
      <c r="AD31" s="2352"/>
      <c r="AE31" s="2352"/>
      <c r="AF31" s="2352"/>
      <c r="AG31" s="2352"/>
      <c r="AH31" s="2352"/>
      <c r="AI31" s="2352"/>
      <c r="AJ31" s="2352"/>
      <c r="AK31" s="2352"/>
      <c r="AL31" s="2352"/>
      <c r="AM31" s="2352"/>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70" t="s">
        <v>1154</v>
      </c>
      <c r="Z35" s="2370"/>
      <c r="AA35" s="2370"/>
      <c r="AB35" s="2370"/>
      <c r="AC35" s="2370"/>
      <c r="AD35" s="2390" t="s">
        <v>369</v>
      </c>
      <c r="AE35" s="2390"/>
      <c r="AF35" s="2390"/>
      <c r="AG35" s="2390"/>
      <c r="AH35" s="2390"/>
    </row>
    <row r="36" spans="1:76" ht="12.95" customHeight="1">
      <c r="B36" s="407"/>
      <c r="X36" s="412"/>
      <c r="Y36" s="2370"/>
      <c r="Z36" s="2370"/>
      <c r="AA36" s="2370"/>
      <c r="AB36" s="2370"/>
      <c r="AC36" s="2370"/>
      <c r="AD36" s="2390"/>
      <c r="AE36" s="2390"/>
      <c r="AF36" s="2390"/>
      <c r="AG36" s="2390"/>
      <c r="AH36" s="2390"/>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70"/>
      <c r="Z37" s="2370"/>
      <c r="AA37" s="2370"/>
      <c r="AB37" s="2370"/>
      <c r="AC37" s="2370"/>
      <c r="AD37" s="2390"/>
      <c r="AE37" s="2390"/>
      <c r="AF37" s="2390"/>
      <c r="AG37" s="2390"/>
      <c r="AH37" s="2390"/>
    </row>
    <row r="38" spans="1:76" ht="12.95" customHeight="1">
      <c r="A38" s="404"/>
      <c r="B38" s="2349" t="s">
        <v>506</v>
      </c>
      <c r="C38" s="2350"/>
      <c r="D38" s="2350"/>
      <c r="E38" s="2350"/>
      <c r="F38" s="2350"/>
      <c r="G38" s="2350"/>
      <c r="H38" s="2350"/>
      <c r="I38" s="2350"/>
      <c r="J38" s="2350"/>
      <c r="K38" s="2350"/>
      <c r="L38" s="2350"/>
      <c r="M38" s="2350"/>
      <c r="N38" s="2350"/>
      <c r="O38" s="2350"/>
      <c r="P38" s="2350"/>
      <c r="Q38" s="2350"/>
      <c r="R38" s="2350"/>
      <c r="S38" s="2350"/>
      <c r="T38" s="2350"/>
      <c r="U38" s="2350"/>
      <c r="V38" s="2350"/>
      <c r="W38" s="2350"/>
      <c r="X38" s="2351"/>
      <c r="Y38" s="2343">
        <f>IF(T24&gt;=(T23+Y23+AD23+AI23),T28+Y28,0)</f>
        <v>19790421.300000001</v>
      </c>
      <c r="Z38" s="2343"/>
      <c r="AA38" s="2343"/>
      <c r="AB38" s="2343"/>
      <c r="AC38" s="2343"/>
      <c r="AD38" s="2343">
        <f>IF(T24&gt;=(T23+Y23+AD23+AI23),AD28+AI28,0)</f>
        <v>15822601</v>
      </c>
      <c r="AE38" s="2343"/>
      <c r="AF38" s="2343"/>
      <c r="AG38" s="2343"/>
      <c r="AH38" s="2343"/>
    </row>
    <row r="39" spans="1:76" ht="12.95" customHeight="1">
      <c r="B39" s="2349" t="s">
        <v>1680</v>
      </c>
      <c r="C39" s="2350"/>
      <c r="D39" s="2350"/>
      <c r="E39" s="2350"/>
      <c r="F39" s="2350"/>
      <c r="G39" s="2350"/>
      <c r="H39" s="2350"/>
      <c r="I39" s="2350"/>
      <c r="J39" s="2350"/>
      <c r="K39" s="2350"/>
      <c r="L39" s="2350"/>
      <c r="M39" s="2350"/>
      <c r="N39" s="2350"/>
      <c r="O39" s="2350"/>
      <c r="P39" s="2350"/>
      <c r="Q39" s="2350"/>
      <c r="R39" s="2350"/>
      <c r="S39" s="2350"/>
      <c r="T39" s="2350"/>
      <c r="U39" s="2350"/>
      <c r="V39" s="2350"/>
      <c r="W39" s="2350"/>
      <c r="X39" s="2351"/>
      <c r="Y39" s="2391">
        <v>0.04</v>
      </c>
      <c r="Z39" s="2391"/>
      <c r="AA39" s="2391"/>
      <c r="AB39" s="2391"/>
      <c r="AC39" s="2391"/>
      <c r="AD39" s="2391">
        <v>0.04</v>
      </c>
      <c r="AE39" s="2391"/>
      <c r="AF39" s="2391"/>
      <c r="AG39" s="2391"/>
      <c r="AH39" s="2391"/>
    </row>
    <row r="40" spans="1:76" ht="12.95" customHeight="1">
      <c r="A40" s="404"/>
      <c r="B40" s="2349" t="s">
        <v>642</v>
      </c>
      <c r="C40" s="2350"/>
      <c r="D40" s="2350"/>
      <c r="E40" s="2350"/>
      <c r="F40" s="2350"/>
      <c r="G40" s="2350"/>
      <c r="H40" s="2350"/>
      <c r="I40" s="2350"/>
      <c r="J40" s="2350"/>
      <c r="K40" s="2350"/>
      <c r="L40" s="2350"/>
      <c r="M40" s="2350"/>
      <c r="N40" s="2350"/>
      <c r="O40" s="2350"/>
      <c r="P40" s="2350"/>
      <c r="Q40" s="2350"/>
      <c r="R40" s="2350"/>
      <c r="S40" s="2350"/>
      <c r="T40" s="2350"/>
      <c r="U40" s="2350"/>
      <c r="V40" s="2350"/>
      <c r="W40" s="2350"/>
      <c r="X40" s="2351"/>
      <c r="Y40" s="2343">
        <f>ROUND(Y38*Y39,0)</f>
        <v>791617</v>
      </c>
      <c r="Z40" s="2343"/>
      <c r="AA40" s="2343"/>
      <c r="AB40" s="2343"/>
      <c r="AC40" s="2343"/>
      <c r="AD40" s="2342">
        <f>ROUND(AD38*AD39,0)</f>
        <v>632904</v>
      </c>
      <c r="AE40" s="2343"/>
      <c r="AF40" s="2343"/>
      <c r="AG40" s="2343"/>
      <c r="AH40" s="2343"/>
    </row>
    <row r="41" spans="1:76" ht="12.95" customHeight="1">
      <c r="B41" s="2349" t="s">
        <v>643</v>
      </c>
      <c r="C41" s="2350"/>
      <c r="D41" s="2350"/>
      <c r="E41" s="2350"/>
      <c r="F41" s="2350"/>
      <c r="G41" s="2350"/>
      <c r="H41" s="2350"/>
      <c r="I41" s="2350"/>
      <c r="J41" s="2350"/>
      <c r="K41" s="2350"/>
      <c r="L41" s="2350"/>
      <c r="M41" s="2350"/>
      <c r="N41" s="2350"/>
      <c r="O41" s="2350"/>
      <c r="P41" s="2350"/>
      <c r="Q41" s="2350"/>
      <c r="R41" s="2350"/>
      <c r="S41" s="2350"/>
      <c r="T41" s="2350"/>
      <c r="U41" s="2350"/>
      <c r="V41" s="2350"/>
      <c r="W41" s="2350"/>
      <c r="X41" s="2351"/>
      <c r="Y41" s="2344">
        <f>Y40+AD40</f>
        <v>1424521</v>
      </c>
      <c r="Z41" s="2345"/>
      <c r="AA41" s="2345"/>
      <c r="AB41" s="2345"/>
      <c r="AC41" s="2345"/>
      <c r="AD41" s="2345"/>
      <c r="AE41" s="2345"/>
      <c r="AF41" s="2345"/>
      <c r="AG41" s="2345"/>
      <c r="AH41" s="2342"/>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7" t="s">
        <v>1276</v>
      </c>
      <c r="B44" s="2347"/>
      <c r="C44" s="2347"/>
      <c r="D44" s="2347"/>
      <c r="E44" s="2347"/>
      <c r="F44" s="2347"/>
      <c r="G44" s="2347"/>
      <c r="H44" s="2347"/>
      <c r="I44" s="2347"/>
      <c r="J44" s="2347"/>
      <c r="K44" s="2347"/>
      <c r="L44" s="2347"/>
      <c r="M44" s="2347"/>
      <c r="N44" s="2347"/>
      <c r="O44" s="2347"/>
      <c r="P44" s="2347"/>
      <c r="Q44" s="2347"/>
      <c r="R44" s="2347"/>
      <c r="S44" s="2347"/>
      <c r="T44" s="2347"/>
      <c r="U44" s="2347"/>
      <c r="V44" s="2347"/>
      <c r="W44" s="2347"/>
      <c r="X44" s="2347"/>
      <c r="Y44" s="2347"/>
      <c r="Z44" s="2347"/>
      <c r="AA44" s="2347"/>
      <c r="AB44" s="2347"/>
      <c r="AC44" s="2347"/>
      <c r="AD44" s="2347"/>
      <c r="AE44" s="2347"/>
      <c r="AF44" s="2347"/>
      <c r="AG44" s="2347"/>
      <c r="AH44" s="2347"/>
      <c r="AI44" s="2347"/>
      <c r="AJ44" s="2347"/>
      <c r="AK44" s="2347"/>
      <c r="AL44" s="2347"/>
      <c r="AM44" s="2347"/>
      <c r="AN44" s="2347"/>
      <c r="AO44" s="2347"/>
      <c r="AP44" s="2347"/>
      <c r="AQ44" s="2347"/>
      <c r="AR44" s="2347"/>
      <c r="AS44" s="2347"/>
      <c r="AT44" s="2347"/>
      <c r="AU44" s="2347"/>
      <c r="AV44" s="2347"/>
      <c r="AW44" s="2347"/>
      <c r="AX44" s="2347"/>
      <c r="AY44" s="2347"/>
      <c r="AZ44" s="2347"/>
      <c r="BA44" s="2347"/>
      <c r="BB44" s="2347"/>
      <c r="BC44" s="2347"/>
      <c r="BD44" s="2347"/>
      <c r="BE44" s="2347"/>
      <c r="BF44" s="2347"/>
      <c r="BG44" s="2347"/>
      <c r="BH44" s="2347"/>
      <c r="BI44" s="2347"/>
      <c r="BJ44" s="2347"/>
      <c r="BK44" s="2347"/>
      <c r="BL44" s="2347"/>
      <c r="BM44" s="2347"/>
      <c r="BN44" s="2347"/>
      <c r="BO44" s="2347"/>
      <c r="BP44" s="2347"/>
      <c r="BQ44" s="2347"/>
      <c r="BR44" s="2347"/>
      <c r="BS44" s="2347"/>
      <c r="BT44" s="2347"/>
      <c r="BU44" s="2347"/>
      <c r="BV44" s="2347"/>
      <c r="BW44" s="2347"/>
      <c r="BX44" s="2347"/>
    </row>
    <row r="45" spans="1:76" s="204" customFormat="1" ht="12.95" customHeight="1" thickTop="1"/>
    <row r="46" spans="1:76" ht="12.95" customHeight="1">
      <c r="A46" s="404" t="s">
        <v>586</v>
      </c>
      <c r="C46" s="404" t="s">
        <v>282</v>
      </c>
    </row>
    <row r="47" spans="1:76" ht="12.95" customHeight="1">
      <c r="D47" s="404" t="s">
        <v>283</v>
      </c>
      <c r="AB47" s="2359">
        <f>'Sources and Uses Budget'!B105-MAX(IF('Sources and Uses Budget'!B15="",0,'Sources and Uses Budget'!B15),IF(Application!AG403="",0,Application!AG403))</f>
        <v>33346227</v>
      </c>
      <c r="AC47" s="2360"/>
      <c r="AD47" s="2360"/>
      <c r="AE47" s="2360"/>
      <c r="AF47" s="2361"/>
    </row>
    <row r="48" spans="1:76" ht="12.95" customHeight="1">
      <c r="D48" s="404" t="s">
        <v>21</v>
      </c>
      <c r="AB48" s="2359">
        <f>Application!AO647-MAX(IF('Sources and Uses Budget'!B15="",0,'Sources and Uses Budget'!B15),IF(Application!AG403="",0,Application!AG403))</f>
        <v>22092598</v>
      </c>
      <c r="AC48" s="2360"/>
      <c r="AD48" s="2360"/>
      <c r="AE48" s="2360"/>
      <c r="AF48" s="2361"/>
    </row>
    <row r="49" spans="1:76" ht="12.95" customHeight="1">
      <c r="D49" s="404" t="s">
        <v>91</v>
      </c>
      <c r="AB49" s="2359">
        <f>AB47-AB48</f>
        <v>11253629</v>
      </c>
      <c r="AC49" s="2360"/>
      <c r="AD49" s="2360"/>
      <c r="AE49" s="2360"/>
      <c r="AF49" s="2361"/>
    </row>
    <row r="50" spans="1:76" ht="12.95" customHeight="1">
      <c r="D50" s="404" t="s">
        <v>681</v>
      </c>
      <c r="AA50" s="415"/>
      <c r="AB50" s="2386">
        <v>0.79</v>
      </c>
      <c r="AC50" s="2387"/>
      <c r="AD50" s="2387"/>
      <c r="AE50" s="2387"/>
      <c r="AF50" s="2388"/>
    </row>
    <row r="51" spans="1:76" s="417" customFormat="1" ht="12.95" customHeight="1">
      <c r="A51" s="402"/>
      <c r="B51" s="402"/>
      <c r="C51" s="402"/>
      <c r="D51" s="402"/>
      <c r="E51" s="2389" t="s">
        <v>2538</v>
      </c>
      <c r="F51" s="2389"/>
      <c r="G51" s="2389"/>
      <c r="H51" s="2389"/>
      <c r="I51" s="2389"/>
      <c r="J51" s="2389"/>
      <c r="K51" s="2389"/>
      <c r="L51" s="2389"/>
      <c r="M51" s="2389"/>
      <c r="N51" s="2389"/>
      <c r="O51" s="2389"/>
      <c r="P51" s="2389"/>
      <c r="Q51" s="2389"/>
      <c r="R51" s="2389"/>
      <c r="S51" s="2389"/>
      <c r="T51" s="2389"/>
      <c r="U51" s="2389"/>
      <c r="V51" s="2389"/>
      <c r="W51" s="2389"/>
      <c r="X51" s="2389"/>
      <c r="Y51" s="2389"/>
      <c r="Z51" s="2389"/>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89"/>
      <c r="F52" s="2389"/>
      <c r="G52" s="2389"/>
      <c r="H52" s="2389"/>
      <c r="I52" s="2389"/>
      <c r="J52" s="2389"/>
      <c r="K52" s="2389"/>
      <c r="L52" s="2389"/>
      <c r="M52" s="2389"/>
      <c r="N52" s="2389"/>
      <c r="O52" s="2389"/>
      <c r="P52" s="2389"/>
      <c r="Q52" s="2389"/>
      <c r="R52" s="2389"/>
      <c r="S52" s="2389"/>
      <c r="T52" s="2389"/>
      <c r="U52" s="2389"/>
      <c r="V52" s="2389"/>
      <c r="W52" s="2389"/>
      <c r="X52" s="2389"/>
      <c r="Y52" s="2389"/>
      <c r="Z52" s="2389"/>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59">
        <f>ROUND(IF(ISERROR((AB49/AB50)),0,(AB49/AB50)),0)</f>
        <v>14245100</v>
      </c>
      <c r="AC54" s="2360"/>
      <c r="AD54" s="2360"/>
      <c r="AE54" s="2360"/>
      <c r="AF54" s="2361"/>
    </row>
    <row r="55" spans="1:76" ht="12.95" customHeight="1">
      <c r="D55" s="404" t="s">
        <v>333</v>
      </c>
      <c r="AB55" s="2359">
        <f>(AB54/10)</f>
        <v>1424510</v>
      </c>
      <c r="AC55" s="2360"/>
      <c r="AD55" s="2360"/>
      <c r="AE55" s="2360"/>
      <c r="AF55" s="2361"/>
    </row>
    <row r="56" spans="1:76" ht="12.95" customHeight="1">
      <c r="D56" s="404" t="s">
        <v>756</v>
      </c>
      <c r="AB56" s="2359">
        <f>ROUND((IF((Y41&lt;AB55),Y41,AB55)),0)</f>
        <v>1424510</v>
      </c>
      <c r="AC56" s="2360"/>
      <c r="AD56" s="2360"/>
      <c r="AE56" s="2360"/>
      <c r="AF56" s="2361"/>
    </row>
    <row r="57" spans="1:76" ht="12.95" customHeight="1">
      <c r="D57" s="404" t="s">
        <v>755</v>
      </c>
      <c r="AB57" s="2359">
        <f>ROUND((10*AB56*AB50),0)</f>
        <v>11253629</v>
      </c>
      <c r="AC57" s="2360"/>
      <c r="AD57" s="2360"/>
      <c r="AE57" s="2360"/>
      <c r="AF57" s="2361"/>
    </row>
    <row r="58" spans="1:76" ht="12.95" customHeight="1">
      <c r="D58" s="404"/>
      <c r="AB58" s="423"/>
      <c r="AC58" s="423"/>
      <c r="AD58" s="423"/>
      <c r="AE58" s="423"/>
      <c r="AF58" s="423"/>
    </row>
    <row r="59" spans="1:76" ht="12.95" customHeight="1">
      <c r="D59" s="404" t="s">
        <v>754</v>
      </c>
      <c r="AB59" s="2382">
        <f>AB49-AB57</f>
        <v>0</v>
      </c>
      <c r="AC59" s="2382"/>
      <c r="AD59" s="2382"/>
      <c r="AE59" s="2382"/>
      <c r="AF59" s="2382"/>
    </row>
    <row r="60" spans="1:76" ht="12.95" customHeight="1">
      <c r="D60" s="404"/>
      <c r="AB60" s="423"/>
      <c r="AC60" s="423"/>
      <c r="AD60" s="423"/>
      <c r="AE60" s="423"/>
      <c r="AF60" s="423"/>
    </row>
    <row r="61" spans="1:76" s="204" customFormat="1" ht="12.95" customHeight="1" thickBot="1">
      <c r="A61" s="2347" t="str">
        <f>IF(Application!AP205="yes","Farmworker State Credit", "State Credit" )</f>
        <v>State Credit</v>
      </c>
      <c r="B61" s="2347"/>
      <c r="C61" s="2347"/>
      <c r="D61" s="2347"/>
      <c r="E61" s="2347"/>
      <c r="F61" s="2347"/>
      <c r="G61" s="2347"/>
      <c r="H61" s="2347"/>
      <c r="I61" s="2347"/>
      <c r="J61" s="2347"/>
      <c r="K61" s="2347"/>
      <c r="L61" s="2347"/>
      <c r="M61" s="2347"/>
      <c r="N61" s="2347"/>
      <c r="O61" s="2347"/>
      <c r="P61" s="2347"/>
      <c r="Q61" s="2347"/>
      <c r="R61" s="2347"/>
      <c r="S61" s="2347"/>
      <c r="T61" s="2347"/>
      <c r="U61" s="2347"/>
      <c r="V61" s="2347"/>
      <c r="W61" s="2347"/>
      <c r="X61" s="2347"/>
      <c r="Y61" s="2347"/>
      <c r="Z61" s="2347"/>
      <c r="AA61" s="2347"/>
      <c r="AB61" s="2347"/>
      <c r="AC61" s="2347"/>
      <c r="AD61" s="2347"/>
      <c r="AE61" s="2347"/>
      <c r="AF61" s="2347"/>
      <c r="AG61" s="2347"/>
      <c r="AH61" s="2347"/>
      <c r="AI61" s="2347"/>
      <c r="AJ61" s="2347"/>
      <c r="AK61" s="2347"/>
      <c r="AL61" s="2347"/>
      <c r="AM61" s="2347"/>
      <c r="AN61" s="2347"/>
      <c r="AO61" s="2347"/>
      <c r="AP61" s="2347"/>
      <c r="AQ61" s="2347"/>
      <c r="AR61" s="2347"/>
      <c r="AS61" s="2347"/>
      <c r="AT61" s="2347"/>
      <c r="AU61" s="2347"/>
      <c r="AV61" s="2347"/>
      <c r="AW61" s="2347"/>
      <c r="AX61" s="2347"/>
      <c r="AY61" s="2347"/>
      <c r="AZ61" s="2347"/>
      <c r="BA61" s="2347"/>
      <c r="BB61" s="2347"/>
      <c r="BC61" s="2347"/>
      <c r="BD61" s="2347"/>
      <c r="BE61" s="2347"/>
      <c r="BF61" s="2347"/>
      <c r="BG61" s="2347"/>
      <c r="BH61" s="2347"/>
      <c r="BI61" s="2347"/>
      <c r="BJ61" s="2347"/>
      <c r="BK61" s="2347"/>
      <c r="BL61" s="2347"/>
      <c r="BM61" s="2347"/>
      <c r="BN61" s="2347"/>
      <c r="BO61" s="2347"/>
      <c r="BP61" s="2347"/>
      <c r="BQ61" s="2347"/>
      <c r="BR61" s="2347"/>
      <c r="BS61" s="2347"/>
      <c r="BT61" s="2347"/>
      <c r="BU61" s="2347"/>
      <c r="BV61" s="2347"/>
      <c r="BW61" s="2347"/>
      <c r="BX61" s="2347"/>
    </row>
    <row r="62" spans="1:76" s="204" customFormat="1" ht="12.95" customHeight="1" thickTop="1"/>
    <row r="63" spans="1:76" ht="12.95" customHeight="1">
      <c r="A63" s="404" t="s">
        <v>589</v>
      </c>
      <c r="C63" s="205" t="s">
        <v>1248</v>
      </c>
      <c r="Y63" s="2383" t="s">
        <v>984</v>
      </c>
      <c r="Z63" s="2383"/>
      <c r="AA63" s="2383"/>
      <c r="AB63" s="2383"/>
      <c r="AC63" s="2383"/>
      <c r="AD63" s="2383" t="s">
        <v>369</v>
      </c>
      <c r="AE63" s="2383"/>
      <c r="AF63" s="2383"/>
      <c r="AG63" s="2383"/>
      <c r="AH63" s="2383"/>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44">
        <f>IF(Application!$Z$205="(select)",0,((T23*T27)+Y28))</f>
        <v>0</v>
      </c>
      <c r="Z64" s="2384"/>
      <c r="AA64" s="2384"/>
      <c r="AB64" s="2384"/>
      <c r="AC64" s="2385"/>
      <c r="AD64" s="2344">
        <f>IF(AND(OR(Application!D211="At-Risk",Application!D211="At-Risk and Special Needs"),Application!M367="yes"),AD28+AI28,0)</f>
        <v>0</v>
      </c>
      <c r="AE64" s="2384"/>
      <c r="AF64" s="2384"/>
      <c r="AG64" s="2384"/>
      <c r="AH64" s="2385"/>
    </row>
    <row r="65" spans="1:37" ht="12.95" customHeight="1">
      <c r="C65" s="404"/>
      <c r="E65" s="1012" t="s">
        <v>1825</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1826</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97">
        <f>IF(OR(Application!Z205="State Farmworker Credit",Application!Z205="$500M (Farmworker Housing)"),0.75,IF(Application!Z205="15% set-aside",0.13,IF(Application!Z205="15% set-aside with qualifying low value rehab",0.95,IF(Application!Z205="$500M",0.3,0))))</f>
        <v>0</v>
      </c>
      <c r="Z67" s="2397"/>
      <c r="AA67" s="2397"/>
      <c r="AB67" s="2397"/>
      <c r="AC67" s="2397"/>
      <c r="AD67" s="2397">
        <f>IF(Application!Z205="15% set-aside with qualifying low value rehab", 0.95,IF(OR(Application!D211="At-Risk",'Points System'!B26="Yes"),0.13,0))</f>
        <v>0</v>
      </c>
      <c r="AE67" s="2397"/>
      <c r="AF67" s="2397"/>
      <c r="AG67" s="2397"/>
      <c r="AH67" s="2397"/>
    </row>
    <row r="68" spans="1:37" ht="12.95" customHeight="1">
      <c r="C68" s="404"/>
      <c r="D68" s="205" t="s">
        <v>2180</v>
      </c>
      <c r="Y68" s="2343">
        <f>IF(AND(T25=1.3,OR(Y67=0.13,Y67=0.95),NOT(Application!T212&gt;=50%)),0,ROUND(Y64*Y67,0))</f>
        <v>0</v>
      </c>
      <c r="Z68" s="2398"/>
      <c r="AA68" s="2398"/>
      <c r="AB68" s="2398"/>
      <c r="AC68" s="2398"/>
      <c r="AD68" s="2343">
        <f>IF(AND(T25=1.3,AD67&gt;0,NOT(Application!T212&gt;=50%)),0,ROUND(AD64*AD67,0))</f>
        <v>0</v>
      </c>
      <c r="AE68" s="2398"/>
      <c r="AF68" s="2398"/>
      <c r="AG68" s="2398"/>
      <c r="AH68" s="2398"/>
      <c r="AK68" s="1192"/>
    </row>
    <row r="69" spans="1:37" ht="12.95" customHeight="1">
      <c r="C69" s="404"/>
      <c r="D69" s="205" t="s">
        <v>2181</v>
      </c>
      <c r="Y69" s="2343">
        <f>IF(OR(Application!Z205="State Farmworker Credit",Application!Z205="$500M (Farmworker Housing)"),Y68+AD68,MIN(Y68+AD68,200000*(Application!G761+Application!O785)))</f>
        <v>0</v>
      </c>
      <c r="Z69" s="2343"/>
      <c r="AA69" s="2343"/>
      <c r="AB69" s="2343"/>
      <c r="AC69" s="2343"/>
      <c r="AD69" s="2343"/>
      <c r="AE69" s="2343"/>
      <c r="AF69" s="2343"/>
      <c r="AG69" s="2343"/>
      <c r="AH69" s="2343"/>
    </row>
    <row r="70" spans="1:37" ht="12.95" customHeight="1">
      <c r="C70" s="404"/>
      <c r="E70" s="404"/>
      <c r="AB70" s="422"/>
      <c r="AC70" s="422"/>
      <c r="AD70" s="422"/>
      <c r="AE70" s="422"/>
      <c r="AF70" s="422"/>
    </row>
    <row r="71" spans="1:37" ht="12.95" customHeight="1">
      <c r="A71" s="404" t="s">
        <v>590</v>
      </c>
      <c r="C71" s="205" t="s">
        <v>284</v>
      </c>
    </row>
    <row r="72" spans="1:37" ht="12.95" customHeight="1">
      <c r="A72" s="404"/>
      <c r="C72" s="404"/>
      <c r="D72" s="205" t="s">
        <v>1250</v>
      </c>
      <c r="AB72" s="2386"/>
      <c r="AC72" s="2387"/>
      <c r="AD72" s="2387"/>
      <c r="AE72" s="2387"/>
      <c r="AF72" s="2388"/>
    </row>
    <row r="73" spans="1:37" ht="12.95" customHeight="1">
      <c r="A73" s="404"/>
      <c r="C73" s="404"/>
      <c r="D73" s="404"/>
      <c r="E73" s="2399" t="s">
        <v>1251</v>
      </c>
      <c r="F73" s="2399"/>
      <c r="G73" s="2399"/>
      <c r="H73" s="2399"/>
      <c r="I73" s="2399"/>
      <c r="J73" s="2399"/>
      <c r="K73" s="2399"/>
      <c r="L73" s="2399"/>
      <c r="M73" s="2399"/>
      <c r="N73" s="2399"/>
      <c r="O73" s="2399"/>
      <c r="P73" s="2399"/>
      <c r="Q73" s="2399"/>
      <c r="R73" s="2399"/>
      <c r="S73" s="2399"/>
      <c r="T73" s="2399"/>
      <c r="U73" s="2399"/>
      <c r="V73" s="2399"/>
      <c r="W73" s="2399"/>
      <c r="X73" s="2399"/>
      <c r="Y73" s="2399"/>
      <c r="Z73" s="2399"/>
      <c r="AA73" s="2399"/>
      <c r="AB73" s="438"/>
      <c r="AC73" s="438"/>
    </row>
    <row r="74" spans="1:37" ht="12.95" customHeight="1">
      <c r="A74" s="404"/>
      <c r="C74" s="404"/>
      <c r="D74" s="404"/>
      <c r="E74" s="2399"/>
      <c r="F74" s="2399"/>
      <c r="G74" s="2399"/>
      <c r="H74" s="2399"/>
      <c r="I74" s="2399"/>
      <c r="J74" s="2399"/>
      <c r="K74" s="2399"/>
      <c r="L74" s="2399"/>
      <c r="M74" s="2399"/>
      <c r="N74" s="2399"/>
      <c r="O74" s="2399"/>
      <c r="P74" s="2399"/>
      <c r="Q74" s="2399"/>
      <c r="R74" s="2399"/>
      <c r="S74" s="2399"/>
      <c r="T74" s="2399"/>
      <c r="U74" s="2399"/>
      <c r="V74" s="2399"/>
      <c r="W74" s="2399"/>
      <c r="X74" s="2399"/>
      <c r="Y74" s="2399"/>
      <c r="Z74" s="2399"/>
      <c r="AA74" s="2399"/>
      <c r="AB74" s="438"/>
      <c r="AC74" s="438"/>
    </row>
    <row r="75" spans="1:37" ht="12.95" customHeight="1">
      <c r="A75" s="404"/>
      <c r="C75" s="404"/>
      <c r="D75" s="404"/>
      <c r="E75" s="2399"/>
      <c r="F75" s="2399"/>
      <c r="G75" s="2399"/>
      <c r="H75" s="2399"/>
      <c r="I75" s="2399"/>
      <c r="J75" s="2399"/>
      <c r="K75" s="2399"/>
      <c r="L75" s="2399"/>
      <c r="M75" s="2399"/>
      <c r="N75" s="2399"/>
      <c r="O75" s="2399"/>
      <c r="P75" s="2399"/>
      <c r="Q75" s="2399"/>
      <c r="R75" s="2399"/>
      <c r="S75" s="2399"/>
      <c r="T75" s="2399"/>
      <c r="U75" s="2399"/>
      <c r="V75" s="2399"/>
      <c r="W75" s="2399"/>
      <c r="X75" s="2399"/>
      <c r="Y75" s="2399"/>
      <c r="Z75" s="2399"/>
      <c r="AA75" s="2399"/>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1252</v>
      </c>
      <c r="AB77" s="2392">
        <f>ROUND(IF(ISERROR((AB59/AB72)),0,(AB59/AB72)),0)</f>
        <v>0</v>
      </c>
      <c r="AC77" s="2392"/>
      <c r="AD77" s="2392"/>
      <c r="AE77" s="2392"/>
      <c r="AF77" s="2392"/>
    </row>
    <row r="78" spans="1:37" ht="12.95" customHeight="1">
      <c r="C78" s="404"/>
      <c r="D78" s="205" t="s">
        <v>1253</v>
      </c>
      <c r="AB78" s="2393">
        <f>ROUNDUP(MIN(Y69,AB77),0)</f>
        <v>0</v>
      </c>
      <c r="AC78" s="2394"/>
      <c r="AD78" s="2394"/>
      <c r="AE78" s="2394"/>
      <c r="AF78" s="2395"/>
    </row>
    <row r="79" spans="1:37" ht="12.95" customHeight="1">
      <c r="C79" s="404"/>
      <c r="D79" s="205" t="s">
        <v>1254</v>
      </c>
      <c r="AB79" s="2396">
        <f>AB78*AB72</f>
        <v>0</v>
      </c>
      <c r="AC79" s="2396"/>
      <c r="AD79" s="2396"/>
      <c r="AE79" s="2396"/>
      <c r="AF79" s="2396"/>
    </row>
    <row r="80" spans="1:37" ht="12.95" customHeight="1">
      <c r="C80" s="404"/>
      <c r="D80" s="404"/>
      <c r="AB80" s="425"/>
      <c r="AC80" s="425"/>
      <c r="AD80" s="425"/>
      <c r="AE80" s="425"/>
      <c r="AF80" s="425"/>
    </row>
    <row r="81" spans="1:78" ht="12.95" customHeight="1">
      <c r="D81" s="404" t="s">
        <v>754</v>
      </c>
      <c r="AB81" s="2382">
        <f>AB49-(AB57+AB79)</f>
        <v>0</v>
      </c>
      <c r="AC81" s="2382"/>
      <c r="AD81" s="2382"/>
      <c r="AE81" s="2382"/>
      <c r="AF81" s="2382"/>
    </row>
    <row r="82" spans="1:78" ht="12.95" customHeight="1">
      <c r="F82" s="522"/>
      <c r="J82" s="522" t="str">
        <f>IF(AB81&gt;0,"FUNDING GAP MUST NOT EXCEED ZERO","")</f>
        <v/>
      </c>
    </row>
    <row r="83" spans="1:78" ht="12.95" customHeight="1">
      <c r="D83" s="523"/>
    </row>
    <row r="84" spans="1:78" ht="12.95" customHeight="1" thickBot="1">
      <c r="A84" s="2347"/>
      <c r="B84" s="2347"/>
      <c r="C84" s="2347"/>
      <c r="D84" s="2347"/>
      <c r="E84" s="2347"/>
      <c r="F84" s="2347"/>
      <c r="G84" s="2347"/>
      <c r="H84" s="2347"/>
      <c r="I84" s="2347"/>
      <c r="J84" s="2347"/>
      <c r="K84" s="2347"/>
      <c r="L84" s="2347"/>
      <c r="M84" s="2347"/>
      <c r="N84" s="2347"/>
      <c r="O84" s="2347"/>
      <c r="P84" s="2347"/>
      <c r="Q84" s="2347"/>
      <c r="R84" s="2347"/>
      <c r="S84" s="2347"/>
      <c r="T84" s="2347"/>
      <c r="U84" s="2347"/>
      <c r="V84" s="2347"/>
      <c r="W84" s="2347"/>
      <c r="X84" s="2347"/>
      <c r="Y84" s="2347"/>
      <c r="Z84" s="2347"/>
      <c r="AA84" s="2347"/>
      <c r="AB84" s="2347"/>
      <c r="AC84" s="2347"/>
      <c r="AD84" s="2347"/>
      <c r="AE84" s="2347"/>
      <c r="AF84" s="2347"/>
      <c r="AG84" s="2347"/>
      <c r="AH84" s="2347"/>
      <c r="AI84" s="2347"/>
      <c r="AJ84" s="2347"/>
      <c r="AK84" s="2347"/>
      <c r="AL84" s="2347"/>
      <c r="AM84" s="2347"/>
      <c r="AN84" s="2347"/>
      <c r="AO84" s="2347"/>
      <c r="AP84" s="2347"/>
      <c r="AQ84" s="2347"/>
      <c r="AR84" s="2347"/>
      <c r="AS84" s="2347"/>
      <c r="AT84" s="2347"/>
      <c r="AU84" s="2347"/>
      <c r="AV84" s="2347"/>
      <c r="AW84" s="2347"/>
      <c r="AX84" s="2347"/>
      <c r="AY84" s="2347"/>
      <c r="AZ84" s="2347"/>
      <c r="BA84" s="2347"/>
      <c r="BB84" s="2347"/>
      <c r="BC84" s="2347"/>
      <c r="BD84" s="2347"/>
      <c r="BE84" s="2347"/>
      <c r="BF84" s="2347"/>
      <c r="BG84" s="2347"/>
      <c r="BH84" s="2347"/>
      <c r="BI84" s="2347"/>
      <c r="BJ84" s="2347"/>
      <c r="BK84" s="2347"/>
      <c r="BL84" s="2347"/>
      <c r="BM84" s="2347"/>
      <c r="BN84" s="2347"/>
      <c r="BO84" s="2347"/>
      <c r="BP84" s="2347"/>
      <c r="BQ84" s="2347"/>
      <c r="BR84" s="2347"/>
      <c r="BS84" s="2347"/>
      <c r="BT84" s="2347"/>
      <c r="BU84" s="2347"/>
      <c r="BV84" s="2347"/>
      <c r="BW84" s="2347"/>
      <c r="BX84" s="2347"/>
    </row>
    <row r="85" spans="1:78" ht="12.95" customHeight="1" thickTop="1"/>
    <row r="86" spans="1:78" ht="12.95" hidden="1" customHeight="1">
      <c r="A86" s="404"/>
      <c r="C86" s="205"/>
    </row>
    <row r="87" spans="1:78" ht="12.95" hidden="1" customHeight="1">
      <c r="D87" s="205"/>
      <c r="AB87" s="2348"/>
      <c r="AC87" s="2348"/>
      <c r="AD87" s="2348"/>
      <c r="AE87" s="2348"/>
      <c r="AF87" s="2348"/>
    </row>
    <row r="88" spans="1:78" ht="12.95" hidden="1" customHeight="1" thickBot="1">
      <c r="D88" s="205"/>
      <c r="AB88" s="2346"/>
      <c r="AC88" s="2346"/>
      <c r="AD88" s="2346"/>
      <c r="AE88" s="2346"/>
      <c r="AF88" s="2346"/>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387" workbookViewId="0">
      <selection activeCell="AN627" sqref="AN627"/>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631" t="s">
        <v>1299</v>
      </c>
      <c r="B1" s="2631"/>
      <c r="C1" s="2631"/>
      <c r="D1" s="2631"/>
      <c r="E1" s="2631"/>
      <c r="F1" s="2631"/>
      <c r="G1" s="2631"/>
      <c r="H1" s="2631"/>
      <c r="I1" s="2631"/>
      <c r="J1" s="2631"/>
      <c r="K1" s="2631"/>
      <c r="L1" s="2631"/>
      <c r="M1" s="2631"/>
      <c r="N1" s="2631"/>
      <c r="O1" s="2631"/>
      <c r="P1" s="2631"/>
      <c r="Q1" s="2631"/>
      <c r="R1" s="2631"/>
      <c r="S1" s="2631"/>
      <c r="T1" s="2631"/>
      <c r="U1" s="2631"/>
      <c r="V1" s="2631"/>
      <c r="W1" s="2631"/>
      <c r="X1" s="2631"/>
      <c r="Y1" s="2631"/>
      <c r="Z1" s="2631"/>
      <c r="AA1" s="2631"/>
      <c r="AB1" s="2631"/>
      <c r="AC1" s="2631"/>
      <c r="AD1" s="2631"/>
      <c r="AE1" s="2631"/>
      <c r="AF1" s="2631"/>
      <c r="AG1" s="2631"/>
      <c r="AH1" s="2631"/>
      <c r="AI1" s="2631"/>
      <c r="AJ1" s="2631"/>
      <c r="AK1" s="2631"/>
      <c r="AL1" s="2631"/>
      <c r="AM1" s="2631"/>
    </row>
    <row r="2" spans="1:41" s="536" customFormat="1" ht="12.75" customHeight="1" thickBot="1">
      <c r="A2" s="2632"/>
      <c r="B2" s="2632"/>
      <c r="C2" s="2632"/>
      <c r="D2" s="2632"/>
      <c r="E2" s="2632"/>
      <c r="F2" s="2632"/>
      <c r="G2" s="2632"/>
      <c r="H2" s="2632"/>
      <c r="I2" s="2632"/>
      <c r="J2" s="2632"/>
      <c r="K2" s="2632"/>
      <c r="L2" s="2632"/>
      <c r="M2" s="2632"/>
      <c r="N2" s="2632"/>
      <c r="O2" s="2632"/>
      <c r="P2" s="2632"/>
      <c r="Q2" s="2632"/>
      <c r="R2" s="2632"/>
      <c r="S2" s="2632"/>
      <c r="T2" s="2632"/>
      <c r="U2" s="2632"/>
      <c r="V2" s="2632"/>
      <c r="W2" s="2632"/>
      <c r="X2" s="2632"/>
      <c r="Y2" s="2632"/>
      <c r="Z2" s="2632"/>
      <c r="AA2" s="2632"/>
      <c r="AB2" s="2632"/>
      <c r="AC2" s="2632"/>
      <c r="AD2" s="2632"/>
      <c r="AE2" s="2632"/>
      <c r="AF2" s="2632"/>
      <c r="AG2" s="2632"/>
      <c r="AH2" s="2632"/>
      <c r="AI2" s="2632"/>
      <c r="AJ2" s="2632"/>
      <c r="AK2" s="2632"/>
      <c r="AL2" s="2632"/>
      <c r="AM2" s="2632"/>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2551</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0" t="s">
        <v>1303</v>
      </c>
      <c r="AF7" s="2460"/>
      <c r="AG7" s="2460"/>
      <c r="AH7" s="2460"/>
      <c r="AI7" s="2460"/>
      <c r="AJ7" s="2460"/>
      <c r="AK7" s="2460"/>
      <c r="AL7" s="540"/>
      <c r="AM7" s="540"/>
      <c r="AN7" s="535"/>
    </row>
    <row r="8" spans="1:41" s="536" customFormat="1" ht="12.75" customHeight="1">
      <c r="A8" s="538"/>
      <c r="B8" s="539" t="s">
        <v>1718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2554</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602" t="s">
        <v>545</v>
      </c>
      <c r="C12" s="2602"/>
      <c r="D12" s="540"/>
      <c r="E12" s="2463" t="s">
        <v>2552</v>
      </c>
      <c r="F12" s="2464"/>
      <c r="G12" s="2464"/>
      <c r="H12" s="2464"/>
      <c r="I12" s="2464"/>
      <c r="J12" s="2464"/>
      <c r="K12" s="2464"/>
      <c r="L12" s="2464"/>
      <c r="M12" s="2464"/>
      <c r="N12" s="2464"/>
      <c r="O12" s="2464"/>
      <c r="P12" s="2464"/>
      <c r="Q12" s="2464"/>
      <c r="R12" s="2464"/>
      <c r="S12" s="2464"/>
      <c r="T12" s="2464"/>
      <c r="U12" s="2464"/>
      <c r="V12" s="2464"/>
      <c r="W12" s="2464"/>
      <c r="X12" s="2464"/>
      <c r="Y12" s="2464"/>
      <c r="Z12" s="2464"/>
      <c r="AA12" s="2464"/>
      <c r="AB12" s="2464"/>
      <c r="AC12" s="2464"/>
      <c r="AD12" s="2464"/>
      <c r="AE12" s="2464"/>
      <c r="AF12" s="2464"/>
      <c r="AG12" s="2464"/>
      <c r="AH12" s="2464"/>
      <c r="AI12" s="2464"/>
      <c r="AJ12" s="2465"/>
      <c r="AK12" s="540"/>
      <c r="AL12" s="540"/>
      <c r="AM12" s="540"/>
      <c r="AN12" s="535"/>
      <c r="AO12" s="557"/>
    </row>
    <row r="13" spans="1:41" s="536" customFormat="1" ht="12.75" customHeight="1">
      <c r="A13" s="540"/>
      <c r="D13" s="546"/>
      <c r="E13" s="2466"/>
      <c r="F13" s="2467"/>
      <c r="G13" s="2467"/>
      <c r="H13" s="2467"/>
      <c r="I13" s="2467"/>
      <c r="J13" s="2467"/>
      <c r="K13" s="2467"/>
      <c r="L13" s="2467"/>
      <c r="M13" s="2467"/>
      <c r="N13" s="2467"/>
      <c r="O13" s="2467"/>
      <c r="P13" s="2467"/>
      <c r="Q13" s="2467"/>
      <c r="R13" s="2467"/>
      <c r="S13" s="2467"/>
      <c r="T13" s="2467"/>
      <c r="U13" s="2467"/>
      <c r="V13" s="2467"/>
      <c r="W13" s="2467"/>
      <c r="X13" s="2467"/>
      <c r="Y13" s="2467"/>
      <c r="Z13" s="2467"/>
      <c r="AA13" s="2467"/>
      <c r="AB13" s="2467"/>
      <c r="AC13" s="2467"/>
      <c r="AD13" s="2467"/>
      <c r="AE13" s="2467"/>
      <c r="AF13" s="2467"/>
      <c r="AG13" s="2467"/>
      <c r="AH13" s="2467"/>
      <c r="AI13" s="2467"/>
      <c r="AJ13" s="2468"/>
      <c r="AK13" s="540"/>
      <c r="AL13" s="540"/>
      <c r="AM13" s="540"/>
      <c r="AN13" s="535"/>
      <c r="AO13" s="557"/>
    </row>
    <row r="14" spans="1:41" s="536" customFormat="1" ht="12.75" customHeight="1">
      <c r="A14" s="540"/>
      <c r="D14" s="540"/>
      <c r="E14" s="2619"/>
      <c r="F14" s="2620"/>
      <c r="G14" s="2620"/>
      <c r="H14" s="2620"/>
      <c r="I14" s="2620"/>
      <c r="J14" s="2620"/>
      <c r="K14" s="2620"/>
      <c r="L14" s="2620"/>
      <c r="M14" s="2620"/>
      <c r="N14" s="2620"/>
      <c r="O14" s="2620"/>
      <c r="P14" s="2620"/>
      <c r="Q14" s="2620"/>
      <c r="R14" s="2620"/>
      <c r="S14" s="2620"/>
      <c r="T14" s="2620"/>
      <c r="U14" s="2620"/>
      <c r="V14" s="2620"/>
      <c r="W14" s="2620"/>
      <c r="X14" s="2620"/>
      <c r="Y14" s="2620"/>
      <c r="Z14" s="2620"/>
      <c r="AA14" s="2620"/>
      <c r="AB14" s="2620"/>
      <c r="AC14" s="2620"/>
      <c r="AD14" s="2620"/>
      <c r="AE14" s="2620"/>
      <c r="AF14" s="2620"/>
      <c r="AG14" s="2620"/>
      <c r="AH14" s="2620"/>
      <c r="AI14" s="2620"/>
      <c r="AJ14" s="2621"/>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602" t="s">
        <v>545</v>
      </c>
      <c r="C16" s="2602"/>
      <c r="D16" s="540"/>
      <c r="E16" s="2463" t="s">
        <v>2553</v>
      </c>
      <c r="F16" s="2464"/>
      <c r="G16" s="2464"/>
      <c r="H16" s="2464"/>
      <c r="I16" s="2464"/>
      <c r="J16" s="2464"/>
      <c r="K16" s="2464"/>
      <c r="L16" s="2464"/>
      <c r="M16" s="2464"/>
      <c r="N16" s="2464"/>
      <c r="O16" s="2464"/>
      <c r="P16" s="2464"/>
      <c r="Q16" s="2464"/>
      <c r="R16" s="2464"/>
      <c r="S16" s="2464"/>
      <c r="T16" s="2464"/>
      <c r="U16" s="2464"/>
      <c r="V16" s="2464"/>
      <c r="W16" s="2464"/>
      <c r="X16" s="2464"/>
      <c r="Y16" s="2464"/>
      <c r="Z16" s="2464"/>
      <c r="AA16" s="2464"/>
      <c r="AB16" s="2464"/>
      <c r="AC16" s="2464"/>
      <c r="AD16" s="2464"/>
      <c r="AE16" s="2464"/>
      <c r="AF16" s="2464"/>
      <c r="AG16" s="2464"/>
      <c r="AH16" s="2464"/>
      <c r="AI16" s="2464"/>
      <c r="AJ16" s="2465"/>
      <c r="AK16" s="540"/>
      <c r="AL16" s="540"/>
      <c r="AM16" s="540"/>
      <c r="AN16" s="535"/>
    </row>
    <row r="17" spans="1:50" s="536" customFormat="1" ht="12.75" customHeight="1">
      <c r="A17" s="540"/>
      <c r="B17" s="540"/>
      <c r="C17" s="540"/>
      <c r="D17" s="540"/>
      <c r="E17" s="2466"/>
      <c r="F17" s="2467"/>
      <c r="G17" s="2467"/>
      <c r="H17" s="2467"/>
      <c r="I17" s="2467"/>
      <c r="J17" s="2467"/>
      <c r="K17" s="2467"/>
      <c r="L17" s="2467"/>
      <c r="M17" s="2467"/>
      <c r="N17" s="2467"/>
      <c r="O17" s="2467"/>
      <c r="P17" s="2467"/>
      <c r="Q17" s="2467"/>
      <c r="R17" s="2467"/>
      <c r="S17" s="2467"/>
      <c r="T17" s="2467"/>
      <c r="U17" s="2467"/>
      <c r="V17" s="2467"/>
      <c r="W17" s="2467"/>
      <c r="X17" s="2467"/>
      <c r="Y17" s="2467"/>
      <c r="Z17" s="2467"/>
      <c r="AA17" s="2467"/>
      <c r="AB17" s="2467"/>
      <c r="AC17" s="2467"/>
      <c r="AD17" s="2467"/>
      <c r="AE17" s="2467"/>
      <c r="AF17" s="2467"/>
      <c r="AG17" s="2467"/>
      <c r="AH17" s="2467"/>
      <c r="AI17" s="2467"/>
      <c r="AJ17" s="2468"/>
      <c r="AK17" s="540"/>
      <c r="AL17" s="540"/>
      <c r="AM17" s="540"/>
      <c r="AN17" s="535"/>
    </row>
    <row r="18" spans="1:50" s="536" customFormat="1" ht="12.75" customHeight="1">
      <c r="A18" s="540"/>
      <c r="B18" s="540"/>
      <c r="C18" s="1135"/>
      <c r="D18" s="540"/>
      <c r="E18" s="2619"/>
      <c r="F18" s="2620"/>
      <c r="G18" s="2620"/>
      <c r="H18" s="2620"/>
      <c r="I18" s="2620"/>
      <c r="J18" s="2620"/>
      <c r="K18" s="2620"/>
      <c r="L18" s="2620"/>
      <c r="M18" s="2620"/>
      <c r="N18" s="2620"/>
      <c r="O18" s="2620"/>
      <c r="P18" s="2620"/>
      <c r="Q18" s="2620"/>
      <c r="R18" s="2620"/>
      <c r="S18" s="2620"/>
      <c r="T18" s="2620"/>
      <c r="U18" s="2620"/>
      <c r="V18" s="2620"/>
      <c r="W18" s="2620"/>
      <c r="X18" s="2620"/>
      <c r="Y18" s="2620"/>
      <c r="Z18" s="2620"/>
      <c r="AA18" s="2620"/>
      <c r="AB18" s="2620"/>
      <c r="AC18" s="2620"/>
      <c r="AD18" s="2620"/>
      <c r="AE18" s="2620"/>
      <c r="AF18" s="2620"/>
      <c r="AG18" s="2620"/>
      <c r="AH18" s="2620"/>
      <c r="AI18" s="2620"/>
      <c r="AJ18" s="2621"/>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602" t="s">
        <v>545</v>
      </c>
      <c r="C20" s="2602"/>
      <c r="D20" s="540"/>
      <c r="E20" s="2463" t="s">
        <v>1980</v>
      </c>
      <c r="F20" s="2464"/>
      <c r="G20" s="2464"/>
      <c r="H20" s="2464"/>
      <c r="I20" s="2464"/>
      <c r="J20" s="2464"/>
      <c r="K20" s="2464"/>
      <c r="L20" s="2464"/>
      <c r="M20" s="2464"/>
      <c r="N20" s="2464"/>
      <c r="O20" s="2464"/>
      <c r="P20" s="2464"/>
      <c r="Q20" s="2464"/>
      <c r="R20" s="2464"/>
      <c r="S20" s="2464"/>
      <c r="T20" s="2464"/>
      <c r="U20" s="2464"/>
      <c r="V20" s="2464"/>
      <c r="W20" s="2464"/>
      <c r="X20" s="2464"/>
      <c r="Y20" s="2464"/>
      <c r="Z20" s="2464"/>
      <c r="AA20" s="2464"/>
      <c r="AB20" s="2464"/>
      <c r="AC20" s="2464"/>
      <c r="AD20" s="2464"/>
      <c r="AE20" s="2464"/>
      <c r="AF20" s="2464"/>
      <c r="AG20" s="2464"/>
      <c r="AH20" s="2464"/>
      <c r="AI20" s="2464"/>
      <c r="AJ20" s="2465"/>
      <c r="AK20" s="540"/>
      <c r="AL20" s="540"/>
      <c r="AM20" s="540"/>
      <c r="AN20" s="535"/>
    </row>
    <row r="21" spans="1:50" s="536" customFormat="1" ht="12.75" customHeight="1">
      <c r="A21" s="540"/>
      <c r="B21" s="546"/>
      <c r="C21" s="546"/>
      <c r="D21" s="546"/>
      <c r="E21" s="2619"/>
      <c r="F21" s="2620"/>
      <c r="G21" s="2620"/>
      <c r="H21" s="2620"/>
      <c r="I21" s="2620"/>
      <c r="J21" s="2620"/>
      <c r="K21" s="2620"/>
      <c r="L21" s="2620"/>
      <c r="M21" s="2620"/>
      <c r="N21" s="2620"/>
      <c r="O21" s="2620"/>
      <c r="P21" s="2620"/>
      <c r="Q21" s="2620"/>
      <c r="R21" s="2620"/>
      <c r="S21" s="2620"/>
      <c r="T21" s="2620"/>
      <c r="U21" s="2620"/>
      <c r="V21" s="2620"/>
      <c r="W21" s="2620"/>
      <c r="X21" s="2620"/>
      <c r="Y21" s="2620"/>
      <c r="Z21" s="2620"/>
      <c r="AA21" s="2620"/>
      <c r="AB21" s="2620"/>
      <c r="AC21" s="2620"/>
      <c r="AD21" s="2620"/>
      <c r="AE21" s="2620"/>
      <c r="AF21" s="2620"/>
      <c r="AG21" s="2620"/>
      <c r="AH21" s="2620"/>
      <c r="AI21" s="2620"/>
      <c r="AJ21" s="2621"/>
      <c r="AK21" s="540"/>
      <c r="AL21" s="540"/>
      <c r="AM21" s="540"/>
      <c r="AN21" s="535"/>
      <c r="AO21" s="536">
        <f>IF(AND(B12="Yes",B16="Yes",B20="Yes"),10,0)</f>
        <v>10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2555</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2556</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602" t="s">
        <v>591</v>
      </c>
      <c r="C26" s="2602"/>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33"/>
      <c r="AH26" s="2633"/>
      <c r="AI26" s="2633"/>
      <c r="AJ26" s="2634"/>
      <c r="AK26" s="540"/>
      <c r="AL26" s="540"/>
      <c r="AM26" s="540"/>
      <c r="AN26" s="535"/>
      <c r="AO26" s="536">
        <f>IF($B26="yes",20,0)</f>
        <v>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2557</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602" t="s">
        <v>591</v>
      </c>
      <c r="C30" s="2602"/>
      <c r="D30" s="546"/>
      <c r="E30" s="2635" t="s">
        <v>2560</v>
      </c>
      <c r="F30" s="2636"/>
      <c r="G30" s="2636"/>
      <c r="H30" s="2636"/>
      <c r="I30" s="2636"/>
      <c r="J30" s="2636"/>
      <c r="K30" s="2636"/>
      <c r="L30" s="2636"/>
      <c r="M30" s="2636"/>
      <c r="N30" s="2636"/>
      <c r="O30" s="2636"/>
      <c r="P30" s="2636"/>
      <c r="Q30" s="2636"/>
      <c r="R30" s="2636"/>
      <c r="S30" s="2636"/>
      <c r="T30" s="2636"/>
      <c r="U30" s="2636"/>
      <c r="V30" s="2636"/>
      <c r="W30" s="2636"/>
      <c r="X30" s="2636"/>
      <c r="Y30" s="2636"/>
      <c r="Z30" s="2636"/>
      <c r="AA30" s="2636"/>
      <c r="AB30" s="2636"/>
      <c r="AC30" s="2636"/>
      <c r="AD30" s="2636"/>
      <c r="AE30" s="2636"/>
      <c r="AF30" s="2636"/>
      <c r="AG30" s="2636"/>
      <c r="AH30" s="2636"/>
      <c r="AI30" s="2636"/>
      <c r="AJ30" s="2637"/>
      <c r="AK30" s="540"/>
      <c r="AL30" s="540"/>
      <c r="AM30" s="540"/>
      <c r="AN30" s="535"/>
      <c r="AO30" s="549">
        <f>IF($B30="yes",9,0)</f>
        <v>0</v>
      </c>
    </row>
    <row r="31" spans="1:50" s="536" customFormat="1" ht="12.75" customHeight="1">
      <c r="A31" s="540"/>
      <c r="B31" s="540"/>
      <c r="C31" s="540"/>
      <c r="E31" s="2641"/>
      <c r="F31" s="2642"/>
      <c r="G31" s="2642"/>
      <c r="H31" s="2642"/>
      <c r="I31" s="2642"/>
      <c r="J31" s="2642"/>
      <c r="K31" s="2642"/>
      <c r="L31" s="2642"/>
      <c r="M31" s="2642"/>
      <c r="N31" s="2642"/>
      <c r="O31" s="2642"/>
      <c r="P31" s="2642"/>
      <c r="Q31" s="2642"/>
      <c r="R31" s="2642"/>
      <c r="S31" s="2642"/>
      <c r="T31" s="2642"/>
      <c r="U31" s="2642"/>
      <c r="V31" s="2642"/>
      <c r="W31" s="2642"/>
      <c r="X31" s="2642"/>
      <c r="Y31" s="2642"/>
      <c r="Z31" s="2642"/>
      <c r="AA31" s="2642"/>
      <c r="AB31" s="2642"/>
      <c r="AC31" s="2642"/>
      <c r="AD31" s="2642"/>
      <c r="AE31" s="2642"/>
      <c r="AF31" s="2642"/>
      <c r="AG31" s="2642"/>
      <c r="AH31" s="2642"/>
      <c r="AI31" s="2642"/>
      <c r="AJ31" s="2643"/>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602" t="s">
        <v>591</v>
      </c>
      <c r="C33" s="2602"/>
      <c r="D33" s="546"/>
      <c r="E33" s="2635" t="s">
        <v>2561</v>
      </c>
      <c r="F33" s="2636"/>
      <c r="G33" s="2636"/>
      <c r="H33" s="2636"/>
      <c r="I33" s="2636"/>
      <c r="J33" s="2636"/>
      <c r="K33" s="2636"/>
      <c r="L33" s="2636"/>
      <c r="M33" s="2636"/>
      <c r="N33" s="2636"/>
      <c r="O33" s="2636"/>
      <c r="P33" s="2636"/>
      <c r="Q33" s="2636"/>
      <c r="R33" s="2636"/>
      <c r="S33" s="2636"/>
      <c r="T33" s="2636"/>
      <c r="U33" s="2636"/>
      <c r="V33" s="2636"/>
      <c r="W33" s="2636"/>
      <c r="X33" s="2636"/>
      <c r="Y33" s="2636"/>
      <c r="Z33" s="2636"/>
      <c r="AA33" s="2636"/>
      <c r="AB33" s="2636"/>
      <c r="AC33" s="2636"/>
      <c r="AD33" s="2636"/>
      <c r="AE33" s="2636"/>
      <c r="AF33" s="2636"/>
      <c r="AG33" s="2636"/>
      <c r="AH33" s="2636"/>
      <c r="AI33" s="2636"/>
      <c r="AJ33" s="2637"/>
      <c r="AK33" s="540"/>
      <c r="AL33" s="540"/>
      <c r="AM33" s="540"/>
      <c r="AN33" s="535"/>
      <c r="AO33" s="549">
        <f>IF($B39="yes",9,0)</f>
        <v>0</v>
      </c>
    </row>
    <row r="34" spans="1:43" s="536" customFormat="1" ht="12.75" customHeight="1">
      <c r="A34" s="540"/>
      <c r="B34" s="540"/>
      <c r="C34" s="540"/>
      <c r="D34" s="546"/>
      <c r="E34" s="2638"/>
      <c r="F34" s="2639"/>
      <c r="G34" s="2639"/>
      <c r="H34" s="2639"/>
      <c r="I34" s="2639"/>
      <c r="J34" s="2639"/>
      <c r="K34" s="2639"/>
      <c r="L34" s="2639"/>
      <c r="M34" s="2639"/>
      <c r="N34" s="2639"/>
      <c r="O34" s="2639"/>
      <c r="P34" s="2639"/>
      <c r="Q34" s="2639"/>
      <c r="R34" s="2639"/>
      <c r="S34" s="2639"/>
      <c r="T34" s="2639"/>
      <c r="U34" s="2639"/>
      <c r="V34" s="2639"/>
      <c r="W34" s="2639"/>
      <c r="X34" s="2639"/>
      <c r="Y34" s="2639"/>
      <c r="Z34" s="2639"/>
      <c r="AA34" s="2639"/>
      <c r="AB34" s="2639"/>
      <c r="AC34" s="2639"/>
      <c r="AD34" s="2639"/>
      <c r="AE34" s="2639"/>
      <c r="AF34" s="2639"/>
      <c r="AG34" s="2639"/>
      <c r="AH34" s="2639"/>
      <c r="AI34" s="2639"/>
      <c r="AJ34" s="2640"/>
      <c r="AK34" s="540"/>
      <c r="AL34" s="540"/>
      <c r="AM34" s="540"/>
      <c r="AN34" s="535"/>
      <c r="AO34" s="536">
        <f>MAX(AO30,AO31,AO32,AO33)</f>
        <v>0</v>
      </c>
      <c r="AP34" s="536" t="s">
        <v>1305</v>
      </c>
    </row>
    <row r="35" spans="1:43" s="536" customFormat="1" ht="12.75" customHeight="1">
      <c r="A35" s="540"/>
      <c r="B35" s="540"/>
      <c r="C35" s="540"/>
      <c r="E35" s="2641"/>
      <c r="F35" s="2642"/>
      <c r="G35" s="2642"/>
      <c r="H35" s="2642"/>
      <c r="I35" s="2642"/>
      <c r="J35" s="2642"/>
      <c r="K35" s="2642"/>
      <c r="L35" s="2642"/>
      <c r="M35" s="2642"/>
      <c r="N35" s="2642"/>
      <c r="O35" s="2642"/>
      <c r="P35" s="2642"/>
      <c r="Q35" s="2642"/>
      <c r="R35" s="2642"/>
      <c r="S35" s="2642"/>
      <c r="T35" s="2642"/>
      <c r="U35" s="2642"/>
      <c r="V35" s="2642"/>
      <c r="W35" s="2642"/>
      <c r="X35" s="2642"/>
      <c r="Y35" s="2642"/>
      <c r="Z35" s="2642"/>
      <c r="AA35" s="2642"/>
      <c r="AB35" s="2642"/>
      <c r="AC35" s="2642"/>
      <c r="AD35" s="2642"/>
      <c r="AE35" s="2642"/>
      <c r="AF35" s="2642"/>
      <c r="AG35" s="2642"/>
      <c r="AH35" s="2642"/>
      <c r="AI35" s="2642"/>
      <c r="AJ35" s="2643"/>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602" t="s">
        <v>591</v>
      </c>
      <c r="C37" s="2602"/>
      <c r="D37" s="1136"/>
      <c r="E37" s="2628" t="s">
        <v>2565</v>
      </c>
      <c r="F37" s="2629"/>
      <c r="G37" s="2629"/>
      <c r="H37" s="2629"/>
      <c r="I37" s="2629"/>
      <c r="J37" s="2629"/>
      <c r="K37" s="2629"/>
      <c r="L37" s="2629"/>
      <c r="M37" s="2629"/>
      <c r="N37" s="2629"/>
      <c r="O37" s="2629"/>
      <c r="P37" s="2629"/>
      <c r="Q37" s="2629"/>
      <c r="R37" s="2629"/>
      <c r="S37" s="2629"/>
      <c r="T37" s="2629"/>
      <c r="U37" s="2629"/>
      <c r="V37" s="2629"/>
      <c r="W37" s="2629"/>
      <c r="X37" s="2629"/>
      <c r="Y37" s="2629"/>
      <c r="Z37" s="2629"/>
      <c r="AA37" s="2629"/>
      <c r="AB37" s="2629"/>
      <c r="AC37" s="2629"/>
      <c r="AD37" s="2629"/>
      <c r="AE37" s="2629"/>
      <c r="AF37" s="2629"/>
      <c r="AG37" s="2629"/>
      <c r="AH37" s="2629"/>
      <c r="AI37" s="2629"/>
      <c r="AJ37" s="2630"/>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602" t="s">
        <v>591</v>
      </c>
      <c r="C39" s="2602"/>
      <c r="D39" s="1136"/>
      <c r="E39" s="2628" t="s">
        <v>2562</v>
      </c>
      <c r="F39" s="2629"/>
      <c r="G39" s="2629"/>
      <c r="H39" s="2629"/>
      <c r="I39" s="2629"/>
      <c r="J39" s="2629"/>
      <c r="K39" s="2629"/>
      <c r="L39" s="2629"/>
      <c r="M39" s="2629"/>
      <c r="N39" s="2629"/>
      <c r="O39" s="2629"/>
      <c r="P39" s="2629"/>
      <c r="Q39" s="2629"/>
      <c r="R39" s="2629"/>
      <c r="S39" s="2629"/>
      <c r="T39" s="2629"/>
      <c r="U39" s="2629"/>
      <c r="V39" s="2629"/>
      <c r="W39" s="2629"/>
      <c r="X39" s="2629"/>
      <c r="Y39" s="2629"/>
      <c r="Z39" s="2629"/>
      <c r="AA39" s="2629"/>
      <c r="AB39" s="2629"/>
      <c r="AC39" s="2629"/>
      <c r="AD39" s="2629"/>
      <c r="AE39" s="2629"/>
      <c r="AF39" s="2629"/>
      <c r="AG39" s="2629"/>
      <c r="AH39" s="2629"/>
      <c r="AI39" s="2629"/>
      <c r="AJ39" s="2630"/>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2558</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602" t="s">
        <v>545</v>
      </c>
      <c r="C43" s="2602"/>
      <c r="D43" s="546"/>
      <c r="E43" s="2603" t="s">
        <v>2564</v>
      </c>
      <c r="F43" s="2604"/>
      <c r="G43" s="2604"/>
      <c r="H43" s="2604"/>
      <c r="I43" s="2604"/>
      <c r="J43" s="2604"/>
      <c r="K43" s="2604"/>
      <c r="L43" s="2604"/>
      <c r="M43" s="2604"/>
      <c r="N43" s="2604"/>
      <c r="O43" s="2604"/>
      <c r="P43" s="2604"/>
      <c r="Q43" s="2604"/>
      <c r="R43" s="2604"/>
      <c r="S43" s="2604"/>
      <c r="T43" s="2604"/>
      <c r="U43" s="2604"/>
      <c r="V43" s="2604"/>
      <c r="W43" s="2604"/>
      <c r="X43" s="2604"/>
      <c r="Y43" s="2604"/>
      <c r="Z43" s="2604"/>
      <c r="AA43" s="2604"/>
      <c r="AB43" s="2604"/>
      <c r="AC43" s="2604"/>
      <c r="AD43" s="2604"/>
      <c r="AE43" s="2604"/>
      <c r="AF43" s="2604"/>
      <c r="AG43" s="2604"/>
      <c r="AH43" s="2604"/>
      <c r="AI43" s="2604"/>
      <c r="AJ43" s="2605"/>
      <c r="AK43" s="540"/>
      <c r="AL43" s="540"/>
      <c r="AM43" s="540"/>
      <c r="AN43" s="535"/>
      <c r="AO43" s="549">
        <f>IF($B43="yes",8,0)</f>
        <v>8</v>
      </c>
      <c r="AP43" s="14"/>
    </row>
    <row r="44" spans="1:43" s="536" customFormat="1" ht="12.75" customHeight="1">
      <c r="A44" s="540"/>
      <c r="B44" s="540"/>
      <c r="C44" s="540"/>
      <c r="D44" s="550"/>
      <c r="E44" s="2644"/>
      <c r="F44" s="2645"/>
      <c r="G44" s="2645"/>
      <c r="H44" s="2645"/>
      <c r="I44" s="2645"/>
      <c r="J44" s="2645"/>
      <c r="K44" s="2645"/>
      <c r="L44" s="2645"/>
      <c r="M44" s="2645"/>
      <c r="N44" s="2645"/>
      <c r="O44" s="2645"/>
      <c r="P44" s="2645"/>
      <c r="Q44" s="2645"/>
      <c r="R44" s="2645"/>
      <c r="S44" s="2645"/>
      <c r="T44" s="2645"/>
      <c r="U44" s="2645"/>
      <c r="V44" s="2645"/>
      <c r="W44" s="2645"/>
      <c r="X44" s="2645"/>
      <c r="Y44" s="2645"/>
      <c r="Z44" s="2645"/>
      <c r="AA44" s="2645"/>
      <c r="AB44" s="2645"/>
      <c r="AC44" s="2645"/>
      <c r="AD44" s="2645"/>
      <c r="AE44" s="2645"/>
      <c r="AF44" s="2645"/>
      <c r="AG44" s="2645"/>
      <c r="AH44" s="2645"/>
      <c r="AI44" s="2645"/>
      <c r="AJ44" s="2646"/>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602" t="s">
        <v>591</v>
      </c>
      <c r="C46" s="2602"/>
      <c r="D46" s="546"/>
      <c r="E46" s="2635" t="s">
        <v>2563</v>
      </c>
      <c r="F46" s="2636"/>
      <c r="G46" s="2636"/>
      <c r="H46" s="2636"/>
      <c r="I46" s="2636"/>
      <c r="J46" s="2636"/>
      <c r="K46" s="2636"/>
      <c r="L46" s="2636"/>
      <c r="M46" s="2636"/>
      <c r="N46" s="2636"/>
      <c r="O46" s="2636"/>
      <c r="P46" s="2636"/>
      <c r="Q46" s="2636"/>
      <c r="R46" s="2636"/>
      <c r="S46" s="2636"/>
      <c r="T46" s="2636"/>
      <c r="U46" s="2636"/>
      <c r="V46" s="2636"/>
      <c r="W46" s="2636"/>
      <c r="X46" s="2636"/>
      <c r="Y46" s="2636"/>
      <c r="Z46" s="2636"/>
      <c r="AA46" s="2636"/>
      <c r="AB46" s="2636"/>
      <c r="AC46" s="2636"/>
      <c r="AD46" s="2636"/>
      <c r="AE46" s="2636"/>
      <c r="AF46" s="2636"/>
      <c r="AG46" s="2636"/>
      <c r="AH46" s="2636"/>
      <c r="AI46" s="2636"/>
      <c r="AJ46" s="2637"/>
      <c r="AK46" s="540"/>
      <c r="AL46" s="540"/>
      <c r="AM46" s="540"/>
      <c r="AN46" s="535"/>
      <c r="AO46" s="549">
        <f>IF($B52="yes",8,0)</f>
        <v>0</v>
      </c>
    </row>
    <row r="47" spans="1:43" s="536" customFormat="1" ht="12.75" customHeight="1">
      <c r="A47" s="540"/>
      <c r="B47" s="540"/>
      <c r="C47" s="540"/>
      <c r="D47" s="549"/>
      <c r="E47" s="2641"/>
      <c r="F47" s="2642"/>
      <c r="G47" s="2642"/>
      <c r="H47" s="2642"/>
      <c r="I47" s="2642"/>
      <c r="J47" s="2642"/>
      <c r="K47" s="2642"/>
      <c r="L47" s="2642"/>
      <c r="M47" s="2642"/>
      <c r="N47" s="2642"/>
      <c r="O47" s="2642"/>
      <c r="P47" s="2642"/>
      <c r="Q47" s="2642"/>
      <c r="R47" s="2642"/>
      <c r="S47" s="2642"/>
      <c r="T47" s="2642"/>
      <c r="U47" s="2642"/>
      <c r="V47" s="2642"/>
      <c r="W47" s="2642"/>
      <c r="X47" s="2642"/>
      <c r="Y47" s="2642"/>
      <c r="Z47" s="2642"/>
      <c r="AA47" s="2642"/>
      <c r="AB47" s="2642"/>
      <c r="AC47" s="2642"/>
      <c r="AD47" s="2642"/>
      <c r="AE47" s="2642"/>
      <c r="AF47" s="2642"/>
      <c r="AG47" s="2642"/>
      <c r="AH47" s="2642"/>
      <c r="AI47" s="2642"/>
      <c r="AJ47" s="2643"/>
      <c r="AK47" s="540"/>
      <c r="AL47" s="540"/>
      <c r="AM47" s="540"/>
      <c r="AN47" s="535"/>
      <c r="AO47" s="536">
        <f>MAX(AO43,AO44,AO45,AO46)</f>
        <v>8</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602" t="s">
        <v>591</v>
      </c>
      <c r="C49" s="2602"/>
      <c r="D49" s="546"/>
      <c r="E49" s="2463" t="s">
        <v>1994</v>
      </c>
      <c r="F49" s="2464"/>
      <c r="G49" s="2464"/>
      <c r="H49" s="2464"/>
      <c r="I49" s="2464"/>
      <c r="J49" s="2464"/>
      <c r="K49" s="2464"/>
      <c r="L49" s="2464"/>
      <c r="M49" s="2464"/>
      <c r="N49" s="2464"/>
      <c r="O49" s="2464"/>
      <c r="P49" s="2464"/>
      <c r="Q49" s="2464"/>
      <c r="R49" s="2464"/>
      <c r="S49" s="2464"/>
      <c r="T49" s="2464"/>
      <c r="U49" s="2464"/>
      <c r="V49" s="2464"/>
      <c r="W49" s="2464"/>
      <c r="X49" s="2464"/>
      <c r="Y49" s="2464"/>
      <c r="Z49" s="2464"/>
      <c r="AA49" s="2464"/>
      <c r="AB49" s="2464"/>
      <c r="AC49" s="2464"/>
      <c r="AD49" s="2464"/>
      <c r="AE49" s="2464"/>
      <c r="AF49" s="2464"/>
      <c r="AG49" s="2464"/>
      <c r="AH49" s="2464"/>
      <c r="AI49" s="2464"/>
      <c r="AJ49" s="2465"/>
      <c r="AK49" s="540"/>
      <c r="AL49" s="540"/>
      <c r="AM49" s="540"/>
      <c r="AN49" s="535"/>
      <c r="AO49" s="549"/>
    </row>
    <row r="50" spans="1:42" s="536" customFormat="1" ht="12.75" customHeight="1">
      <c r="A50" s="540"/>
      <c r="B50" s="540"/>
      <c r="C50" s="540"/>
      <c r="D50" s="549"/>
      <c r="E50" s="2619"/>
      <c r="F50" s="2620"/>
      <c r="G50" s="2620"/>
      <c r="H50" s="2620"/>
      <c r="I50" s="2620"/>
      <c r="J50" s="2620"/>
      <c r="K50" s="2620"/>
      <c r="L50" s="2620"/>
      <c r="M50" s="2620"/>
      <c r="N50" s="2620"/>
      <c r="O50" s="2620"/>
      <c r="P50" s="2620"/>
      <c r="Q50" s="2620"/>
      <c r="R50" s="2620"/>
      <c r="S50" s="2620"/>
      <c r="T50" s="2620"/>
      <c r="U50" s="2620"/>
      <c r="V50" s="2620"/>
      <c r="W50" s="2620"/>
      <c r="X50" s="2620"/>
      <c r="Y50" s="2620"/>
      <c r="Z50" s="2620"/>
      <c r="AA50" s="2620"/>
      <c r="AB50" s="2620"/>
      <c r="AC50" s="2620"/>
      <c r="AD50" s="2620"/>
      <c r="AE50" s="2620"/>
      <c r="AF50" s="2620"/>
      <c r="AG50" s="2620"/>
      <c r="AH50" s="2620"/>
      <c r="AI50" s="2620"/>
      <c r="AJ50" s="2621"/>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602" t="s">
        <v>591</v>
      </c>
      <c r="C52" s="2602"/>
      <c r="D52" s="546"/>
      <c r="E52" s="2628" t="s">
        <v>2203</v>
      </c>
      <c r="F52" s="2629"/>
      <c r="G52" s="2629"/>
      <c r="H52" s="2629"/>
      <c r="I52" s="2629"/>
      <c r="J52" s="2629"/>
      <c r="K52" s="2629"/>
      <c r="L52" s="2629"/>
      <c r="M52" s="2629"/>
      <c r="N52" s="2629"/>
      <c r="O52" s="2629"/>
      <c r="P52" s="2629"/>
      <c r="Q52" s="2629"/>
      <c r="R52" s="2629"/>
      <c r="S52" s="2629"/>
      <c r="T52" s="2629"/>
      <c r="U52" s="2629"/>
      <c r="V52" s="2629"/>
      <c r="W52" s="2629"/>
      <c r="X52" s="2629"/>
      <c r="Y52" s="2629"/>
      <c r="Z52" s="2629"/>
      <c r="AA52" s="2629"/>
      <c r="AB52" s="2629"/>
      <c r="AC52" s="2629"/>
      <c r="AD52" s="2629"/>
      <c r="AE52" s="2629"/>
      <c r="AF52" s="2629"/>
      <c r="AG52" s="2629"/>
      <c r="AH52" s="2629"/>
      <c r="AI52" s="2629"/>
      <c r="AJ52" s="2630"/>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2559</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602" t="s">
        <v>591</v>
      </c>
      <c r="C56" s="2602"/>
      <c r="D56" s="546"/>
      <c r="E56" s="2463" t="s">
        <v>2566</v>
      </c>
      <c r="F56" s="2464"/>
      <c r="G56" s="2464"/>
      <c r="H56" s="2464"/>
      <c r="I56" s="2464"/>
      <c r="J56" s="2464"/>
      <c r="K56" s="2464"/>
      <c r="L56" s="2464"/>
      <c r="M56" s="2464"/>
      <c r="N56" s="2464"/>
      <c r="O56" s="2464"/>
      <c r="P56" s="2464"/>
      <c r="Q56" s="2464"/>
      <c r="R56" s="2464"/>
      <c r="S56" s="2464"/>
      <c r="T56" s="2464"/>
      <c r="U56" s="2464"/>
      <c r="V56" s="2464"/>
      <c r="W56" s="2464"/>
      <c r="X56" s="2464"/>
      <c r="Y56" s="2464"/>
      <c r="Z56" s="2464"/>
      <c r="AA56" s="2464"/>
      <c r="AB56" s="2464"/>
      <c r="AC56" s="2464"/>
      <c r="AD56" s="2464"/>
      <c r="AE56" s="2464"/>
      <c r="AF56" s="2464"/>
      <c r="AG56" s="2464"/>
      <c r="AH56" s="2464"/>
      <c r="AI56" s="2464"/>
      <c r="AJ56" s="2465"/>
      <c r="AK56" s="540"/>
      <c r="AL56" s="540"/>
      <c r="AM56" s="540"/>
      <c r="AN56" s="535"/>
      <c r="AO56" s="549">
        <f>IF($B59="yes",7,0)</f>
        <v>0</v>
      </c>
    </row>
    <row r="57" spans="1:42" s="536" customFormat="1" ht="12.75" customHeight="1">
      <c r="A57" s="540"/>
      <c r="B57" s="540"/>
      <c r="C57" s="540"/>
      <c r="D57" s="549"/>
      <c r="E57" s="2619"/>
      <c r="F57" s="2620"/>
      <c r="G57" s="2620"/>
      <c r="H57" s="2620"/>
      <c r="I57" s="2620"/>
      <c r="J57" s="2620"/>
      <c r="K57" s="2620"/>
      <c r="L57" s="2620"/>
      <c r="M57" s="2620"/>
      <c r="N57" s="2620"/>
      <c r="O57" s="2620"/>
      <c r="P57" s="2620"/>
      <c r="Q57" s="2620"/>
      <c r="R57" s="2620"/>
      <c r="S57" s="2620"/>
      <c r="T57" s="2620"/>
      <c r="U57" s="2620"/>
      <c r="V57" s="2620"/>
      <c r="W57" s="2620"/>
      <c r="X57" s="2620"/>
      <c r="Y57" s="2620"/>
      <c r="Z57" s="2620"/>
      <c r="AA57" s="2620"/>
      <c r="AB57" s="2620"/>
      <c r="AC57" s="2620"/>
      <c r="AD57" s="2620"/>
      <c r="AE57" s="2620"/>
      <c r="AF57" s="2620"/>
      <c r="AG57" s="2620"/>
      <c r="AH57" s="2620"/>
      <c r="AI57" s="2620"/>
      <c r="AJ57" s="2621"/>
      <c r="AK57" s="540"/>
      <c r="AL57" s="540"/>
      <c r="AM57" s="540"/>
      <c r="AN57" s="535"/>
      <c r="AO57" s="536">
        <f>MAX(AO55:AO56)</f>
        <v>0</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602" t="s">
        <v>591</v>
      </c>
      <c r="C59" s="2602"/>
      <c r="D59" s="546"/>
      <c r="E59" s="2628" t="s">
        <v>2567</v>
      </c>
      <c r="F59" s="2629"/>
      <c r="G59" s="2629"/>
      <c r="H59" s="2629"/>
      <c r="I59" s="2629"/>
      <c r="J59" s="2629"/>
      <c r="K59" s="2629"/>
      <c r="L59" s="2629"/>
      <c r="M59" s="2629"/>
      <c r="N59" s="2629"/>
      <c r="O59" s="2629"/>
      <c r="P59" s="2629"/>
      <c r="Q59" s="2629"/>
      <c r="R59" s="2629"/>
      <c r="S59" s="2629"/>
      <c r="T59" s="2629"/>
      <c r="U59" s="2629"/>
      <c r="V59" s="2629"/>
      <c r="W59" s="2629"/>
      <c r="X59" s="2629"/>
      <c r="Y59" s="2629"/>
      <c r="Z59" s="2629"/>
      <c r="AA59" s="2629"/>
      <c r="AB59" s="2629"/>
      <c r="AC59" s="2629"/>
      <c r="AD59" s="2629"/>
      <c r="AE59" s="2629"/>
      <c r="AF59" s="2629"/>
      <c r="AG59" s="2629"/>
      <c r="AH59" s="2629"/>
      <c r="AI59" s="2629"/>
      <c r="AJ59" s="2630"/>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IF(AO26&gt;0,AO26,SUM(AO21,MAX(AO34,AO47,AO57)))</f>
        <v>18</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2568</v>
      </c>
      <c r="AK61" s="2594">
        <f>AO60</f>
        <v>18</v>
      </c>
      <c r="AL61" s="2595"/>
      <c r="AM61" s="2596"/>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60" t="s">
        <v>1308</v>
      </c>
      <c r="AF64" s="2460"/>
      <c r="AG64" s="2460"/>
      <c r="AH64" s="2460"/>
      <c r="AI64" s="2460"/>
      <c r="AJ64" s="2460"/>
      <c r="AK64" s="2460"/>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602" t="s">
        <v>591</v>
      </c>
      <c r="C67" s="2602"/>
      <c r="D67" s="546" t="s">
        <v>1309</v>
      </c>
      <c r="E67" s="2603" t="s">
        <v>1981</v>
      </c>
      <c r="F67" s="2604"/>
      <c r="G67" s="2604"/>
      <c r="H67" s="2604"/>
      <c r="I67" s="2604"/>
      <c r="J67" s="2604"/>
      <c r="K67" s="2604"/>
      <c r="L67" s="2604"/>
      <c r="M67" s="2604"/>
      <c r="N67" s="2604"/>
      <c r="O67" s="2604"/>
      <c r="P67" s="2604"/>
      <c r="Q67" s="2604"/>
      <c r="R67" s="2604"/>
      <c r="S67" s="2604"/>
      <c r="T67" s="2604"/>
      <c r="U67" s="2604"/>
      <c r="V67" s="2604"/>
      <c r="W67" s="2604"/>
      <c r="X67" s="2604"/>
      <c r="Y67" s="2604"/>
      <c r="Z67" s="2604"/>
      <c r="AA67" s="2604"/>
      <c r="AB67" s="2604"/>
      <c r="AC67" s="2604"/>
      <c r="AD67" s="2604"/>
      <c r="AE67" s="2604"/>
      <c r="AF67" s="2604"/>
      <c r="AG67" s="2604"/>
      <c r="AH67" s="2604"/>
      <c r="AI67" s="2604"/>
      <c r="AJ67" s="2605"/>
      <c r="AK67" s="543"/>
      <c r="AL67" s="540"/>
      <c r="AM67" s="540"/>
      <c r="AN67" s="535"/>
      <c r="AO67" s="549">
        <f>IF($B67="yes",10,0)</f>
        <v>0</v>
      </c>
    </row>
    <row r="68" spans="1:42" s="536" customFormat="1" ht="12.75" customHeight="1">
      <c r="A68" s="538"/>
      <c r="B68" s="540"/>
      <c r="C68" s="540"/>
      <c r="D68" s="550"/>
      <c r="E68" s="2606"/>
      <c r="F68" s="2607"/>
      <c r="G68" s="2607"/>
      <c r="H68" s="2607"/>
      <c r="I68" s="2607"/>
      <c r="J68" s="2607"/>
      <c r="K68" s="2607"/>
      <c r="L68" s="2607"/>
      <c r="M68" s="2607"/>
      <c r="N68" s="2607"/>
      <c r="O68" s="2607"/>
      <c r="P68" s="2607"/>
      <c r="Q68" s="2607"/>
      <c r="R68" s="2607"/>
      <c r="S68" s="2607"/>
      <c r="T68" s="2607"/>
      <c r="U68" s="2607"/>
      <c r="V68" s="2607"/>
      <c r="W68" s="2607"/>
      <c r="X68" s="2607"/>
      <c r="Y68" s="2607"/>
      <c r="Z68" s="2607"/>
      <c r="AA68" s="2607"/>
      <c r="AB68" s="2607"/>
      <c r="AC68" s="2607"/>
      <c r="AD68" s="2607"/>
      <c r="AE68" s="2607"/>
      <c r="AF68" s="2607"/>
      <c r="AG68" s="2607"/>
      <c r="AH68" s="2607"/>
      <c r="AI68" s="2607"/>
      <c r="AJ68" s="2608"/>
      <c r="AK68" s="543"/>
      <c r="AL68" s="540"/>
      <c r="AM68" s="540"/>
      <c r="AN68" s="535"/>
      <c r="AO68" s="549">
        <f>IF(AND($B73="yes",OR(E74="Yes",E75="Yes",E76="Yes")),10,0)</f>
        <v>0</v>
      </c>
    </row>
    <row r="69" spans="1:42" s="536" customFormat="1" ht="12.75" customHeight="1">
      <c r="A69" s="538"/>
      <c r="B69" s="540"/>
      <c r="C69" s="540"/>
      <c r="D69" s="550"/>
      <c r="E69" s="2606"/>
      <c r="F69" s="2607"/>
      <c r="G69" s="2607"/>
      <c r="H69" s="2607"/>
      <c r="I69" s="2607"/>
      <c r="J69" s="2607"/>
      <c r="K69" s="2607"/>
      <c r="L69" s="2607"/>
      <c r="M69" s="2607"/>
      <c r="N69" s="2607"/>
      <c r="O69" s="2607"/>
      <c r="P69" s="2607"/>
      <c r="Q69" s="2607"/>
      <c r="R69" s="2607"/>
      <c r="S69" s="2607"/>
      <c r="T69" s="2607"/>
      <c r="U69" s="2607"/>
      <c r="V69" s="2607"/>
      <c r="W69" s="2607"/>
      <c r="X69" s="2607"/>
      <c r="Y69" s="2607"/>
      <c r="Z69" s="2607"/>
      <c r="AA69" s="2607"/>
      <c r="AB69" s="2607"/>
      <c r="AC69" s="2607"/>
      <c r="AD69" s="2607"/>
      <c r="AE69" s="2607"/>
      <c r="AF69" s="2607"/>
      <c r="AG69" s="2607"/>
      <c r="AH69" s="2607"/>
      <c r="AI69" s="2607"/>
      <c r="AJ69" s="2608"/>
      <c r="AK69" s="543"/>
      <c r="AL69" s="540"/>
      <c r="AM69" s="540"/>
      <c r="AN69" s="535"/>
      <c r="AO69" s="549">
        <f>IF($B78="yes",10,0)</f>
        <v>0</v>
      </c>
    </row>
    <row r="70" spans="1:42" s="536" customFormat="1" ht="12.75" customHeight="1">
      <c r="A70" s="538"/>
      <c r="B70" s="540"/>
      <c r="C70" s="540"/>
      <c r="D70" s="550"/>
      <c r="E70" s="2606"/>
      <c r="F70" s="2607"/>
      <c r="G70" s="2607"/>
      <c r="H70" s="2607"/>
      <c r="I70" s="2607"/>
      <c r="J70" s="2607"/>
      <c r="K70" s="2607"/>
      <c r="L70" s="2607"/>
      <c r="M70" s="2607"/>
      <c r="N70" s="2607"/>
      <c r="O70" s="2607"/>
      <c r="P70" s="2607"/>
      <c r="Q70" s="2607"/>
      <c r="R70" s="2607"/>
      <c r="S70" s="2607"/>
      <c r="T70" s="2607"/>
      <c r="U70" s="2607"/>
      <c r="V70" s="2607"/>
      <c r="W70" s="2607"/>
      <c r="X70" s="2607"/>
      <c r="Y70" s="2607"/>
      <c r="Z70" s="2607"/>
      <c r="AA70" s="2607"/>
      <c r="AB70" s="2607"/>
      <c r="AC70" s="2607"/>
      <c r="AD70" s="2607"/>
      <c r="AE70" s="2607"/>
      <c r="AF70" s="2607"/>
      <c r="AG70" s="2607"/>
      <c r="AH70" s="2607"/>
      <c r="AI70" s="2607"/>
      <c r="AJ70" s="2608"/>
      <c r="AK70" s="543"/>
      <c r="AL70" s="540"/>
      <c r="AM70" s="540"/>
      <c r="AN70" s="535"/>
      <c r="AO70" s="549">
        <f>IF($B81="yes",10,0)</f>
        <v>0</v>
      </c>
    </row>
    <row r="71" spans="1:42" s="536" customFormat="1" ht="12.75" customHeight="1">
      <c r="A71" s="538"/>
      <c r="B71" s="540"/>
      <c r="C71" s="540"/>
      <c r="D71" s="550"/>
      <c r="E71" s="2644"/>
      <c r="F71" s="2645"/>
      <c r="G71" s="2645"/>
      <c r="H71" s="2645"/>
      <c r="I71" s="2645"/>
      <c r="J71" s="2645"/>
      <c r="K71" s="2645"/>
      <c r="L71" s="2645"/>
      <c r="M71" s="2645"/>
      <c r="N71" s="2645"/>
      <c r="O71" s="2645"/>
      <c r="P71" s="2645"/>
      <c r="Q71" s="2645"/>
      <c r="R71" s="2645"/>
      <c r="S71" s="2645"/>
      <c r="T71" s="2645"/>
      <c r="U71" s="2645"/>
      <c r="V71" s="2645"/>
      <c r="W71" s="2645"/>
      <c r="X71" s="2645"/>
      <c r="Y71" s="2645"/>
      <c r="Z71" s="2645"/>
      <c r="AA71" s="2645"/>
      <c r="AB71" s="2645"/>
      <c r="AC71" s="2645"/>
      <c r="AD71" s="2645"/>
      <c r="AE71" s="2645"/>
      <c r="AF71" s="2645"/>
      <c r="AG71" s="2645"/>
      <c r="AH71" s="2645"/>
      <c r="AI71" s="2645"/>
      <c r="AJ71" s="2646"/>
      <c r="AK71" s="543"/>
      <c r="AL71" s="540"/>
      <c r="AM71" s="540"/>
      <c r="AN71" s="535"/>
      <c r="AO71" s="536">
        <f>IF(SUM(AO67:AO69)&gt;10,10,(SUM(AO67:AO69)))</f>
        <v>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602" t="s">
        <v>591</v>
      </c>
      <c r="C73" s="2602"/>
      <c r="D73" s="546" t="s">
        <v>1311</v>
      </c>
      <c r="E73" s="967" t="s">
        <v>1713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50" t="s">
        <v>591</v>
      </c>
      <c r="F74" s="2602"/>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48" t="s">
        <v>591</v>
      </c>
      <c r="F75" s="2649"/>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48" t="s">
        <v>591</v>
      </c>
      <c r="F76" s="2649"/>
      <c r="G76" s="902"/>
      <c r="H76" s="1199" t="s">
        <v>1728</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602" t="s">
        <v>591</v>
      </c>
      <c r="C78" s="2602"/>
      <c r="D78" s="546" t="s">
        <v>1314</v>
      </c>
      <c r="E78" s="2463" t="s">
        <v>1729</v>
      </c>
      <c r="F78" s="2464"/>
      <c r="G78" s="2464"/>
      <c r="H78" s="2464"/>
      <c r="I78" s="2464"/>
      <c r="J78" s="2464"/>
      <c r="K78" s="2464"/>
      <c r="L78" s="2464"/>
      <c r="M78" s="2464"/>
      <c r="N78" s="2464"/>
      <c r="O78" s="2464"/>
      <c r="P78" s="2464"/>
      <c r="Q78" s="2464"/>
      <c r="R78" s="2464"/>
      <c r="S78" s="2464"/>
      <c r="T78" s="2464"/>
      <c r="U78" s="2464"/>
      <c r="V78" s="2464"/>
      <c r="W78" s="2464"/>
      <c r="X78" s="2464"/>
      <c r="Y78" s="2464"/>
      <c r="Z78" s="2464"/>
      <c r="AA78" s="2464"/>
      <c r="AB78" s="2464"/>
      <c r="AC78" s="2464"/>
      <c r="AD78" s="2464"/>
      <c r="AE78" s="2464"/>
      <c r="AF78" s="2464"/>
      <c r="AG78" s="2464"/>
      <c r="AH78" s="2464"/>
      <c r="AI78" s="2464"/>
      <c r="AJ78" s="2465"/>
      <c r="AK78" s="543"/>
      <c r="AL78" s="540"/>
      <c r="AM78" s="540"/>
      <c r="AN78" s="535"/>
    </row>
    <row r="79" spans="1:42" s="536" customFormat="1" ht="12.75" customHeight="1">
      <c r="A79" s="538"/>
      <c r="B79" s="540"/>
      <c r="C79" s="540"/>
      <c r="E79" s="2619"/>
      <c r="F79" s="2620"/>
      <c r="G79" s="2620"/>
      <c r="H79" s="2620"/>
      <c r="I79" s="2620"/>
      <c r="J79" s="2620"/>
      <c r="K79" s="2620"/>
      <c r="L79" s="2620"/>
      <c r="M79" s="2620"/>
      <c r="N79" s="2620"/>
      <c r="O79" s="2620"/>
      <c r="P79" s="2620"/>
      <c r="Q79" s="2620"/>
      <c r="R79" s="2620"/>
      <c r="S79" s="2620"/>
      <c r="T79" s="2620"/>
      <c r="U79" s="2620"/>
      <c r="V79" s="2620"/>
      <c r="W79" s="2620"/>
      <c r="X79" s="2620"/>
      <c r="Y79" s="2620"/>
      <c r="Z79" s="2620"/>
      <c r="AA79" s="2620"/>
      <c r="AB79" s="2620"/>
      <c r="AC79" s="2620"/>
      <c r="AD79" s="2620"/>
      <c r="AE79" s="2620"/>
      <c r="AF79" s="2620"/>
      <c r="AG79" s="2620"/>
      <c r="AH79" s="2620"/>
      <c r="AI79" s="2620"/>
      <c r="AJ79" s="2621"/>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602" t="s">
        <v>591</v>
      </c>
      <c r="C81" s="2602"/>
      <c r="D81" s="546" t="s">
        <v>1461</v>
      </c>
      <c r="E81" s="2628" t="s">
        <v>1727</v>
      </c>
      <c r="F81" s="2629"/>
      <c r="G81" s="2629"/>
      <c r="H81" s="2629"/>
      <c r="I81" s="2629"/>
      <c r="J81" s="2629"/>
      <c r="K81" s="2629"/>
      <c r="L81" s="2629"/>
      <c r="M81" s="2629"/>
      <c r="N81" s="2629"/>
      <c r="O81" s="2629"/>
      <c r="P81" s="2629"/>
      <c r="Q81" s="2629"/>
      <c r="R81" s="2629"/>
      <c r="S81" s="2629"/>
      <c r="T81" s="2629"/>
      <c r="U81" s="2629"/>
      <c r="V81" s="2629"/>
      <c r="W81" s="2629"/>
      <c r="X81" s="2629"/>
      <c r="Y81" s="2629"/>
      <c r="Z81" s="2629"/>
      <c r="AA81" s="2629"/>
      <c r="AB81" s="2629"/>
      <c r="AC81" s="2629"/>
      <c r="AD81" s="2629"/>
      <c r="AE81" s="2629"/>
      <c r="AF81" s="2629"/>
      <c r="AG81" s="2629"/>
      <c r="AH81" s="2629"/>
      <c r="AI81" s="2629"/>
      <c r="AJ81" s="2630"/>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2594">
        <f>IF(AK61&gt;0,0,AO71)</f>
        <v>0</v>
      </c>
      <c r="AL83" s="2595"/>
      <c r="AM83" s="2596"/>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60" t="s">
        <v>1303</v>
      </c>
      <c r="AF86" s="2460"/>
      <c r="AG86" s="2460"/>
      <c r="AH86" s="2460"/>
      <c r="AI86" s="2460"/>
      <c r="AJ86" s="2460"/>
      <c r="AK86" s="2460"/>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602" t="s">
        <v>591</v>
      </c>
      <c r="C89" s="2602"/>
      <c r="D89" s="546" t="s">
        <v>1309</v>
      </c>
      <c r="E89" s="2603" t="s">
        <v>1319</v>
      </c>
      <c r="F89" s="2604"/>
      <c r="G89" s="2604"/>
      <c r="H89" s="2604"/>
      <c r="I89" s="2604"/>
      <c r="J89" s="2604"/>
      <c r="K89" s="2604"/>
      <c r="L89" s="2604"/>
      <c r="M89" s="2604"/>
      <c r="N89" s="2604"/>
      <c r="O89" s="2604"/>
      <c r="P89" s="2604"/>
      <c r="Q89" s="2604"/>
      <c r="R89" s="2604"/>
      <c r="S89" s="2604"/>
      <c r="T89" s="2604"/>
      <c r="U89" s="2604"/>
      <c r="V89" s="2604"/>
      <c r="W89" s="2604"/>
      <c r="X89" s="2604"/>
      <c r="Y89" s="2604"/>
      <c r="Z89" s="2604"/>
      <c r="AA89" s="2604"/>
      <c r="AB89" s="2604"/>
      <c r="AC89" s="2604"/>
      <c r="AD89" s="2604"/>
      <c r="AE89" s="2604"/>
      <c r="AF89" s="2604"/>
      <c r="AG89" s="2604"/>
      <c r="AH89" s="2604"/>
      <c r="AI89" s="2604"/>
      <c r="AJ89" s="2605"/>
      <c r="AK89" s="543"/>
      <c r="AL89" s="540"/>
      <c r="AM89" s="540"/>
      <c r="AN89" s="535"/>
    </row>
    <row r="90" spans="1:43" s="536" customFormat="1" ht="12.75" customHeight="1">
      <c r="A90" s="538"/>
      <c r="B90" s="539"/>
      <c r="C90" s="539"/>
      <c r="D90" s="539"/>
      <c r="E90" s="2606"/>
      <c r="F90" s="2607"/>
      <c r="G90" s="2607"/>
      <c r="H90" s="2607"/>
      <c r="I90" s="2607"/>
      <c r="J90" s="2607"/>
      <c r="K90" s="2607"/>
      <c r="L90" s="2607"/>
      <c r="M90" s="2607"/>
      <c r="N90" s="2607"/>
      <c r="O90" s="2607"/>
      <c r="P90" s="2607"/>
      <c r="Q90" s="2607"/>
      <c r="R90" s="2607"/>
      <c r="S90" s="2607"/>
      <c r="T90" s="2607"/>
      <c r="U90" s="2607"/>
      <c r="V90" s="2607"/>
      <c r="W90" s="2607"/>
      <c r="X90" s="2607"/>
      <c r="Y90" s="2607"/>
      <c r="Z90" s="2607"/>
      <c r="AA90" s="2607"/>
      <c r="AB90" s="2607"/>
      <c r="AC90" s="2607"/>
      <c r="AD90" s="2607"/>
      <c r="AE90" s="2607"/>
      <c r="AF90" s="2607"/>
      <c r="AG90" s="2607"/>
      <c r="AH90" s="2607"/>
      <c r="AI90" s="2607"/>
      <c r="AJ90" s="2608"/>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15">
        <f>Application!AC761</f>
        <v>0.55844155844155841</v>
      </c>
      <c r="F92" s="2616"/>
      <c r="G92" s="2616"/>
      <c r="H92" s="2616"/>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47">
        <f>0.6-ROUNDUP(E92,2)</f>
        <v>3.9999999999999925E-2</v>
      </c>
      <c r="F93" s="2434"/>
      <c r="G93" s="2434"/>
      <c r="H93" s="2434"/>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26">
        <f>IF(E93*200&gt;20,20,E93*200)</f>
        <v>7.9999999999999849</v>
      </c>
      <c r="F94" s="2627"/>
      <c r="G94" s="2627"/>
      <c r="H94" s="2627"/>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602" t="s">
        <v>545</v>
      </c>
      <c r="C97" s="2602"/>
      <c r="D97" s="546" t="s">
        <v>1311</v>
      </c>
      <c r="E97" s="2603" t="s">
        <v>1714</v>
      </c>
      <c r="F97" s="2604"/>
      <c r="G97" s="2604"/>
      <c r="H97" s="2604"/>
      <c r="I97" s="2604"/>
      <c r="J97" s="2604"/>
      <c r="K97" s="2604"/>
      <c r="L97" s="2604"/>
      <c r="M97" s="2604"/>
      <c r="N97" s="2604"/>
      <c r="O97" s="2604"/>
      <c r="P97" s="2604"/>
      <c r="Q97" s="2604"/>
      <c r="R97" s="2604"/>
      <c r="S97" s="2604"/>
      <c r="T97" s="2604"/>
      <c r="U97" s="2604"/>
      <c r="V97" s="2604"/>
      <c r="W97" s="2604"/>
      <c r="X97" s="2604"/>
      <c r="Y97" s="2604"/>
      <c r="Z97" s="2604"/>
      <c r="AA97" s="2604"/>
      <c r="AB97" s="2604"/>
      <c r="AC97" s="2604"/>
      <c r="AD97" s="2604"/>
      <c r="AE97" s="2604"/>
      <c r="AF97" s="2604"/>
      <c r="AG97" s="2604"/>
      <c r="AH97" s="2604"/>
      <c r="AI97" s="2604"/>
      <c r="AJ97" s="2605"/>
      <c r="AK97" s="543"/>
      <c r="AL97" s="540"/>
      <c r="AM97" s="540"/>
      <c r="AN97" s="535"/>
    </row>
    <row r="98" spans="1:47" s="536" customFormat="1" ht="12.75" customHeight="1">
      <c r="A98" s="538"/>
      <c r="B98" s="539"/>
      <c r="C98" s="539"/>
      <c r="D98" s="539"/>
      <c r="E98" s="2606"/>
      <c r="F98" s="2607"/>
      <c r="G98" s="2607"/>
      <c r="H98" s="2607"/>
      <c r="I98" s="2607"/>
      <c r="J98" s="2607"/>
      <c r="K98" s="2607"/>
      <c r="L98" s="2607"/>
      <c r="M98" s="2607"/>
      <c r="N98" s="2607"/>
      <c r="O98" s="2607"/>
      <c r="P98" s="2607"/>
      <c r="Q98" s="2607"/>
      <c r="R98" s="2607"/>
      <c r="S98" s="2607"/>
      <c r="T98" s="2607"/>
      <c r="U98" s="2607"/>
      <c r="V98" s="2607"/>
      <c r="W98" s="2607"/>
      <c r="X98" s="2607"/>
      <c r="Y98" s="2607"/>
      <c r="Z98" s="2607"/>
      <c r="AA98" s="2607"/>
      <c r="AB98" s="2607"/>
      <c r="AC98" s="2607"/>
      <c r="AD98" s="2607"/>
      <c r="AE98" s="2607"/>
      <c r="AF98" s="2607"/>
      <c r="AG98" s="2607"/>
      <c r="AH98" s="2607"/>
      <c r="AI98" s="2607"/>
      <c r="AJ98" s="2608"/>
      <c r="AK98" s="543"/>
      <c r="AL98" s="540"/>
      <c r="AM98" s="540"/>
      <c r="AN98" s="535"/>
    </row>
    <row r="99" spans="1:47" s="536" customFormat="1" ht="12.75" customHeight="1">
      <c r="A99" s="538"/>
      <c r="B99" s="539"/>
      <c r="C99" s="539"/>
      <c r="D99" s="539"/>
      <c r="E99" s="2606"/>
      <c r="F99" s="2607"/>
      <c r="G99" s="2607"/>
      <c r="H99" s="2607"/>
      <c r="I99" s="2607"/>
      <c r="J99" s="2607"/>
      <c r="K99" s="2607"/>
      <c r="L99" s="2607"/>
      <c r="M99" s="2607"/>
      <c r="N99" s="2607"/>
      <c r="O99" s="2607"/>
      <c r="P99" s="2607"/>
      <c r="Q99" s="2607"/>
      <c r="R99" s="2607"/>
      <c r="S99" s="2607"/>
      <c r="T99" s="2607"/>
      <c r="U99" s="2607"/>
      <c r="V99" s="2607"/>
      <c r="W99" s="2607"/>
      <c r="X99" s="2607"/>
      <c r="Y99" s="2607"/>
      <c r="Z99" s="2607"/>
      <c r="AA99" s="2607"/>
      <c r="AB99" s="2607"/>
      <c r="AC99" s="2607"/>
      <c r="AD99" s="2607"/>
      <c r="AE99" s="2607"/>
      <c r="AF99" s="2607"/>
      <c r="AG99" s="2607"/>
      <c r="AH99" s="2607"/>
      <c r="AI99" s="2607"/>
      <c r="AJ99" s="2608"/>
      <c r="AK99" s="543"/>
      <c r="AL99" s="540"/>
      <c r="AM99" s="540"/>
      <c r="AN99" s="535"/>
    </row>
    <row r="100" spans="1:47" s="536" customFormat="1" ht="12.75" customHeight="1">
      <c r="A100" s="538"/>
      <c r="B100" s="539"/>
      <c r="C100" s="539"/>
      <c r="D100" s="539"/>
      <c r="E100" s="2606"/>
      <c r="F100" s="2607"/>
      <c r="G100" s="2607"/>
      <c r="H100" s="2607"/>
      <c r="I100" s="2607"/>
      <c r="J100" s="2607"/>
      <c r="K100" s="2607"/>
      <c r="L100" s="2607"/>
      <c r="M100" s="2607"/>
      <c r="N100" s="2607"/>
      <c r="O100" s="2607"/>
      <c r="P100" s="2607"/>
      <c r="Q100" s="2607"/>
      <c r="R100" s="2607"/>
      <c r="S100" s="2607"/>
      <c r="T100" s="2607"/>
      <c r="U100" s="2607"/>
      <c r="V100" s="2607"/>
      <c r="W100" s="2607"/>
      <c r="X100" s="2607"/>
      <c r="Y100" s="2607"/>
      <c r="Z100" s="2607"/>
      <c r="AA100" s="2607"/>
      <c r="AB100" s="2607"/>
      <c r="AC100" s="2607"/>
      <c r="AD100" s="2607"/>
      <c r="AE100" s="2607"/>
      <c r="AF100" s="2607"/>
      <c r="AG100" s="2607"/>
      <c r="AH100" s="2607"/>
      <c r="AI100" s="2607"/>
      <c r="AJ100" s="2608"/>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15">
        <f>Application!AC761</f>
        <v>0.55844155844155841</v>
      </c>
      <c r="F102" s="2616"/>
      <c r="G102" s="2616"/>
      <c r="H102" s="2616"/>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15">
        <f ca="1">SUMIF(Application!AC726:AG760,0.2,Application!G726:J760)/Application!G761+SUMIF(Application!AC726:AG760,0.25,Application!G726:J760)/Application!G761+SUMIF(Application!AC726:AG760,0.3,Application!G726:J760)/Application!G761</f>
        <v>0.1038961038961039</v>
      </c>
      <c r="F103" s="2616"/>
      <c r="G103" s="2616"/>
      <c r="H103" s="2616"/>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15">
        <f ca="1">SUMIF(Application!AC726:AG760,0.35,Application!G726:J760)/Application!G761+SUMIF(Application!AC726:AG760,0.4,Application!G726:J760)/Application!G761+SUMIF(Application!AC726:AG760,0.45,Application!G726:J760)/Application!G761+SUMIF(Application!AC726:AG760,0.5,Application!G726:J760)/Application!G761</f>
        <v>0.1038961038961039</v>
      </c>
      <c r="F104" s="2616"/>
      <c r="G104" s="2616"/>
      <c r="H104" s="2616"/>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13">
        <f ca="1">IF(AND(E102&lt;=0.6,OR(AND(E103&gt;=0.1,E104&gt;=0.1),AND(E103&gt;0.1,(E103+E104)&gt;=0.2))),20,0)</f>
        <v>20</v>
      </c>
      <c r="F105" s="2614"/>
      <c r="G105" s="2614"/>
      <c r="H105" s="2614"/>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2594">
        <f ca="1">MAX(AP94,AP105)</f>
        <v>20</v>
      </c>
      <c r="AL108" s="2595"/>
      <c r="AM108" s="2596"/>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60" t="s">
        <v>1308</v>
      </c>
      <c r="AF111" s="2460"/>
      <c r="AG111" s="2460"/>
      <c r="AH111" s="2460"/>
      <c r="AI111" s="2460"/>
      <c r="AJ111" s="2460"/>
      <c r="AK111" s="2460"/>
      <c r="AL111" s="540"/>
      <c r="AM111" s="540"/>
      <c r="AN111" s="535"/>
      <c r="AO111" s="536" t="str">
        <f>Application!B726</f>
        <v>2 Bedrooms</v>
      </c>
      <c r="AQ111" s="536">
        <f>Application!O726</f>
        <v>512</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2 Bedrooms</v>
      </c>
      <c r="AQ112" s="536">
        <f>Application!O727</f>
        <v>533</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2 Bedrooms</v>
      </c>
      <c r="AQ113" s="536">
        <f>Application!O728</f>
        <v>915</v>
      </c>
    </row>
    <row r="114" spans="1:52" s="536" customFormat="1" ht="12.75" customHeight="1">
      <c r="A114" s="540"/>
      <c r="B114" s="2602" t="s">
        <v>545</v>
      </c>
      <c r="C114" s="2602"/>
      <c r="D114" s="546" t="s">
        <v>1309</v>
      </c>
      <c r="E114" s="2603" t="s">
        <v>2569</v>
      </c>
      <c r="F114" s="2604"/>
      <c r="G114" s="2604"/>
      <c r="H114" s="2604"/>
      <c r="I114" s="2604"/>
      <c r="J114" s="2604"/>
      <c r="K114" s="2604"/>
      <c r="L114" s="2604"/>
      <c r="M114" s="2604"/>
      <c r="N114" s="2604"/>
      <c r="O114" s="2604"/>
      <c r="P114" s="2604"/>
      <c r="Q114" s="2604"/>
      <c r="R114" s="2604"/>
      <c r="S114" s="2604"/>
      <c r="T114" s="2604"/>
      <c r="U114" s="2604"/>
      <c r="V114" s="2604"/>
      <c r="W114" s="2604"/>
      <c r="X114" s="2604"/>
      <c r="Y114" s="2604"/>
      <c r="Z114" s="2604"/>
      <c r="AA114" s="2604"/>
      <c r="AB114" s="2604"/>
      <c r="AC114" s="2604"/>
      <c r="AD114" s="2604"/>
      <c r="AE114" s="2604"/>
      <c r="AF114" s="2604"/>
      <c r="AG114" s="2604"/>
      <c r="AH114" s="2604"/>
      <c r="AI114" s="2604"/>
      <c r="AJ114" s="2605"/>
      <c r="AK114" s="540"/>
      <c r="AL114" s="540"/>
      <c r="AM114" s="540"/>
      <c r="AN114" s="535"/>
      <c r="AO114" s="536" t="str">
        <f>Application!B729</f>
        <v>2 Bedrooms</v>
      </c>
      <c r="AQ114" s="536">
        <f>Application!O729</f>
        <v>938</v>
      </c>
      <c r="AU114" s="536" t="s">
        <v>1817</v>
      </c>
      <c r="AV114" s="593" t="s">
        <v>1818</v>
      </c>
      <c r="AW114" s="536" t="s">
        <v>1819</v>
      </c>
    </row>
    <row r="115" spans="1:52" s="536" customFormat="1" ht="12.75" customHeight="1">
      <c r="A115" s="540"/>
      <c r="B115" s="539"/>
      <c r="C115" s="539"/>
      <c r="D115" s="539"/>
      <c r="E115" s="2606"/>
      <c r="F115" s="2607"/>
      <c r="G115" s="2607"/>
      <c r="H115" s="2607"/>
      <c r="I115" s="2607"/>
      <c r="J115" s="2607"/>
      <c r="K115" s="2607"/>
      <c r="L115" s="2607"/>
      <c r="M115" s="2607"/>
      <c r="N115" s="2607"/>
      <c r="O115" s="2607"/>
      <c r="P115" s="2607"/>
      <c r="Q115" s="2607"/>
      <c r="R115" s="2607"/>
      <c r="S115" s="2607"/>
      <c r="T115" s="2607"/>
      <c r="U115" s="2607"/>
      <c r="V115" s="2607"/>
      <c r="W115" s="2607"/>
      <c r="X115" s="2607"/>
      <c r="Y115" s="2607"/>
      <c r="Z115" s="2607"/>
      <c r="AA115" s="2607"/>
      <c r="AB115" s="2607"/>
      <c r="AC115" s="2607"/>
      <c r="AD115" s="2607"/>
      <c r="AE115" s="2607"/>
      <c r="AF115" s="2607"/>
      <c r="AG115" s="2607"/>
      <c r="AH115" s="2607"/>
      <c r="AI115" s="2607"/>
      <c r="AJ115" s="2608"/>
      <c r="AK115" s="540"/>
      <c r="AL115" s="540"/>
      <c r="AM115" s="540"/>
      <c r="AN115" s="535"/>
      <c r="AO115" s="536" t="str">
        <f>Application!B730</f>
        <v>2 Bedrooms</v>
      </c>
      <c r="AQ115" s="536">
        <f>Application!O730</f>
        <v>1135</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606"/>
      <c r="F116" s="2607"/>
      <c r="G116" s="2607"/>
      <c r="H116" s="2607"/>
      <c r="I116" s="2607"/>
      <c r="J116" s="2607"/>
      <c r="K116" s="2607"/>
      <c r="L116" s="2607"/>
      <c r="M116" s="2607"/>
      <c r="N116" s="2607"/>
      <c r="O116" s="2607"/>
      <c r="P116" s="2607"/>
      <c r="Q116" s="2607"/>
      <c r="R116" s="2607"/>
      <c r="S116" s="2607"/>
      <c r="T116" s="2607"/>
      <c r="U116" s="2607"/>
      <c r="V116" s="2607"/>
      <c r="W116" s="2607"/>
      <c r="X116" s="2607"/>
      <c r="Y116" s="2607"/>
      <c r="Z116" s="2607"/>
      <c r="AA116" s="2607"/>
      <c r="AB116" s="2607"/>
      <c r="AC116" s="2607"/>
      <c r="AD116" s="2607"/>
      <c r="AE116" s="2607"/>
      <c r="AF116" s="2607"/>
      <c r="AG116" s="2607"/>
      <c r="AH116" s="2607"/>
      <c r="AI116" s="2607"/>
      <c r="AJ116" s="2608"/>
      <c r="AK116" s="540"/>
      <c r="AL116" s="540"/>
      <c r="AM116" s="540"/>
      <c r="AN116" s="535"/>
      <c r="AO116" s="536" t="str">
        <f>Application!B731</f>
        <v>2 Bedrooms</v>
      </c>
      <c r="AQ116" s="536">
        <f>Application!O731</f>
        <v>1160</v>
      </c>
      <c r="AU116" s="852" t="str">
        <f>J123</f>
        <v>1-bedroom</v>
      </c>
      <c r="AV116" s="536">
        <f t="array" ref="AV116">SUM(IF(Application!B726:F760="1 Bedroom",Application!G726:J760))</f>
        <v>0</v>
      </c>
      <c r="AW116" s="1006">
        <f>AV116/AV121</f>
        <v>0</v>
      </c>
    </row>
    <row r="117" spans="1:52" s="536" customFormat="1" ht="12.75" customHeight="1">
      <c r="A117" s="540"/>
      <c r="B117" s="539"/>
      <c r="C117" s="539"/>
      <c r="D117" s="539"/>
      <c r="E117" s="2606"/>
      <c r="F117" s="2607"/>
      <c r="G117" s="2607"/>
      <c r="H117" s="2607"/>
      <c r="I117" s="2607"/>
      <c r="J117" s="2607"/>
      <c r="K117" s="2607"/>
      <c r="L117" s="2607"/>
      <c r="M117" s="2607"/>
      <c r="N117" s="2607"/>
      <c r="O117" s="2607"/>
      <c r="P117" s="2607"/>
      <c r="Q117" s="2607"/>
      <c r="R117" s="2607"/>
      <c r="S117" s="2607"/>
      <c r="T117" s="2607"/>
      <c r="U117" s="2607"/>
      <c r="V117" s="2607"/>
      <c r="W117" s="2607"/>
      <c r="X117" s="2607"/>
      <c r="Y117" s="2607"/>
      <c r="Z117" s="2607"/>
      <c r="AA117" s="2607"/>
      <c r="AB117" s="2607"/>
      <c r="AC117" s="2607"/>
      <c r="AD117" s="2607"/>
      <c r="AE117" s="2607"/>
      <c r="AF117" s="2607"/>
      <c r="AG117" s="2607"/>
      <c r="AH117" s="2607"/>
      <c r="AI117" s="2607"/>
      <c r="AJ117" s="2608"/>
      <c r="AK117" s="540"/>
      <c r="AL117" s="540"/>
      <c r="AM117" s="540"/>
      <c r="AN117" s="535"/>
      <c r="AO117" s="536" t="str">
        <f>Application!B732</f>
        <v>3 Bedrooms</v>
      </c>
      <c r="AQ117" s="536">
        <f>Application!O732</f>
        <v>585</v>
      </c>
      <c r="AU117" s="852" t="str">
        <f>O123</f>
        <v>2-bedroom</v>
      </c>
      <c r="AV117" s="536">
        <f t="array" ref="AV117">SUM(IF(Application!B726:F760="2 Bedrooms",Application!G726:J760))</f>
        <v>33</v>
      </c>
      <c r="AW117" s="1006">
        <f>AV117/AV121</f>
        <v>0.42857142857142855</v>
      </c>
    </row>
    <row r="118" spans="1:52" s="536" customFormat="1" ht="12.75" customHeight="1">
      <c r="A118" s="540"/>
      <c r="B118" s="539"/>
      <c r="C118" s="539"/>
      <c r="D118" s="539"/>
      <c r="E118" s="2606"/>
      <c r="F118" s="2607"/>
      <c r="G118" s="2607"/>
      <c r="H118" s="2607"/>
      <c r="I118" s="2607"/>
      <c r="J118" s="2607"/>
      <c r="K118" s="2607"/>
      <c r="L118" s="2607"/>
      <c r="M118" s="2607"/>
      <c r="N118" s="2607"/>
      <c r="O118" s="2607"/>
      <c r="P118" s="2607"/>
      <c r="Q118" s="2607"/>
      <c r="R118" s="2607"/>
      <c r="S118" s="2607"/>
      <c r="T118" s="2607"/>
      <c r="U118" s="2607"/>
      <c r="V118" s="2607"/>
      <c r="W118" s="2607"/>
      <c r="X118" s="2607"/>
      <c r="Y118" s="2607"/>
      <c r="Z118" s="2607"/>
      <c r="AA118" s="2607"/>
      <c r="AB118" s="2607"/>
      <c r="AC118" s="2607"/>
      <c r="AD118" s="2607"/>
      <c r="AE118" s="2607"/>
      <c r="AF118" s="2607"/>
      <c r="AG118" s="2607"/>
      <c r="AH118" s="2607"/>
      <c r="AI118" s="2607"/>
      <c r="AJ118" s="2608"/>
      <c r="AK118" s="540"/>
      <c r="AL118" s="540"/>
      <c r="AM118" s="540"/>
      <c r="AN118" s="535"/>
      <c r="AO118" s="536" t="str">
        <f>Application!B733</f>
        <v>3 Bedrooms</v>
      </c>
      <c r="AQ118" s="536">
        <f>Application!O733</f>
        <v>613</v>
      </c>
      <c r="AU118" s="852" t="str">
        <f>T123</f>
        <v>3-bedroom</v>
      </c>
      <c r="AV118" s="536">
        <f t="array" ref="AV118">SUM(IF(Application!B726:F760="3 Bedrooms",Application!G726:J760))</f>
        <v>44</v>
      </c>
      <c r="AW118" s="1006">
        <f>AV118/AV121</f>
        <v>0.5714285714285714</v>
      </c>
    </row>
    <row r="119" spans="1:52" s="536" customFormat="1" ht="12.75" customHeight="1">
      <c r="A119" s="540"/>
      <c r="B119" s="539"/>
      <c r="C119" s="539"/>
      <c r="D119" s="539"/>
      <c r="E119" s="2606"/>
      <c r="F119" s="2607"/>
      <c r="G119" s="2607"/>
      <c r="H119" s="2607"/>
      <c r="I119" s="2607"/>
      <c r="J119" s="2607"/>
      <c r="K119" s="2607"/>
      <c r="L119" s="2607"/>
      <c r="M119" s="2607"/>
      <c r="N119" s="2607"/>
      <c r="O119" s="2607"/>
      <c r="P119" s="2607"/>
      <c r="Q119" s="2607"/>
      <c r="R119" s="2607"/>
      <c r="S119" s="2607"/>
      <c r="T119" s="2607"/>
      <c r="U119" s="2607"/>
      <c r="V119" s="2607"/>
      <c r="W119" s="2607"/>
      <c r="X119" s="2607"/>
      <c r="Y119" s="2607"/>
      <c r="Z119" s="2607"/>
      <c r="AA119" s="2607"/>
      <c r="AB119" s="2607"/>
      <c r="AC119" s="2607"/>
      <c r="AD119" s="2607"/>
      <c r="AE119" s="2607"/>
      <c r="AF119" s="2607"/>
      <c r="AG119" s="2607"/>
      <c r="AH119" s="2607"/>
      <c r="AI119" s="2607"/>
      <c r="AJ119" s="2608"/>
      <c r="AK119" s="540"/>
      <c r="AL119" s="540"/>
      <c r="AM119" s="540"/>
      <c r="AN119" s="535"/>
      <c r="AO119" s="536" t="str">
        <f>Application!B734</f>
        <v>3 Bedrooms</v>
      </c>
      <c r="AQ119" s="536">
        <f>Application!O734</f>
        <v>1052</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606"/>
      <c r="F120" s="2607"/>
      <c r="G120" s="2607"/>
      <c r="H120" s="2607"/>
      <c r="I120" s="2607"/>
      <c r="J120" s="2607"/>
      <c r="K120" s="2607"/>
      <c r="L120" s="2607"/>
      <c r="M120" s="2607"/>
      <c r="N120" s="2607"/>
      <c r="O120" s="2607"/>
      <c r="P120" s="2607"/>
      <c r="Q120" s="2607"/>
      <c r="R120" s="2607"/>
      <c r="S120" s="2607"/>
      <c r="T120" s="2607"/>
      <c r="U120" s="2607"/>
      <c r="V120" s="2607"/>
      <c r="W120" s="2607"/>
      <c r="X120" s="2607"/>
      <c r="Y120" s="2607"/>
      <c r="Z120" s="2607"/>
      <c r="AA120" s="2607"/>
      <c r="AB120" s="2607"/>
      <c r="AC120" s="2607"/>
      <c r="AD120" s="2607"/>
      <c r="AE120" s="2607"/>
      <c r="AF120" s="2607"/>
      <c r="AG120" s="2607"/>
      <c r="AH120" s="2607"/>
      <c r="AI120" s="2607"/>
      <c r="AJ120" s="2608"/>
      <c r="AK120" s="540"/>
      <c r="AL120" s="540"/>
      <c r="AM120" s="540"/>
      <c r="AN120" s="535"/>
      <c r="AO120" s="536" t="str">
        <f>Application!B735</f>
        <v>3 Bedrooms</v>
      </c>
      <c r="AQ120" s="536">
        <f>Application!O735</f>
        <v>1084</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606"/>
      <c r="F121" s="2607"/>
      <c r="G121" s="2607"/>
      <c r="H121" s="2607"/>
      <c r="I121" s="2607"/>
      <c r="J121" s="2607"/>
      <c r="K121" s="2607"/>
      <c r="L121" s="2607"/>
      <c r="M121" s="2607"/>
      <c r="N121" s="2607"/>
      <c r="O121" s="2607"/>
      <c r="P121" s="2607"/>
      <c r="Q121" s="2607"/>
      <c r="R121" s="2607"/>
      <c r="S121" s="2607"/>
      <c r="T121" s="2607"/>
      <c r="U121" s="2607"/>
      <c r="V121" s="2607"/>
      <c r="W121" s="2607"/>
      <c r="X121" s="2607"/>
      <c r="Y121" s="2607"/>
      <c r="Z121" s="2607"/>
      <c r="AA121" s="2607"/>
      <c r="AB121" s="2607"/>
      <c r="AC121" s="2607"/>
      <c r="AD121" s="2607"/>
      <c r="AE121" s="2607"/>
      <c r="AF121" s="2607"/>
      <c r="AG121" s="2607"/>
      <c r="AH121" s="2607"/>
      <c r="AI121" s="2607"/>
      <c r="AJ121" s="2608"/>
      <c r="AK121" s="540"/>
      <c r="AL121" s="540"/>
      <c r="AM121" s="540"/>
      <c r="AN121" s="535"/>
      <c r="AO121" s="536" t="str">
        <f>Application!B736</f>
        <v>3 Bedrooms</v>
      </c>
      <c r="AQ121" s="536">
        <f>Application!O736</f>
        <v>1307</v>
      </c>
      <c r="AV121" s="536">
        <f>SUM(AV115:AV120)</f>
        <v>77</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t="str">
        <f>Application!B737</f>
        <v>3 Bedrooms</v>
      </c>
      <c r="AQ122" s="536">
        <f>Application!O737</f>
        <v>1339</v>
      </c>
    </row>
    <row r="123" spans="1:52" s="536" customFormat="1" ht="12.75" customHeight="1">
      <c r="A123" s="540"/>
      <c r="B123" s="539"/>
      <c r="C123" s="540"/>
      <c r="D123" s="540"/>
      <c r="E123" s="2615" t="s">
        <v>1577</v>
      </c>
      <c r="F123" s="2616"/>
      <c r="G123" s="2616"/>
      <c r="H123" s="2616"/>
      <c r="I123" s="575"/>
      <c r="J123" s="2616" t="s">
        <v>1620</v>
      </c>
      <c r="K123" s="2616"/>
      <c r="L123" s="2616"/>
      <c r="M123" s="2616"/>
      <c r="N123" s="575"/>
      <c r="O123" s="2616" t="s">
        <v>1621</v>
      </c>
      <c r="P123" s="2616"/>
      <c r="Q123" s="2616"/>
      <c r="R123" s="2616"/>
      <c r="S123" s="575"/>
      <c r="T123" s="2616" t="s">
        <v>1328</v>
      </c>
      <c r="U123" s="2616"/>
      <c r="V123" s="2616"/>
      <c r="W123" s="2616"/>
      <c r="X123" s="575"/>
      <c r="Y123" s="2616" t="s">
        <v>1622</v>
      </c>
      <c r="Z123" s="2616"/>
      <c r="AA123" s="2616"/>
      <c r="AB123" s="2616"/>
      <c r="AC123" s="575"/>
      <c r="AD123" s="2616" t="s">
        <v>1623</v>
      </c>
      <c r="AE123" s="2616"/>
      <c r="AF123" s="2616"/>
      <c r="AG123" s="2616"/>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17"/>
      <c r="F126" s="2618"/>
      <c r="G126" s="2618"/>
      <c r="H126" s="2618"/>
      <c r="I126" s="860"/>
      <c r="J126" s="2618"/>
      <c r="K126" s="2618"/>
      <c r="L126" s="2618"/>
      <c r="M126" s="2618"/>
      <c r="N126" s="860"/>
      <c r="O126" s="2618">
        <v>2254</v>
      </c>
      <c r="P126" s="2618"/>
      <c r="Q126" s="2618"/>
      <c r="R126" s="2618"/>
      <c r="S126" s="860"/>
      <c r="T126" s="2618">
        <v>2576</v>
      </c>
      <c r="U126" s="2618"/>
      <c r="V126" s="2618"/>
      <c r="W126" s="2618"/>
      <c r="X126" s="860"/>
      <c r="Y126" s="2618"/>
      <c r="Z126" s="2618"/>
      <c r="AA126" s="2618"/>
      <c r="AB126" s="2618"/>
      <c r="AC126" s="860"/>
      <c r="AD126" s="2618"/>
      <c r="AE126" s="2618"/>
      <c r="AF126" s="2618"/>
      <c r="AG126" s="2618"/>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1821</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51">
        <f>Application!DX678</f>
        <v>0</v>
      </c>
      <c r="F129" s="2625"/>
      <c r="G129" s="2625"/>
      <c r="H129" s="2625"/>
      <c r="I129" s="860"/>
      <c r="J129" s="2625">
        <f>Application!EC678</f>
        <v>0</v>
      </c>
      <c r="K129" s="2625"/>
      <c r="L129" s="2625"/>
      <c r="M129" s="2625"/>
      <c r="N129" s="860"/>
      <c r="O129" s="2625">
        <f>Application!EH678</f>
        <v>1049.6969696969695</v>
      </c>
      <c r="P129" s="2625"/>
      <c r="Q129" s="2625"/>
      <c r="R129" s="2625"/>
      <c r="S129" s="864"/>
      <c r="T129" s="2625">
        <f>Application!EM678</f>
        <v>1235.4545454545455</v>
      </c>
      <c r="U129" s="2625"/>
      <c r="V129" s="2625"/>
      <c r="W129" s="2625"/>
      <c r="X129" s="864"/>
      <c r="Y129" s="2625">
        <f>Application!ER678</f>
        <v>0</v>
      </c>
      <c r="Z129" s="2625"/>
      <c r="AA129" s="2625"/>
      <c r="AB129" s="2625"/>
      <c r="AC129" s="864"/>
      <c r="AD129" s="2625">
        <f>Application!EW678</f>
        <v>0</v>
      </c>
      <c r="AE129" s="2625"/>
      <c r="AF129" s="2625"/>
      <c r="AG129" s="2625"/>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1822</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33" t="e">
        <f>(E126-E129)/E126</f>
        <v>#DIV/0!</v>
      </c>
      <c r="F132" s="2434"/>
      <c r="G132" s="2434"/>
      <c r="H132" s="2435"/>
      <c r="I132" s="575"/>
      <c r="J132" s="2433" t="e">
        <f>(J126-J129)/J126</f>
        <v>#DIV/0!</v>
      </c>
      <c r="K132" s="2434"/>
      <c r="L132" s="2434"/>
      <c r="M132" s="2435"/>
      <c r="N132" s="575"/>
      <c r="O132" s="2433">
        <f>(O126-O129)/O126</f>
        <v>0.53429593181145985</v>
      </c>
      <c r="P132" s="2434"/>
      <c r="Q132" s="2434"/>
      <c r="R132" s="2435"/>
      <c r="S132" s="575"/>
      <c r="T132" s="2433">
        <f>(T126-T129)/T126</f>
        <v>0.52039808018068889</v>
      </c>
      <c r="U132" s="2434"/>
      <c r="V132" s="2434"/>
      <c r="W132" s="2435"/>
      <c r="X132" s="575"/>
      <c r="Y132" s="2433" t="e">
        <f>(Y126-Y129)/Y126</f>
        <v>#DIV/0!</v>
      </c>
      <c r="Z132" s="2434"/>
      <c r="AA132" s="2434"/>
      <c r="AB132" s="2435"/>
      <c r="AC132" s="575"/>
      <c r="AD132" s="2433" t="e">
        <f>(AD126-AD129)/AD126</f>
        <v>#DIV/0!</v>
      </c>
      <c r="AE132" s="2434"/>
      <c r="AF132" s="2434"/>
      <c r="AG132" s="2435"/>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1823</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22" t="e">
        <f>IF(((E132-0.1)*AW115)&gt;0,((E132-0.1)*AW115),0)</f>
        <v>#DIV/0!</v>
      </c>
      <c r="F135" s="2623"/>
      <c r="G135" s="2623"/>
      <c r="H135" s="2624"/>
      <c r="I135" s="575"/>
      <c r="J135" s="2622" t="e">
        <f>IF(((J132-0.1)*AW116)&gt;0,((J132-0.1)*AW116),0)</f>
        <v>#DIV/0!</v>
      </c>
      <c r="K135" s="2623"/>
      <c r="L135" s="2623"/>
      <c r="M135" s="2624"/>
      <c r="N135" s="575"/>
      <c r="O135" s="2622">
        <f>IF(((O132-0.1)*AW117)&gt;0,((O132-0.1)*AW117),0)</f>
        <v>0.18612682791919707</v>
      </c>
      <c r="P135" s="2623"/>
      <c r="Q135" s="2623"/>
      <c r="R135" s="2624"/>
      <c r="S135" s="575"/>
      <c r="T135" s="2622">
        <f>IF(((T132-0.1)*AW118)&gt;0,((T132-0.1)*AW118),0)</f>
        <v>0.24022747438896508</v>
      </c>
      <c r="U135" s="2623"/>
      <c r="V135" s="2623"/>
      <c r="W135" s="2624"/>
      <c r="X135" s="575"/>
      <c r="Y135" s="2622" t="e">
        <f>IF(((Y132-0.1)*AW119)&gt;0,((Y132-0.1)*AW119),0)</f>
        <v>#DIV/0!</v>
      </c>
      <c r="Z135" s="2623"/>
      <c r="AA135" s="2623"/>
      <c r="AB135" s="2624"/>
      <c r="AC135" s="575"/>
      <c r="AD135" s="2622" t="e">
        <f>IF(((AD132-0.1)*AW120)&gt;0,((AD132-0.1)*AW120),0)</f>
        <v>#DIV/0!</v>
      </c>
      <c r="AE135" s="2623"/>
      <c r="AF135" s="2623"/>
      <c r="AG135" s="2624"/>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33">
        <f>ROUNDDOWN(SUMIF(E135:AG135,"&gt;0"),2)</f>
        <v>0.42</v>
      </c>
      <c r="F137" s="2434"/>
      <c r="G137" s="2434"/>
      <c r="H137" s="2435"/>
      <c r="I137" s="575"/>
      <c r="J137" s="578" t="s">
        <v>1824</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94">
        <f>IF((E137*100)&gt;10,10,E137*100)</f>
        <v>10</v>
      </c>
      <c r="F138" s="2595"/>
      <c r="G138" s="2595"/>
      <c r="H138" s="2596"/>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2594">
        <f>E138</f>
        <v>10</v>
      </c>
      <c r="AL142" s="2595"/>
      <c r="AM142" s="2596"/>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2460" t="s">
        <v>1308</v>
      </c>
      <c r="AF145" s="2460"/>
      <c r="AG145" s="2460"/>
      <c r="AH145" s="2460"/>
      <c r="AI145" s="2460"/>
      <c r="AJ145" s="2460"/>
      <c r="AK145" s="2460"/>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01" t="s">
        <v>1332</v>
      </c>
      <c r="AG147" s="2401"/>
      <c r="AH147" s="2401"/>
      <c r="AI147" s="2401"/>
      <c r="AJ147" s="2401"/>
      <c r="AK147" s="2401"/>
      <c r="AL147" s="2401"/>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98" t="s">
        <v>2644</v>
      </c>
      <c r="C149" s="2598"/>
      <c r="D149" s="2598"/>
      <c r="E149" s="2598"/>
      <c r="F149" s="2598"/>
      <c r="G149" s="2598"/>
      <c r="H149" s="2598"/>
      <c r="I149" s="2598"/>
      <c r="J149" s="2598"/>
      <c r="K149" s="2598"/>
      <c r="L149" s="2598"/>
      <c r="M149" s="2598"/>
      <c r="N149" s="2598"/>
      <c r="O149" s="2598"/>
      <c r="P149" s="2598"/>
      <c r="Q149" s="2598"/>
      <c r="R149" s="2598"/>
      <c r="S149" s="2598"/>
      <c r="T149" s="2598"/>
      <c r="U149" s="2598"/>
      <c r="V149" s="2598"/>
      <c r="W149" s="2598"/>
      <c r="X149" s="2598"/>
      <c r="Y149" s="2598"/>
      <c r="Z149" s="2598"/>
      <c r="AA149" s="2598"/>
      <c r="AB149" s="2598"/>
      <c r="AC149" s="2598"/>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2599" t="s">
        <v>1335</v>
      </c>
      <c r="C152" s="2599"/>
      <c r="D152" s="2599"/>
      <c r="E152" s="2599"/>
      <c r="F152" s="2599"/>
      <c r="G152" s="2599"/>
      <c r="H152" s="2599"/>
      <c r="I152" s="2599"/>
      <c r="J152" s="2599"/>
      <c r="K152" s="2599"/>
      <c r="L152" s="2599"/>
      <c r="M152" s="2599"/>
      <c r="N152" s="2599"/>
      <c r="O152" s="2599"/>
      <c r="P152" s="2599"/>
      <c r="Q152" s="2599"/>
      <c r="R152" s="2599"/>
      <c r="S152" s="2599"/>
      <c r="T152" s="2599"/>
      <c r="U152" s="2599"/>
      <c r="V152" s="2599"/>
      <c r="W152" s="2599"/>
      <c r="X152" s="2599"/>
      <c r="Y152" s="2599"/>
      <c r="Z152" s="2599"/>
      <c r="AA152" s="2599"/>
      <c r="AB152" s="2599"/>
      <c r="AC152" s="2599"/>
      <c r="AD152" s="2599"/>
      <c r="AE152" s="2599"/>
      <c r="AF152" s="2599"/>
      <c r="AG152" s="2599"/>
      <c r="AH152" s="2599"/>
      <c r="AI152" s="2599"/>
      <c r="AM152" s="539"/>
      <c r="AN152" s="535"/>
      <c r="AO152" s="476" t="s">
        <v>1335</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2628</v>
      </c>
      <c r="AP153" s="489">
        <v>7</v>
      </c>
    </row>
    <row r="154" spans="1:42" s="536" customFormat="1" ht="12.75" customHeight="1">
      <c r="A154" s="538"/>
      <c r="B154" s="539" t="s">
        <v>1336</v>
      </c>
      <c r="AB154" s="2408" t="s">
        <v>591</v>
      </c>
      <c r="AC154" s="2408"/>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2599" t="s">
        <v>1337</v>
      </c>
      <c r="C157" s="2599"/>
      <c r="D157" s="2599"/>
      <c r="E157" s="2599"/>
      <c r="F157" s="2599"/>
      <c r="G157" s="2599"/>
      <c r="H157" s="2599"/>
      <c r="I157" s="2599"/>
      <c r="J157" s="2599"/>
      <c r="K157" s="2599"/>
      <c r="L157" s="2599"/>
      <c r="M157" s="2599"/>
      <c r="N157" s="2599"/>
      <c r="O157" s="2599"/>
      <c r="P157" s="2599"/>
      <c r="Q157" s="2599"/>
      <c r="R157" s="2599"/>
      <c r="S157" s="2599"/>
      <c r="T157" s="2599"/>
      <c r="U157" s="2599"/>
      <c r="V157" s="2599"/>
      <c r="W157" s="2599"/>
      <c r="X157" s="2599"/>
      <c r="Y157" s="2599"/>
      <c r="Z157" s="2599"/>
      <c r="AA157" s="2599"/>
      <c r="AB157" s="2599"/>
      <c r="AC157" s="2599"/>
      <c r="AD157" s="2599"/>
      <c r="AE157" s="2599"/>
      <c r="AF157" s="2599"/>
      <c r="AG157" s="2599"/>
      <c r="AH157" s="2599"/>
      <c r="AI157" s="2599"/>
      <c r="AJ157" s="2599"/>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405" t="s">
        <v>2408</v>
      </c>
      <c r="C160" s="2405"/>
      <c r="D160" s="2405"/>
      <c r="E160" s="2405"/>
      <c r="F160" s="2405"/>
      <c r="G160" s="2405"/>
      <c r="H160" s="2405"/>
      <c r="I160" s="2405"/>
      <c r="J160" s="2405"/>
      <c r="K160" s="2405"/>
      <c r="L160" s="2405"/>
      <c r="M160" s="2405"/>
      <c r="N160" s="2405"/>
      <c r="O160" s="2405"/>
      <c r="P160" s="2405"/>
      <c r="Q160" s="2405"/>
      <c r="R160" s="2405"/>
      <c r="S160" s="2405"/>
      <c r="T160" s="2405"/>
      <c r="U160" s="2405"/>
      <c r="V160" s="2405"/>
      <c r="W160" s="2405"/>
      <c r="X160" s="2405"/>
      <c r="Y160" s="2405"/>
      <c r="Z160" s="2405"/>
      <c r="AA160" s="2405"/>
      <c r="AB160" s="2405"/>
      <c r="AC160" s="2405"/>
      <c r="AD160" s="2405"/>
      <c r="AE160" s="2405"/>
      <c r="AF160" s="2405"/>
      <c r="AG160" s="2405"/>
      <c r="AH160" s="2405"/>
      <c r="AI160" s="2405"/>
      <c r="AJ160" s="2405"/>
      <c r="AK160" s="1173"/>
      <c r="AM160" s="539"/>
      <c r="AN160" s="535"/>
      <c r="AO160" s="476"/>
      <c r="AP160" s="489"/>
    </row>
    <row r="161" spans="1:42" s="536" customFormat="1" ht="12.75" customHeight="1">
      <c r="B161" s="2405"/>
      <c r="C161" s="2405"/>
      <c r="D161" s="2405"/>
      <c r="E161" s="2405"/>
      <c r="F161" s="2405"/>
      <c r="G161" s="2405"/>
      <c r="H161" s="2405"/>
      <c r="I161" s="2405"/>
      <c r="J161" s="2405"/>
      <c r="K161" s="2405"/>
      <c r="L161" s="2405"/>
      <c r="M161" s="2405"/>
      <c r="N161" s="2405"/>
      <c r="O161" s="2405"/>
      <c r="P161" s="2405"/>
      <c r="Q161" s="2405"/>
      <c r="R161" s="2405"/>
      <c r="S161" s="2405"/>
      <c r="T161" s="2405"/>
      <c r="U161" s="2405"/>
      <c r="V161" s="2405"/>
      <c r="W161" s="2405"/>
      <c r="X161" s="2405"/>
      <c r="Y161" s="2405"/>
      <c r="Z161" s="2405"/>
      <c r="AA161" s="2405"/>
      <c r="AB161" s="2405"/>
      <c r="AC161" s="2405"/>
      <c r="AD161" s="2405"/>
      <c r="AE161" s="2405"/>
      <c r="AF161" s="2405"/>
      <c r="AG161" s="2405"/>
      <c r="AH161" s="2405"/>
      <c r="AI161" s="2405"/>
      <c r="AJ161" s="2405"/>
      <c r="AK161" s="1173"/>
      <c r="AM161" s="539"/>
      <c r="AN161" s="535"/>
      <c r="AO161" s="476"/>
      <c r="AP161" s="489"/>
    </row>
    <row r="162" spans="1:42" s="536" customFormat="1" ht="12.75" customHeight="1">
      <c r="C162" s="2406" t="s">
        <v>2409</v>
      </c>
      <c r="D162" s="2406"/>
      <c r="E162" s="2406"/>
      <c r="F162" s="2406"/>
      <c r="G162" s="2406"/>
      <c r="H162" s="2406"/>
      <c r="I162" s="2406"/>
      <c r="J162" s="2406"/>
      <c r="K162" s="2406"/>
      <c r="L162" s="2406"/>
      <c r="M162" s="2406"/>
      <c r="N162" s="2406"/>
      <c r="O162" s="2406"/>
      <c r="P162" s="2406"/>
      <c r="Q162" s="2406"/>
      <c r="R162" s="2406"/>
      <c r="S162" s="2406"/>
      <c r="T162" s="2406"/>
      <c r="U162" s="2406"/>
      <c r="V162" s="2406"/>
      <c r="W162" s="2406"/>
      <c r="X162" s="2406"/>
      <c r="Y162" s="2406"/>
      <c r="Z162" s="2406"/>
      <c r="AA162" s="2406"/>
      <c r="AB162" s="2406"/>
      <c r="AC162" s="2406"/>
      <c r="AD162" s="2406"/>
      <c r="AE162" s="2406"/>
      <c r="AF162" s="2406"/>
      <c r="AG162" s="2406"/>
      <c r="AH162" s="2406"/>
      <c r="AI162" s="2406"/>
      <c r="AJ162" s="2406"/>
      <c r="AK162" s="1173"/>
      <c r="AM162" s="539"/>
      <c r="AN162" s="535"/>
      <c r="AO162" s="476"/>
      <c r="AP162" s="489"/>
    </row>
    <row r="163" spans="1:42" s="536" customFormat="1" ht="12.75" customHeight="1">
      <c r="B163" s="1173"/>
      <c r="C163" s="2407" t="s">
        <v>2407</v>
      </c>
      <c r="D163" s="2407"/>
      <c r="E163" s="2407"/>
      <c r="F163" s="2407"/>
      <c r="G163" s="2407"/>
      <c r="H163" s="2407"/>
      <c r="I163" s="2407"/>
      <c r="J163" s="2407"/>
      <c r="K163" s="2407"/>
      <c r="L163" s="2407"/>
      <c r="M163" s="2407"/>
      <c r="N163" s="2407"/>
      <c r="O163" s="2407"/>
      <c r="P163" s="2407"/>
      <c r="Q163" s="2407"/>
      <c r="R163" s="2407"/>
      <c r="S163" s="2407"/>
      <c r="T163" s="2407"/>
      <c r="U163" s="2407"/>
      <c r="V163" s="2407"/>
      <c r="W163" s="2407"/>
      <c r="X163" s="2407"/>
      <c r="Y163" s="2407"/>
      <c r="Z163" s="2407"/>
      <c r="AA163" s="1163"/>
      <c r="AB163" s="1163"/>
      <c r="AC163" s="1163"/>
      <c r="AD163" s="1163"/>
      <c r="AE163" s="1163"/>
      <c r="AF163" s="1163"/>
      <c r="AG163" s="1163"/>
      <c r="AH163" s="1163"/>
      <c r="AJ163" s="2408" t="s">
        <v>591</v>
      </c>
      <c r="AK163" s="2408"/>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2500">
        <f>IF($AB$154="N/A",VLOOKUP($B$152,$AO$150:$AP$153,2,FALSE),VLOOKUP($B$157,$AO$155:$AP$157,2,FALSE))</f>
        <v>7</v>
      </c>
      <c r="AK165" s="2500"/>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01" t="s">
        <v>1346</v>
      </c>
      <c r="AG167" s="2401"/>
      <c r="AH167" s="2401"/>
      <c r="AI167" s="2401"/>
      <c r="AJ167" s="2401"/>
      <c r="AK167" s="2401"/>
      <c r="AL167" s="2401"/>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99" t="s">
        <v>1344</v>
      </c>
      <c r="D169" s="2599"/>
      <c r="E169" s="2599"/>
      <c r="F169" s="2599"/>
      <c r="G169" s="2599"/>
      <c r="H169" s="2599"/>
      <c r="I169" s="2599"/>
      <c r="J169" s="2599"/>
      <c r="K169" s="2599"/>
      <c r="L169" s="2599"/>
      <c r="M169" s="2599"/>
      <c r="N169" s="2599"/>
      <c r="O169" s="2599"/>
      <c r="P169" s="2599"/>
      <c r="Q169" s="2599"/>
      <c r="R169" s="2599"/>
      <c r="S169" s="2599"/>
      <c r="T169" s="2599"/>
      <c r="U169" s="2599"/>
      <c r="V169" s="2599"/>
      <c r="W169" s="2599"/>
      <c r="X169" s="2599"/>
      <c r="Y169" s="2599"/>
      <c r="Z169" s="2599"/>
      <c r="AA169" s="2599"/>
      <c r="AB169" s="2599"/>
      <c r="AC169" s="2599"/>
      <c r="AD169" s="2599"/>
      <c r="AE169" s="2599"/>
      <c r="AF169" s="2599"/>
      <c r="AG169" s="2599"/>
      <c r="AH169" s="2599"/>
      <c r="AI169" s="2599"/>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08" t="s">
        <v>591</v>
      </c>
      <c r="AG171" s="2408"/>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2124</v>
      </c>
      <c r="AP172" s="597">
        <v>3</v>
      </c>
    </row>
    <row r="173" spans="1:42" s="549" customFormat="1" ht="12.75" customHeight="1">
      <c r="A173" s="536"/>
      <c r="B173" s="536"/>
      <c r="C173" s="2599" t="s">
        <v>1337</v>
      </c>
      <c r="D173" s="2599"/>
      <c r="E173" s="2599"/>
      <c r="F173" s="2599"/>
      <c r="G173" s="2599"/>
      <c r="H173" s="2599"/>
      <c r="I173" s="2599"/>
      <c r="J173" s="2599"/>
      <c r="K173" s="2599"/>
      <c r="L173" s="2599"/>
      <c r="M173" s="2599"/>
      <c r="N173" s="2599"/>
      <c r="O173" s="2599"/>
      <c r="P173" s="2599"/>
      <c r="Q173" s="2599"/>
      <c r="R173" s="2599"/>
      <c r="S173" s="2599"/>
      <c r="T173" s="2599"/>
      <c r="U173" s="2599"/>
      <c r="V173" s="2599"/>
      <c r="W173" s="2599"/>
      <c r="X173" s="2599"/>
      <c r="Y173" s="2599"/>
      <c r="Z173" s="2599"/>
      <c r="AA173" s="2599"/>
      <c r="AB173" s="2599"/>
      <c r="AC173" s="2599"/>
      <c r="AD173" s="2599"/>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2600" t="str">
        <f>Application!AA344</f>
        <v xml:space="preserve">Buckingham Property Management </v>
      </c>
      <c r="D177" s="2600"/>
      <c r="E177" s="2600"/>
      <c r="F177" s="2600"/>
      <c r="G177" s="2600"/>
      <c r="H177" s="2600"/>
      <c r="I177" s="2600"/>
      <c r="J177" s="2600"/>
      <c r="K177" s="2600"/>
      <c r="L177" s="2600"/>
      <c r="M177" s="2600"/>
      <c r="N177" s="2600"/>
      <c r="O177" s="2600"/>
      <c r="P177" s="2600"/>
      <c r="Q177" s="2600"/>
      <c r="R177" s="2600"/>
      <c r="S177" s="2600"/>
      <c r="T177" s="2600"/>
      <c r="U177" s="2600"/>
      <c r="V177" s="2600"/>
      <c r="W177" s="2600"/>
      <c r="X177" s="2600"/>
      <c r="Y177" s="2600"/>
      <c r="Z177" s="2600"/>
      <c r="AA177" s="2600"/>
      <c r="AB177" s="2600"/>
      <c r="AC177" s="2600"/>
      <c r="AD177" s="2600"/>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2499">
        <f>IF($AF$171="N/A",VLOOKUP($C$169,$AO$169:$AP$172,2,FALSE),VLOOKUP($C$173,$AO$176:$AP$178,2,FALSE))</f>
        <v>3</v>
      </c>
      <c r="AK179" s="2499"/>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2594">
        <f>$AJ$165+$AJ$179</f>
        <v>10</v>
      </c>
      <c r="AL182" s="2595"/>
      <c r="AM182" s="2596"/>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60" t="s">
        <v>1308</v>
      </c>
      <c r="AF185" s="2460"/>
      <c r="AG185" s="2460"/>
      <c r="AH185" s="2460"/>
      <c r="AI185" s="2460"/>
      <c r="AJ185" s="2460"/>
      <c r="AK185" s="2460"/>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2597" t="s">
        <v>1354</v>
      </c>
      <c r="C187" s="2597"/>
      <c r="D187" s="2597"/>
      <c r="E187" s="2597"/>
      <c r="F187" s="2597"/>
      <c r="G187" s="2597"/>
      <c r="H187" s="2597"/>
      <c r="I187" s="2597"/>
      <c r="J187" s="2597"/>
      <c r="K187" s="2597"/>
      <c r="L187" s="2597"/>
      <c r="M187" s="2597"/>
      <c r="N187" s="2597"/>
      <c r="O187" s="2597"/>
      <c r="P187" s="2597"/>
      <c r="Q187" s="2597"/>
      <c r="R187" s="2597"/>
      <c r="S187" s="2597"/>
      <c r="T187" s="2597"/>
      <c r="U187" s="2597"/>
      <c r="V187" s="2597"/>
      <c r="W187" s="2597"/>
      <c r="X187" s="2597"/>
      <c r="Y187" s="2597"/>
      <c r="Z187" s="2597"/>
      <c r="AA187" s="2597"/>
      <c r="AB187" s="2597"/>
      <c r="AC187" s="2597"/>
      <c r="AD187" s="536"/>
      <c r="AE187" s="536"/>
      <c r="AF187" s="2401" t="s">
        <v>1357</v>
      </c>
      <c r="AG187" s="2401"/>
      <c r="AH187" s="2401"/>
      <c r="AI187" s="2401"/>
      <c r="AJ187" s="2401"/>
      <c r="AK187" s="2401"/>
      <c r="AL187" s="2401"/>
      <c r="AN187" s="595"/>
      <c r="AP187" s="549" t="s">
        <v>1043</v>
      </c>
      <c r="AQ187" s="549">
        <v>10</v>
      </c>
    </row>
    <row r="188" spans="1:73" s="549" customFormat="1" ht="12.75" customHeight="1">
      <c r="A188" s="536"/>
      <c r="B188" s="2407" t="s">
        <v>1715</v>
      </c>
      <c r="C188" s="2407"/>
      <c r="D188" s="2407"/>
      <c r="E188" s="2407"/>
      <c r="F188" s="2407"/>
      <c r="G188" s="2407"/>
      <c r="H188" s="2407"/>
      <c r="I188" s="2407"/>
      <c r="J188" s="2407"/>
      <c r="K188" s="2407"/>
      <c r="L188" s="2407"/>
      <c r="M188" s="2407"/>
      <c r="N188" s="2407"/>
      <c r="O188" s="2407"/>
      <c r="P188" s="2407"/>
      <c r="Q188" s="2407"/>
      <c r="R188" s="2407"/>
      <c r="S188" s="2407"/>
      <c r="T188" s="2598" t="s">
        <v>591</v>
      </c>
      <c r="U188" s="2598"/>
      <c r="V188" s="2598"/>
      <c r="W188" s="2598"/>
      <c r="X188" s="2598"/>
      <c r="Y188" s="2598"/>
      <c r="Z188" s="2598"/>
      <c r="AA188" s="2598"/>
      <c r="AB188" s="2598"/>
      <c r="AC188" s="2598"/>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2629</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2403">
        <f>IF(AK83&gt;0,VLOOKUP($B$187,AP184:AQ190,2,FALSE),0)</f>
        <v>0</v>
      </c>
      <c r="AL190" s="2449"/>
      <c r="AM190" s="2404"/>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60" t="s">
        <v>1365</v>
      </c>
      <c r="AF193" s="2460"/>
      <c r="AG193" s="2460"/>
      <c r="AH193" s="2460"/>
      <c r="AI193" s="2460"/>
      <c r="AJ193" s="2460"/>
      <c r="AK193" s="2460"/>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68"/>
      <c r="C198" s="2568"/>
      <c r="D198" s="2568"/>
      <c r="E198" s="2568"/>
      <c r="F198" s="2568"/>
      <c r="G198" s="2568"/>
      <c r="H198" s="2568"/>
      <c r="I198" s="2568"/>
      <c r="J198" s="2568"/>
      <c r="K198" s="2568"/>
      <c r="L198" s="2568"/>
      <c r="M198" s="2568"/>
      <c r="N198" s="2568"/>
      <c r="O198" s="2568"/>
      <c r="P198" s="2568"/>
      <c r="Q198" s="2568"/>
      <c r="R198" s="2568"/>
      <c r="S198" s="2568"/>
      <c r="T198" s="2568"/>
      <c r="U198" s="2568"/>
      <c r="V198" s="2568"/>
      <c r="W198" s="2568"/>
      <c r="X198" s="2568"/>
      <c r="Y198" s="2568"/>
      <c r="Z198" s="2568"/>
      <c r="AA198" s="2568"/>
      <c r="AB198" s="2568"/>
      <c r="AC198" s="842"/>
      <c r="AD198" s="2584"/>
      <c r="AE198" s="2584"/>
      <c r="AF198" s="2584"/>
      <c r="AG198" s="2584"/>
      <c r="AH198" s="2584"/>
      <c r="AI198" s="2584"/>
      <c r="AJ198" s="2584"/>
      <c r="AK198" s="608"/>
    </row>
    <row r="199" spans="1:37" hidden="1">
      <c r="A199" s="603"/>
      <c r="B199" s="2568"/>
      <c r="C199" s="2568"/>
      <c r="D199" s="2568"/>
      <c r="E199" s="2568"/>
      <c r="F199" s="2568"/>
      <c r="G199" s="2568"/>
      <c r="H199" s="2568"/>
      <c r="I199" s="2568"/>
      <c r="J199" s="2568"/>
      <c r="K199" s="2568"/>
      <c r="L199" s="2568"/>
      <c r="M199" s="2568"/>
      <c r="N199" s="2568"/>
      <c r="O199" s="2568"/>
      <c r="P199" s="2568"/>
      <c r="Q199" s="2568"/>
      <c r="R199" s="2568"/>
      <c r="S199" s="2568"/>
      <c r="T199" s="2568"/>
      <c r="U199" s="2568"/>
      <c r="V199" s="2568"/>
      <c r="W199" s="2568"/>
      <c r="X199" s="2568"/>
      <c r="Y199" s="2568"/>
      <c r="Z199" s="2568"/>
      <c r="AA199" s="2568"/>
      <c r="AB199" s="2568"/>
      <c r="AC199" s="842"/>
      <c r="AD199" s="2584"/>
      <c r="AE199" s="2584"/>
      <c r="AF199" s="2584"/>
      <c r="AG199" s="2584"/>
      <c r="AH199" s="2584"/>
      <c r="AI199" s="2584"/>
      <c r="AJ199" s="2584"/>
      <c r="AK199" s="608"/>
    </row>
    <row r="200" spans="1:37" hidden="1">
      <c r="A200" s="603"/>
      <c r="B200" s="2568"/>
      <c r="C200" s="2568"/>
      <c r="D200" s="2568"/>
      <c r="E200" s="2568"/>
      <c r="F200" s="2568"/>
      <c r="G200" s="2568"/>
      <c r="H200" s="2568"/>
      <c r="I200" s="2568"/>
      <c r="J200" s="2568"/>
      <c r="K200" s="2568"/>
      <c r="L200" s="2568"/>
      <c r="M200" s="2568"/>
      <c r="N200" s="2568"/>
      <c r="O200" s="2568"/>
      <c r="P200" s="2568"/>
      <c r="Q200" s="2568"/>
      <c r="R200" s="2568"/>
      <c r="S200" s="2568"/>
      <c r="T200" s="2568"/>
      <c r="U200" s="2568"/>
      <c r="V200" s="2568"/>
      <c r="W200" s="2568"/>
      <c r="X200" s="2568"/>
      <c r="Y200" s="2568"/>
      <c r="Z200" s="2568"/>
      <c r="AA200" s="2568"/>
      <c r="AB200" s="2568"/>
      <c r="AC200" s="842"/>
      <c r="AD200" s="2584"/>
      <c r="AE200" s="2584"/>
      <c r="AF200" s="2584"/>
      <c r="AG200" s="2584"/>
      <c r="AH200" s="2584"/>
      <c r="AI200" s="2584"/>
      <c r="AJ200" s="2584"/>
      <c r="AK200" s="608"/>
    </row>
    <row r="201" spans="1:37" hidden="1">
      <c r="A201" s="603"/>
      <c r="B201" s="2568"/>
      <c r="C201" s="2568"/>
      <c r="D201" s="2568"/>
      <c r="E201" s="2568"/>
      <c r="F201" s="2568"/>
      <c r="G201" s="2568"/>
      <c r="H201" s="2568"/>
      <c r="I201" s="2568"/>
      <c r="J201" s="2568"/>
      <c r="K201" s="2568"/>
      <c r="L201" s="2568"/>
      <c r="M201" s="2568"/>
      <c r="N201" s="2568"/>
      <c r="O201" s="2568"/>
      <c r="P201" s="2568"/>
      <c r="Q201" s="2568"/>
      <c r="R201" s="2568"/>
      <c r="S201" s="2568"/>
      <c r="T201" s="2568"/>
      <c r="U201" s="2568"/>
      <c r="V201" s="2568"/>
      <c r="W201" s="2568"/>
      <c r="X201" s="2568"/>
      <c r="Y201" s="2568"/>
      <c r="Z201" s="2568"/>
      <c r="AA201" s="2568"/>
      <c r="AB201" s="2568"/>
      <c r="AC201" s="842"/>
      <c r="AD201" s="2584"/>
      <c r="AE201" s="2584"/>
      <c r="AF201" s="2584"/>
      <c r="AG201" s="2584"/>
      <c r="AH201" s="2584"/>
      <c r="AI201" s="2584"/>
      <c r="AJ201" s="2584"/>
      <c r="AK201" s="608"/>
    </row>
    <row r="202" spans="1:37" hidden="1">
      <c r="A202" s="603"/>
      <c r="B202" s="2568"/>
      <c r="C202" s="2568"/>
      <c r="D202" s="2568"/>
      <c r="E202" s="2568"/>
      <c r="F202" s="2568"/>
      <c r="G202" s="2568"/>
      <c r="H202" s="2568"/>
      <c r="I202" s="2568"/>
      <c r="J202" s="2568"/>
      <c r="K202" s="2568"/>
      <c r="L202" s="2568"/>
      <c r="M202" s="2568"/>
      <c r="N202" s="2568"/>
      <c r="O202" s="2568"/>
      <c r="P202" s="2568"/>
      <c r="Q202" s="2568"/>
      <c r="R202" s="2568"/>
      <c r="S202" s="2568"/>
      <c r="T202" s="2568"/>
      <c r="U202" s="2568"/>
      <c r="V202" s="2568"/>
      <c r="W202" s="2568"/>
      <c r="X202" s="2568"/>
      <c r="Y202" s="2568"/>
      <c r="Z202" s="2568"/>
      <c r="AA202" s="2568"/>
      <c r="AB202" s="2568"/>
      <c r="AC202" s="842"/>
      <c r="AD202" s="2584"/>
      <c r="AE202" s="2584"/>
      <c r="AF202" s="2584"/>
      <c r="AG202" s="2584"/>
      <c r="AH202" s="2584"/>
      <c r="AI202" s="2584"/>
      <c r="AJ202" s="2584"/>
      <c r="AK202" s="608"/>
    </row>
    <row r="203" spans="1:37" hidden="1">
      <c r="A203" s="603"/>
      <c r="B203" s="2568"/>
      <c r="C203" s="2568"/>
      <c r="D203" s="2568"/>
      <c r="E203" s="2568"/>
      <c r="F203" s="2568"/>
      <c r="G203" s="2568"/>
      <c r="H203" s="2568"/>
      <c r="I203" s="2568"/>
      <c r="J203" s="2568"/>
      <c r="K203" s="2568"/>
      <c r="L203" s="2568"/>
      <c r="M203" s="2568"/>
      <c r="N203" s="2568"/>
      <c r="O203" s="2568"/>
      <c r="P203" s="2568"/>
      <c r="Q203" s="2568"/>
      <c r="R203" s="2568"/>
      <c r="S203" s="2568"/>
      <c r="T203" s="2568"/>
      <c r="U203" s="2568"/>
      <c r="V203" s="2568"/>
      <c r="W203" s="2568"/>
      <c r="X203" s="2568"/>
      <c r="Y203" s="2568"/>
      <c r="Z203" s="2568"/>
      <c r="AA203" s="2568"/>
      <c r="AB203" s="2568"/>
      <c r="AC203" s="842"/>
      <c r="AD203" s="2584"/>
      <c r="AE203" s="2584"/>
      <c r="AF203" s="2584"/>
      <c r="AG203" s="2584"/>
      <c r="AH203" s="2584"/>
      <c r="AI203" s="2584"/>
      <c r="AJ203" s="2584"/>
      <c r="AK203" s="608"/>
    </row>
    <row r="204" spans="1:37" hidden="1">
      <c r="A204" s="603"/>
      <c r="B204" s="2568"/>
      <c r="C204" s="2568"/>
      <c r="D204" s="2568"/>
      <c r="E204" s="2568"/>
      <c r="F204" s="2568"/>
      <c r="G204" s="2568"/>
      <c r="H204" s="2568"/>
      <c r="I204" s="2568"/>
      <c r="J204" s="2568"/>
      <c r="K204" s="2568"/>
      <c r="L204" s="2568"/>
      <c r="M204" s="2568"/>
      <c r="N204" s="2568"/>
      <c r="O204" s="2568"/>
      <c r="P204" s="2568"/>
      <c r="Q204" s="2568"/>
      <c r="R204" s="2568"/>
      <c r="S204" s="2568"/>
      <c r="T204" s="2568"/>
      <c r="U204" s="2568"/>
      <c r="V204" s="2568"/>
      <c r="W204" s="2568"/>
      <c r="X204" s="2568"/>
      <c r="Y204" s="2568"/>
      <c r="Z204" s="2568"/>
      <c r="AA204" s="2568"/>
      <c r="AB204" s="2568"/>
      <c r="AC204" s="842"/>
      <c r="AD204" s="2584"/>
      <c r="AE204" s="2584"/>
      <c r="AF204" s="2584"/>
      <c r="AG204" s="2584"/>
      <c r="AH204" s="2584"/>
      <c r="AI204" s="2584"/>
      <c r="AJ204" s="2584"/>
      <c r="AK204" s="608"/>
    </row>
    <row r="205" spans="1:37" hidden="1">
      <c r="A205" s="603"/>
      <c r="B205" s="2568"/>
      <c r="C205" s="2568"/>
      <c r="D205" s="2568"/>
      <c r="E205" s="2568"/>
      <c r="F205" s="2568"/>
      <c r="G205" s="2568"/>
      <c r="H205" s="2568"/>
      <c r="I205" s="2568"/>
      <c r="J205" s="2568"/>
      <c r="K205" s="2568"/>
      <c r="L205" s="2568"/>
      <c r="M205" s="2568"/>
      <c r="N205" s="2568"/>
      <c r="O205" s="2568"/>
      <c r="P205" s="2568"/>
      <c r="Q205" s="2568"/>
      <c r="R205" s="2568"/>
      <c r="S205" s="2568"/>
      <c r="T205" s="2568"/>
      <c r="U205" s="2568"/>
      <c r="V205" s="2568"/>
      <c r="W205" s="2568"/>
      <c r="X205" s="2568"/>
      <c r="Y205" s="2568"/>
      <c r="Z205" s="2568"/>
      <c r="AA205" s="2568"/>
      <c r="AB205" s="2568"/>
      <c r="AC205" s="842"/>
      <c r="AD205" s="2584"/>
      <c r="AE205" s="2584"/>
      <c r="AF205" s="2584"/>
      <c r="AG205" s="2584"/>
      <c r="AH205" s="2584"/>
      <c r="AI205" s="2584"/>
      <c r="AJ205" s="2584"/>
      <c r="AK205" s="608"/>
    </row>
    <row r="206" spans="1:37" hidden="1">
      <c r="A206" s="603"/>
      <c r="B206" s="2568"/>
      <c r="C206" s="2568"/>
      <c r="D206" s="2568"/>
      <c r="E206" s="2568"/>
      <c r="F206" s="2568"/>
      <c r="G206" s="2568"/>
      <c r="H206" s="2568"/>
      <c r="I206" s="2568"/>
      <c r="J206" s="2568"/>
      <c r="K206" s="2568"/>
      <c r="L206" s="2568"/>
      <c r="M206" s="2568"/>
      <c r="N206" s="2568"/>
      <c r="O206" s="2568"/>
      <c r="P206" s="2568"/>
      <c r="Q206" s="2568"/>
      <c r="R206" s="2568"/>
      <c r="S206" s="2568"/>
      <c r="T206" s="2568"/>
      <c r="U206" s="2568"/>
      <c r="V206" s="2568"/>
      <c r="W206" s="2568"/>
      <c r="X206" s="2568"/>
      <c r="Y206" s="2568"/>
      <c r="Z206" s="2568"/>
      <c r="AA206" s="2568"/>
      <c r="AB206" s="2568"/>
      <c r="AC206" s="842"/>
      <c r="AD206" s="2584"/>
      <c r="AE206" s="2584"/>
      <c r="AF206" s="2584"/>
      <c r="AG206" s="2584"/>
      <c r="AH206" s="2584"/>
      <c r="AI206" s="2584"/>
      <c r="AJ206" s="2584"/>
      <c r="AK206" s="608"/>
    </row>
    <row r="207" spans="1:37" hidden="1">
      <c r="A207" s="603"/>
      <c r="B207" s="2568"/>
      <c r="C207" s="2568"/>
      <c r="D207" s="2568"/>
      <c r="E207" s="2568"/>
      <c r="F207" s="2568"/>
      <c r="G207" s="2568"/>
      <c r="H207" s="2568"/>
      <c r="I207" s="2568"/>
      <c r="J207" s="2568"/>
      <c r="K207" s="2568"/>
      <c r="L207" s="2568"/>
      <c r="M207" s="2568"/>
      <c r="N207" s="2568"/>
      <c r="O207" s="2568"/>
      <c r="P207" s="2568"/>
      <c r="Q207" s="2568"/>
      <c r="R207" s="2568"/>
      <c r="S207" s="2568"/>
      <c r="T207" s="2568"/>
      <c r="U207" s="2568"/>
      <c r="V207" s="2568"/>
      <c r="W207" s="2568"/>
      <c r="X207" s="2568"/>
      <c r="Y207" s="2568"/>
      <c r="Z207" s="2568"/>
      <c r="AA207" s="2568"/>
      <c r="AB207" s="2568"/>
      <c r="AC207" s="842"/>
      <c r="AD207" s="2584"/>
      <c r="AE207" s="2584"/>
      <c r="AF207" s="2584"/>
      <c r="AG207" s="2584"/>
      <c r="AH207" s="2584"/>
      <c r="AI207" s="2584"/>
      <c r="AJ207" s="2584"/>
      <c r="AK207" s="608"/>
    </row>
    <row r="208" spans="1:37" hidden="1">
      <c r="A208" s="603"/>
      <c r="B208" s="2577" t="s">
        <v>1616</v>
      </c>
      <c r="C208" s="2577"/>
      <c r="D208" s="2577"/>
      <c r="E208" s="2577"/>
      <c r="F208" s="2577"/>
      <c r="G208" s="2577"/>
      <c r="H208" s="2577"/>
      <c r="I208" s="2577"/>
      <c r="J208" s="2577"/>
      <c r="K208" s="2577"/>
      <c r="L208" s="2577"/>
      <c r="M208" s="2577"/>
      <c r="N208" s="2577"/>
      <c r="O208" s="2577"/>
      <c r="P208" s="2577"/>
      <c r="Q208" s="2577"/>
      <c r="R208" s="2577"/>
      <c r="S208" s="2577"/>
      <c r="T208" s="2577"/>
      <c r="U208" s="2577"/>
      <c r="V208" s="2577"/>
      <c r="W208" s="2577"/>
      <c r="X208" s="2577"/>
      <c r="Y208" s="2577"/>
      <c r="Z208" s="2577"/>
      <c r="AA208" s="2577"/>
      <c r="AB208" s="2577"/>
      <c r="AC208" s="536"/>
      <c r="AD208" s="2582">
        <f>AB259</f>
        <v>0</v>
      </c>
      <c r="AE208" s="2582"/>
      <c r="AF208" s="2582"/>
      <c r="AG208" s="2582"/>
      <c r="AH208" s="2582"/>
      <c r="AI208" s="2582"/>
      <c r="AJ208" s="2582"/>
      <c r="AK208" s="608"/>
    </row>
    <row r="209" spans="1:37" hidden="1">
      <c r="A209" s="603"/>
      <c r="B209" s="2423" t="s">
        <v>1579</v>
      </c>
      <c r="C209" s="2423"/>
      <c r="D209" s="2423"/>
      <c r="E209" s="2423"/>
      <c r="F209" s="2423"/>
      <c r="G209" s="2423"/>
      <c r="H209" s="2423"/>
      <c r="I209" s="2423"/>
      <c r="J209" s="2423"/>
      <c r="K209" s="2423"/>
      <c r="L209" s="2423"/>
      <c r="M209" s="2423"/>
      <c r="N209" s="2423"/>
      <c r="O209" s="2423"/>
      <c r="P209" s="2423"/>
      <c r="Q209" s="2423"/>
      <c r="R209" s="2423"/>
      <c r="S209" s="2423"/>
      <c r="T209" s="2423"/>
      <c r="U209" s="2423"/>
      <c r="V209" s="2423"/>
      <c r="W209" s="2423"/>
      <c r="X209" s="2423"/>
      <c r="Y209" s="2423"/>
      <c r="Z209" s="2423"/>
      <c r="AA209" s="2423"/>
      <c r="AB209" s="2423"/>
      <c r="AC209" s="842"/>
      <c r="AD209" s="2583">
        <f>'Sources and Uses Budget'!B15</f>
        <v>0</v>
      </c>
      <c r="AE209" s="2583"/>
      <c r="AF209" s="2583"/>
      <c r="AG209" s="2583"/>
      <c r="AH209" s="2583"/>
      <c r="AI209" s="2583"/>
      <c r="AJ209" s="2583"/>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588">
        <f>SUM(AD198:AJ208)-AD209</f>
        <v>0</v>
      </c>
      <c r="AE210" s="2588"/>
      <c r="AF210" s="2588"/>
      <c r="AG210" s="2588"/>
      <c r="AH210" s="2588"/>
      <c r="AI210" s="2588"/>
      <c r="AJ210" s="2588"/>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1986</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611" t="s">
        <v>1596</v>
      </c>
      <c r="J221" s="2611"/>
      <c r="K221" s="2611"/>
      <c r="L221" s="536"/>
      <c r="M221" s="536"/>
      <c r="N221" s="536"/>
      <c r="O221" s="536"/>
      <c r="P221" s="536"/>
      <c r="Q221" s="536"/>
      <c r="R221" s="536"/>
      <c r="S221" s="536"/>
      <c r="T221" s="2437" t="s">
        <v>1590</v>
      </c>
      <c r="U221" s="2437"/>
      <c r="V221" s="2437"/>
      <c r="W221" s="2437"/>
      <c r="X221" s="2437"/>
      <c r="Y221" s="2437"/>
      <c r="Z221" s="845"/>
      <c r="AA221" s="489"/>
      <c r="AB221" s="2601" t="s">
        <v>1591</v>
      </c>
      <c r="AC221" s="2601"/>
      <c r="AD221" s="2601"/>
      <c r="AE221" s="2601"/>
      <c r="AF221" s="2601"/>
      <c r="AG221" s="2601"/>
      <c r="AH221" s="823"/>
      <c r="AI221" s="823"/>
      <c r="AJ221" s="823"/>
      <c r="AK221" s="608"/>
    </row>
    <row r="222" spans="1:37" hidden="1">
      <c r="A222" s="603"/>
      <c r="B222" s="2609" t="s">
        <v>1576</v>
      </c>
      <c r="C222" s="2609"/>
      <c r="D222" s="2609"/>
      <c r="E222" s="2609"/>
      <c r="F222" s="2609"/>
      <c r="G222" s="2609"/>
      <c r="I222" s="2610" t="s">
        <v>1597</v>
      </c>
      <c r="J222" s="2610"/>
      <c r="K222" s="2610"/>
      <c r="L222" s="1003"/>
      <c r="N222" s="2424" t="s">
        <v>1592</v>
      </c>
      <c r="O222" s="2424"/>
      <c r="P222" s="2424"/>
      <c r="Q222" s="2424"/>
      <c r="R222" s="2424"/>
      <c r="T222" s="2424" t="s">
        <v>1593</v>
      </c>
      <c r="U222" s="2424"/>
      <c r="V222" s="2424"/>
      <c r="W222" s="2424"/>
      <c r="X222" s="2424"/>
      <c r="Y222" s="2424"/>
      <c r="Z222" s="846"/>
      <c r="AA222" s="489"/>
      <c r="AB222" s="2480" t="s">
        <v>1594</v>
      </c>
      <c r="AC222" s="2480"/>
      <c r="AD222" s="2480"/>
      <c r="AE222" s="2480"/>
      <c r="AF222" s="2480"/>
      <c r="AG222" s="2480"/>
      <c r="AH222" s="823"/>
      <c r="AI222" s="823"/>
      <c r="AJ222" s="823"/>
      <c r="AK222" s="608"/>
    </row>
    <row r="223" spans="1:37" hidden="1">
      <c r="A223" s="603"/>
      <c r="B223" s="2481" t="s">
        <v>1184</v>
      </c>
      <c r="C223" s="2481"/>
      <c r="D223" s="2481"/>
      <c r="E223" s="2481"/>
      <c r="F223" s="2481"/>
      <c r="G223" s="2481"/>
      <c r="H223" s="848"/>
      <c r="I223" s="2440"/>
      <c r="J223" s="2440"/>
      <c r="K223" s="2440"/>
      <c r="L223" s="1003"/>
      <c r="N223" s="2438"/>
      <c r="O223" s="2438"/>
      <c r="P223" s="2438"/>
      <c r="Q223" s="2438"/>
      <c r="R223" s="2438"/>
      <c r="T223" s="2420"/>
      <c r="U223" s="2420"/>
      <c r="V223" s="2420"/>
      <c r="W223" s="2420"/>
      <c r="X223" s="2420"/>
      <c r="Y223" s="2420"/>
      <c r="Z223" s="847"/>
      <c r="AA223" s="847"/>
      <c r="AB223" s="2418">
        <f t="shared" ref="AB223:AB232" si="0">MAX(($T223-$N223)*$I223*12,0)</f>
        <v>0</v>
      </c>
      <c r="AC223" s="2418"/>
      <c r="AD223" s="2418"/>
      <c r="AE223" s="2418"/>
      <c r="AF223" s="2418"/>
      <c r="AG223" s="2418"/>
      <c r="AH223" s="823"/>
      <c r="AI223" s="823"/>
      <c r="AJ223" s="823"/>
      <c r="AK223" s="608"/>
    </row>
    <row r="224" spans="1:37" hidden="1">
      <c r="A224" s="603"/>
      <c r="B224" s="2481" t="s">
        <v>1184</v>
      </c>
      <c r="C224" s="2481"/>
      <c r="D224" s="2481"/>
      <c r="E224" s="2481"/>
      <c r="F224" s="2481"/>
      <c r="G224" s="2481"/>
      <c r="I224" s="2440"/>
      <c r="J224" s="2440"/>
      <c r="K224" s="2440"/>
      <c r="L224" s="1003"/>
      <c r="N224" s="2438"/>
      <c r="O224" s="2438"/>
      <c r="P224" s="2438"/>
      <c r="Q224" s="2438"/>
      <c r="R224" s="2438"/>
      <c r="T224" s="2420"/>
      <c r="U224" s="2420"/>
      <c r="V224" s="2420"/>
      <c r="W224" s="2420"/>
      <c r="X224" s="2420"/>
      <c r="Y224" s="2420"/>
      <c r="Z224" s="847"/>
      <c r="AA224" s="847"/>
      <c r="AB224" s="2418">
        <f t="shared" si="0"/>
        <v>0</v>
      </c>
      <c r="AC224" s="2418"/>
      <c r="AD224" s="2418"/>
      <c r="AE224" s="2418"/>
      <c r="AF224" s="2418"/>
      <c r="AG224" s="2418"/>
      <c r="AH224" s="823"/>
      <c r="AI224" s="823"/>
      <c r="AJ224" s="823"/>
      <c r="AK224" s="608"/>
    </row>
    <row r="225" spans="1:37" hidden="1">
      <c r="A225" s="603"/>
      <c r="B225" s="2481" t="s">
        <v>1184</v>
      </c>
      <c r="C225" s="2481"/>
      <c r="D225" s="2481"/>
      <c r="E225" s="2481"/>
      <c r="F225" s="2481"/>
      <c r="G225" s="2481"/>
      <c r="I225" s="2440"/>
      <c r="J225" s="2440"/>
      <c r="K225" s="2440"/>
      <c r="L225" s="1003"/>
      <c r="N225" s="2438"/>
      <c r="O225" s="2438"/>
      <c r="P225" s="2438"/>
      <c r="Q225" s="2438"/>
      <c r="R225" s="2438"/>
      <c r="T225" s="2420"/>
      <c r="U225" s="2420"/>
      <c r="V225" s="2420"/>
      <c r="W225" s="2420"/>
      <c r="X225" s="2420"/>
      <c r="Y225" s="2420"/>
      <c r="Z225" s="847"/>
      <c r="AA225" s="847"/>
      <c r="AB225" s="2418">
        <f t="shared" si="0"/>
        <v>0</v>
      </c>
      <c r="AC225" s="2418"/>
      <c r="AD225" s="2418"/>
      <c r="AE225" s="2418"/>
      <c r="AF225" s="2418"/>
      <c r="AG225" s="2418"/>
      <c r="AH225" s="823"/>
      <c r="AI225" s="823"/>
      <c r="AJ225" s="823"/>
      <c r="AK225" s="608"/>
    </row>
    <row r="226" spans="1:37" hidden="1">
      <c r="A226" s="603"/>
      <c r="B226" s="2481" t="s">
        <v>1184</v>
      </c>
      <c r="C226" s="2481"/>
      <c r="D226" s="2481"/>
      <c r="E226" s="2481"/>
      <c r="F226" s="2481"/>
      <c r="G226" s="2481"/>
      <c r="I226" s="2440"/>
      <c r="J226" s="2440"/>
      <c r="K226" s="2440"/>
      <c r="L226" s="1003"/>
      <c r="N226" s="2438"/>
      <c r="O226" s="2438"/>
      <c r="P226" s="2438"/>
      <c r="Q226" s="2438"/>
      <c r="R226" s="2438"/>
      <c r="T226" s="2420"/>
      <c r="U226" s="2420"/>
      <c r="V226" s="2420"/>
      <c r="W226" s="2420"/>
      <c r="X226" s="2420"/>
      <c r="Y226" s="2420"/>
      <c r="Z226" s="847"/>
      <c r="AA226" s="847"/>
      <c r="AB226" s="2418">
        <f t="shared" si="0"/>
        <v>0</v>
      </c>
      <c r="AC226" s="2418"/>
      <c r="AD226" s="2418"/>
      <c r="AE226" s="2418"/>
      <c r="AF226" s="2418"/>
      <c r="AG226" s="2418"/>
      <c r="AH226" s="823"/>
      <c r="AI226" s="823"/>
      <c r="AJ226" s="823"/>
      <c r="AK226" s="608"/>
    </row>
    <row r="227" spans="1:37" hidden="1">
      <c r="A227" s="603"/>
      <c r="B227" s="2481" t="s">
        <v>1184</v>
      </c>
      <c r="C227" s="2481"/>
      <c r="D227" s="2481"/>
      <c r="E227" s="2481"/>
      <c r="F227" s="2481"/>
      <c r="G227" s="2481"/>
      <c r="I227" s="2440"/>
      <c r="J227" s="2440"/>
      <c r="K227" s="2440"/>
      <c r="L227" s="1010"/>
      <c r="N227" s="2438"/>
      <c r="O227" s="2438"/>
      <c r="P227" s="2438"/>
      <c r="Q227" s="2438"/>
      <c r="R227" s="2438"/>
      <c r="T227" s="2420"/>
      <c r="U227" s="2420"/>
      <c r="V227" s="2420"/>
      <c r="W227" s="2420"/>
      <c r="X227" s="2420"/>
      <c r="Y227" s="2420"/>
      <c r="Z227" s="847"/>
      <c r="AA227" s="847"/>
      <c r="AB227" s="2418">
        <f t="shared" si="0"/>
        <v>0</v>
      </c>
      <c r="AC227" s="2418"/>
      <c r="AD227" s="2418"/>
      <c r="AE227" s="2418"/>
      <c r="AF227" s="2418"/>
      <c r="AG227" s="2418"/>
      <c r="AH227" s="823"/>
      <c r="AI227" s="823"/>
      <c r="AJ227" s="823"/>
      <c r="AK227" s="608"/>
    </row>
    <row r="228" spans="1:37" hidden="1">
      <c r="A228" s="603"/>
      <c r="B228" s="2481" t="s">
        <v>1184</v>
      </c>
      <c r="C228" s="2481"/>
      <c r="D228" s="2481"/>
      <c r="E228" s="2481"/>
      <c r="F228" s="2481"/>
      <c r="G228" s="2481"/>
      <c r="I228" s="2440"/>
      <c r="J228" s="2440"/>
      <c r="K228" s="2440"/>
      <c r="L228" s="1010"/>
      <c r="N228" s="2438"/>
      <c r="O228" s="2438"/>
      <c r="P228" s="2438"/>
      <c r="Q228" s="2438"/>
      <c r="R228" s="2438"/>
      <c r="T228" s="2420"/>
      <c r="U228" s="2420"/>
      <c r="V228" s="2420"/>
      <c r="W228" s="2420"/>
      <c r="X228" s="2420"/>
      <c r="Y228" s="2420"/>
      <c r="Z228" s="847"/>
      <c r="AA228" s="847"/>
      <c r="AB228" s="2418">
        <f t="shared" si="0"/>
        <v>0</v>
      </c>
      <c r="AC228" s="2418"/>
      <c r="AD228" s="2418"/>
      <c r="AE228" s="2418"/>
      <c r="AF228" s="2418"/>
      <c r="AG228" s="2418"/>
      <c r="AH228" s="823"/>
      <c r="AI228" s="823"/>
      <c r="AJ228" s="823"/>
      <c r="AK228" s="608"/>
    </row>
    <row r="229" spans="1:37" hidden="1">
      <c r="A229" s="603"/>
      <c r="B229" s="2481" t="s">
        <v>1184</v>
      </c>
      <c r="C229" s="2481"/>
      <c r="D229" s="2481"/>
      <c r="E229" s="2481"/>
      <c r="F229" s="2481"/>
      <c r="G229" s="2481"/>
      <c r="I229" s="2440"/>
      <c r="J229" s="2440"/>
      <c r="K229" s="2440"/>
      <c r="L229" s="1010"/>
      <c r="N229" s="2438"/>
      <c r="O229" s="2438"/>
      <c r="P229" s="2438"/>
      <c r="Q229" s="2438"/>
      <c r="R229" s="2438"/>
      <c r="T229" s="2420"/>
      <c r="U229" s="2420"/>
      <c r="V229" s="2420"/>
      <c r="W229" s="2420"/>
      <c r="X229" s="2420"/>
      <c r="Y229" s="2420"/>
      <c r="Z229" s="847"/>
      <c r="AA229" s="847"/>
      <c r="AB229" s="2418">
        <f t="shared" si="0"/>
        <v>0</v>
      </c>
      <c r="AC229" s="2418"/>
      <c r="AD229" s="2418"/>
      <c r="AE229" s="2418"/>
      <c r="AF229" s="2418"/>
      <c r="AG229" s="2418"/>
      <c r="AH229" s="823"/>
      <c r="AI229" s="823"/>
      <c r="AJ229" s="823"/>
      <c r="AK229" s="608"/>
    </row>
    <row r="230" spans="1:37" hidden="1">
      <c r="A230" s="603"/>
      <c r="B230" s="2481" t="s">
        <v>1184</v>
      </c>
      <c r="C230" s="2481"/>
      <c r="D230" s="2481"/>
      <c r="E230" s="2481"/>
      <c r="F230" s="2481"/>
      <c r="G230" s="2481"/>
      <c r="I230" s="2440"/>
      <c r="J230" s="2440"/>
      <c r="K230" s="2440"/>
      <c r="L230" s="1010"/>
      <c r="N230" s="2438"/>
      <c r="O230" s="2438"/>
      <c r="P230" s="2438"/>
      <c r="Q230" s="2438"/>
      <c r="R230" s="2438"/>
      <c r="T230" s="2420"/>
      <c r="U230" s="2420"/>
      <c r="V230" s="2420"/>
      <c r="W230" s="2420"/>
      <c r="X230" s="2420"/>
      <c r="Y230" s="2420"/>
      <c r="Z230" s="847"/>
      <c r="AA230" s="847"/>
      <c r="AB230" s="2418">
        <f t="shared" si="0"/>
        <v>0</v>
      </c>
      <c r="AC230" s="2418"/>
      <c r="AD230" s="2418"/>
      <c r="AE230" s="2418"/>
      <c r="AF230" s="2418"/>
      <c r="AG230" s="2418"/>
      <c r="AH230" s="823"/>
      <c r="AI230" s="823"/>
      <c r="AJ230" s="823"/>
      <c r="AK230" s="608"/>
    </row>
    <row r="231" spans="1:37" hidden="1">
      <c r="A231" s="603"/>
      <c r="B231" s="2481" t="s">
        <v>1184</v>
      </c>
      <c r="C231" s="2481"/>
      <c r="D231" s="2481"/>
      <c r="E231" s="2481"/>
      <c r="F231" s="2481"/>
      <c r="G231" s="2481"/>
      <c r="I231" s="2440"/>
      <c r="J231" s="2440"/>
      <c r="K231" s="2440"/>
      <c r="L231" s="1010"/>
      <c r="N231" s="2438"/>
      <c r="O231" s="2438"/>
      <c r="P231" s="2438"/>
      <c r="Q231" s="2438"/>
      <c r="R231" s="2438"/>
      <c r="T231" s="2420"/>
      <c r="U231" s="2420"/>
      <c r="V231" s="2420"/>
      <c r="W231" s="2420"/>
      <c r="X231" s="2420"/>
      <c r="Y231" s="2420"/>
      <c r="Z231" s="847"/>
      <c r="AA231" s="847"/>
      <c r="AB231" s="2418">
        <f t="shared" si="0"/>
        <v>0</v>
      </c>
      <c r="AC231" s="2418"/>
      <c r="AD231" s="2418"/>
      <c r="AE231" s="2418"/>
      <c r="AF231" s="2418"/>
      <c r="AG231" s="2418"/>
      <c r="AH231" s="823"/>
      <c r="AI231" s="823"/>
      <c r="AJ231" s="823"/>
      <c r="AK231" s="608"/>
    </row>
    <row r="232" spans="1:37" hidden="1">
      <c r="A232" s="603"/>
      <c r="B232" s="2481" t="s">
        <v>1184</v>
      </c>
      <c r="C232" s="2481"/>
      <c r="D232" s="2481"/>
      <c r="E232" s="2481"/>
      <c r="F232" s="2481"/>
      <c r="G232" s="2481"/>
      <c r="I232" s="2612"/>
      <c r="J232" s="2612"/>
      <c r="K232" s="2612"/>
      <c r="L232" s="1010"/>
      <c r="N232" s="2438"/>
      <c r="O232" s="2438"/>
      <c r="P232" s="2438"/>
      <c r="Q232" s="2438"/>
      <c r="R232" s="2438"/>
      <c r="T232" s="2420"/>
      <c r="U232" s="2420"/>
      <c r="V232" s="2420"/>
      <c r="W232" s="2420"/>
      <c r="X232" s="2420"/>
      <c r="Y232" s="2420"/>
      <c r="Z232" s="847"/>
      <c r="AA232" s="847"/>
      <c r="AB232" s="2419">
        <f t="shared" si="0"/>
        <v>0</v>
      </c>
      <c r="AC232" s="2419"/>
      <c r="AD232" s="2419"/>
      <c r="AE232" s="2419"/>
      <c r="AF232" s="2419"/>
      <c r="AG232" s="2419"/>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2418">
        <f>SUM(AB223:AB232)</f>
        <v>0</v>
      </c>
      <c r="AC233" s="2418"/>
      <c r="AD233" s="2418"/>
      <c r="AE233" s="2418"/>
      <c r="AF233" s="2418"/>
      <c r="AG233" s="2418"/>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53"/>
      <c r="AC239" s="2453"/>
      <c r="AD239" s="2453"/>
      <c r="AE239" s="2453"/>
      <c r="AF239" s="2453"/>
      <c r="AG239" s="2453"/>
      <c r="AH239" s="608"/>
      <c r="AI239" s="608"/>
      <c r="AJ239" s="608"/>
      <c r="AK239" s="608"/>
    </row>
    <row r="240" spans="1:37"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53"/>
      <c r="AC242" s="2453"/>
      <c r="AD242" s="2453"/>
      <c r="AE242" s="2453"/>
      <c r="AF242" s="2453"/>
      <c r="AG242" s="2453"/>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36"/>
      <c r="AC243" s="2436"/>
      <c r="AD243" s="2436"/>
      <c r="AE243" s="2436"/>
      <c r="AF243" s="2436"/>
      <c r="AG243" s="2436"/>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21">
        <f>IFERROR(AB242/AB243,0)</f>
        <v>0</v>
      </c>
      <c r="AC244" s="2421"/>
      <c r="AD244" s="2421"/>
      <c r="AE244" s="2421"/>
      <c r="AF244" s="2421"/>
      <c r="AG244" s="2421"/>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19">
        <f>MAX(AB239,AB244)</f>
        <v>0</v>
      </c>
      <c r="AC246" s="2419"/>
      <c r="AD246" s="2419"/>
      <c r="AE246" s="2419"/>
      <c r="AF246" s="2419"/>
      <c r="AG246" s="2419"/>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18">
        <f>AB233+AB246</f>
        <v>0</v>
      </c>
      <c r="AC249" s="2418"/>
      <c r="AD249" s="2418"/>
      <c r="AE249" s="2418"/>
      <c r="AF249" s="2418"/>
      <c r="AG249" s="2418"/>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92">
        <v>0.05</v>
      </c>
      <c r="AC250" s="2592"/>
      <c r="AD250" s="2592"/>
      <c r="AE250" s="2592"/>
      <c r="AF250" s="2592"/>
      <c r="AG250" s="2592"/>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93">
        <f>AB249-(AB249*AB250)</f>
        <v>0</v>
      </c>
      <c r="AC251" s="2593"/>
      <c r="AD251" s="2593"/>
      <c r="AE251" s="2593"/>
      <c r="AF251" s="2593"/>
      <c r="AG251" s="2593"/>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18">
        <f>AB251/AB257</f>
        <v>0</v>
      </c>
      <c r="AC253" s="2418"/>
      <c r="AD253" s="2418"/>
      <c r="AE253" s="2418"/>
      <c r="AF253" s="2418"/>
      <c r="AG253" s="2418"/>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601">
        <v>15</v>
      </c>
      <c r="AC255" s="2601"/>
      <c r="AD255" s="2601"/>
      <c r="AE255" s="2601"/>
      <c r="AF255" s="2601"/>
      <c r="AG255" s="2601"/>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69">
        <v>0.04</v>
      </c>
      <c r="AC256" s="2569"/>
      <c r="AD256" s="2569"/>
      <c r="AE256" s="2569"/>
      <c r="AF256" s="2569"/>
      <c r="AG256" s="2569"/>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78">
        <v>1.1499999999999999</v>
      </c>
      <c r="AC257" s="2578"/>
      <c r="AD257" s="2578"/>
      <c r="AE257" s="2578"/>
      <c r="AF257" s="2578"/>
      <c r="AG257" s="2578"/>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85">
        <f>PV(AB256/12,AB255*12,-AB253/12, ,0)</f>
        <v>0</v>
      </c>
      <c r="AC259" s="2586"/>
      <c r="AD259" s="2586"/>
      <c r="AE259" s="2586"/>
      <c r="AF259" s="2586"/>
      <c r="AG259" s="2587"/>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89">
        <f>IFERROR(('Sources and Uses Budget'!D105/'Sources and Uses Budget'!B105),0)</f>
        <v>0</v>
      </c>
      <c r="AC265" s="2590"/>
      <c r="AD265" s="2590"/>
      <c r="AE265" s="2590"/>
      <c r="AF265" s="2590"/>
      <c r="AG265" s="2591"/>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46">
        <f>AD210*(1-AB265)</f>
        <v>0</v>
      </c>
      <c r="AH267" s="2446"/>
      <c r="AI267" s="2446"/>
      <c r="AJ267" s="2446"/>
      <c r="AK267" s="2446"/>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46">
        <f>'Sources and Uses Budget'!C105</f>
        <v>33346227</v>
      </c>
      <c r="AH268" s="2446"/>
      <c r="AI268" s="2446"/>
      <c r="AJ268" s="2446"/>
      <c r="AK268" s="2446"/>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81">
        <f>ROUNDDOWN(IF(AND(C305="Yes",AK83=10),((AG267*2)/AG268),AG267/AG268),2)</f>
        <v>0</v>
      </c>
      <c r="AH269" s="2581"/>
      <c r="AI269" s="2581"/>
      <c r="AJ269" s="2581"/>
      <c r="AK269" s="2581"/>
    </row>
    <row r="270" spans="1:39" hidden="1">
      <c r="A270" s="620"/>
      <c r="B270" s="973" t="s">
        <v>1730</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2571">
        <f>IFERROR(IF(AG269=0,0,IF((AG269*100)&gt;8,8,(AG269*100))),0)</f>
        <v>0</v>
      </c>
      <c r="AL272" s="2571"/>
      <c r="AM272" s="2572"/>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2578</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22" t="s">
        <v>545</v>
      </c>
      <c r="D279" s="2422"/>
      <c r="E279" s="546"/>
      <c r="F279" s="2409" t="s">
        <v>2570</v>
      </c>
      <c r="G279" s="2410"/>
      <c r="H279" s="2410"/>
      <c r="I279" s="2410"/>
      <c r="J279" s="2410"/>
      <c r="K279" s="2410"/>
      <c r="L279" s="2410"/>
      <c r="M279" s="2410"/>
      <c r="N279" s="2410"/>
      <c r="O279" s="2410"/>
      <c r="P279" s="2410"/>
      <c r="Q279" s="2410"/>
      <c r="R279" s="2410"/>
      <c r="S279" s="2410"/>
      <c r="T279" s="2410"/>
      <c r="U279" s="2410"/>
      <c r="V279" s="2410"/>
      <c r="W279" s="2410"/>
      <c r="X279" s="2410"/>
      <c r="Y279" s="2410"/>
      <c r="Z279" s="2410"/>
      <c r="AA279" s="2410"/>
      <c r="AB279" s="2410"/>
      <c r="AC279" s="2410"/>
      <c r="AD279" s="2411"/>
      <c r="AE279" s="549"/>
      <c r="AF279" s="633"/>
      <c r="AG279" s="2579" t="s">
        <v>1357</v>
      </c>
      <c r="AH279" s="2579"/>
      <c r="AI279" s="2579"/>
      <c r="AJ279" s="2579"/>
      <c r="AK279" s="549"/>
      <c r="AL279" s="549"/>
      <c r="AM279" s="549"/>
      <c r="AO279" s="549"/>
    </row>
    <row r="280" spans="1:52" ht="13.7" customHeight="1">
      <c r="A280" s="549"/>
      <c r="B280" s="594"/>
      <c r="C280" s="634"/>
      <c r="D280" s="549"/>
      <c r="E280" s="546"/>
      <c r="F280" s="2412"/>
      <c r="G280" s="2413"/>
      <c r="H280" s="2413"/>
      <c r="I280" s="2413"/>
      <c r="J280" s="2413"/>
      <c r="K280" s="2413"/>
      <c r="L280" s="2413"/>
      <c r="M280" s="2413"/>
      <c r="N280" s="2413"/>
      <c r="O280" s="2413"/>
      <c r="P280" s="2413"/>
      <c r="Q280" s="2413"/>
      <c r="R280" s="2413"/>
      <c r="S280" s="2413"/>
      <c r="T280" s="2413"/>
      <c r="U280" s="2413"/>
      <c r="V280" s="2413"/>
      <c r="W280" s="2413"/>
      <c r="X280" s="2413"/>
      <c r="Y280" s="2413"/>
      <c r="Z280" s="2413"/>
      <c r="AA280" s="2413"/>
      <c r="AB280" s="2413"/>
      <c r="AC280" s="2413"/>
      <c r="AD280" s="2414"/>
      <c r="AE280" s="549"/>
      <c r="AF280" s="633"/>
      <c r="AG280" s="633"/>
      <c r="AH280" s="633"/>
      <c r="AI280" s="633"/>
      <c r="AJ280" s="549"/>
      <c r="AK280" s="549"/>
      <c r="AL280" s="549"/>
      <c r="AM280" s="549"/>
      <c r="AO280" s="549"/>
    </row>
    <row r="281" spans="1:52" ht="13.7" customHeight="1">
      <c r="A281" s="549"/>
      <c r="B281" s="594"/>
      <c r="C281" s="634"/>
      <c r="D281" s="549"/>
      <c r="E281" s="546"/>
      <c r="F281" s="2412"/>
      <c r="G281" s="2413"/>
      <c r="H281" s="2413"/>
      <c r="I281" s="2413"/>
      <c r="J281" s="2413"/>
      <c r="K281" s="2413"/>
      <c r="L281" s="2413"/>
      <c r="M281" s="2413"/>
      <c r="N281" s="2413"/>
      <c r="O281" s="2413"/>
      <c r="P281" s="2413"/>
      <c r="Q281" s="2413"/>
      <c r="R281" s="2413"/>
      <c r="S281" s="2413"/>
      <c r="T281" s="2413"/>
      <c r="U281" s="2413"/>
      <c r="V281" s="2413"/>
      <c r="W281" s="2413"/>
      <c r="X281" s="2413"/>
      <c r="Y281" s="2413"/>
      <c r="Z281" s="2413"/>
      <c r="AA281" s="2413"/>
      <c r="AB281" s="2413"/>
      <c r="AC281" s="2413"/>
      <c r="AD281" s="2414"/>
      <c r="AE281" s="549"/>
      <c r="AF281" s="633"/>
      <c r="AG281" s="633"/>
      <c r="AH281" s="633"/>
      <c r="AI281" s="633"/>
      <c r="AJ281" s="549"/>
      <c r="AK281" s="549"/>
      <c r="AL281" s="549"/>
      <c r="AM281" s="549"/>
      <c r="AO281" s="549"/>
    </row>
    <row r="282" spans="1:52" ht="13.7" customHeight="1">
      <c r="A282" s="549"/>
      <c r="B282" s="594"/>
      <c r="C282" s="634"/>
      <c r="D282" s="549"/>
      <c r="E282" s="546"/>
      <c r="F282" s="2412"/>
      <c r="G282" s="2413"/>
      <c r="H282" s="2413"/>
      <c r="I282" s="2413"/>
      <c r="J282" s="2413"/>
      <c r="K282" s="2413"/>
      <c r="L282" s="2413"/>
      <c r="M282" s="2413"/>
      <c r="N282" s="2413"/>
      <c r="O282" s="2413"/>
      <c r="P282" s="2413"/>
      <c r="Q282" s="2413"/>
      <c r="R282" s="2413"/>
      <c r="S282" s="2413"/>
      <c r="T282" s="2413"/>
      <c r="U282" s="2413"/>
      <c r="V282" s="2413"/>
      <c r="W282" s="2413"/>
      <c r="X282" s="2413"/>
      <c r="Y282" s="2413"/>
      <c r="Z282" s="2413"/>
      <c r="AA282" s="2413"/>
      <c r="AB282" s="2413"/>
      <c r="AC282" s="2413"/>
      <c r="AD282" s="2414"/>
      <c r="AE282" s="549"/>
      <c r="AF282" s="633"/>
      <c r="AG282" s="633"/>
      <c r="AH282" s="633"/>
      <c r="AI282" s="633"/>
      <c r="AJ282" s="549"/>
      <c r="AK282" s="549"/>
      <c r="AL282" s="549"/>
      <c r="AM282" s="549"/>
      <c r="AO282" s="549"/>
    </row>
    <row r="283" spans="1:52" ht="13.7" customHeight="1">
      <c r="A283" s="549"/>
      <c r="B283" s="594"/>
      <c r="C283" s="634"/>
      <c r="D283" s="549"/>
      <c r="E283" s="546"/>
      <c r="F283" s="2412"/>
      <c r="G283" s="2413"/>
      <c r="H283" s="2413"/>
      <c r="I283" s="2413"/>
      <c r="J283" s="2413"/>
      <c r="K283" s="2413"/>
      <c r="L283" s="2413"/>
      <c r="M283" s="2413"/>
      <c r="N283" s="2413"/>
      <c r="O283" s="2413"/>
      <c r="P283" s="2413"/>
      <c r="Q283" s="2413"/>
      <c r="R283" s="2413"/>
      <c r="S283" s="2413"/>
      <c r="T283" s="2413"/>
      <c r="U283" s="2413"/>
      <c r="V283" s="2413"/>
      <c r="W283" s="2413"/>
      <c r="X283" s="2413"/>
      <c r="Y283" s="2413"/>
      <c r="Z283" s="2413"/>
      <c r="AA283" s="2413"/>
      <c r="AB283" s="2413"/>
      <c r="AC283" s="2413"/>
      <c r="AD283" s="2414"/>
      <c r="AE283" s="549"/>
      <c r="AF283" s="633"/>
      <c r="AG283" s="633"/>
      <c r="AH283" s="633"/>
      <c r="AI283" s="633"/>
      <c r="AJ283" s="549"/>
      <c r="AK283" s="549"/>
      <c r="AL283" s="549"/>
      <c r="AM283" s="549"/>
      <c r="AO283" s="549"/>
    </row>
    <row r="284" spans="1:52">
      <c r="A284" s="549"/>
      <c r="B284" s="594"/>
      <c r="C284" s="634"/>
      <c r="D284" s="549"/>
      <c r="E284" s="546"/>
      <c r="F284" s="2412"/>
      <c r="G284" s="2413"/>
      <c r="H284" s="2413"/>
      <c r="I284" s="2413"/>
      <c r="J284" s="2413"/>
      <c r="K284" s="2413"/>
      <c r="L284" s="2413"/>
      <c r="M284" s="2413"/>
      <c r="N284" s="2413"/>
      <c r="O284" s="2413"/>
      <c r="P284" s="2413"/>
      <c r="Q284" s="2413"/>
      <c r="R284" s="2413"/>
      <c r="S284" s="2413"/>
      <c r="T284" s="2413"/>
      <c r="U284" s="2413"/>
      <c r="V284" s="2413"/>
      <c r="W284" s="2413"/>
      <c r="X284" s="2413"/>
      <c r="Y284" s="2413"/>
      <c r="Z284" s="2413"/>
      <c r="AA284" s="2413"/>
      <c r="AB284" s="2413"/>
      <c r="AC284" s="2413"/>
      <c r="AD284" s="2414"/>
      <c r="AE284" s="549"/>
      <c r="AF284" s="633"/>
      <c r="AG284" s="633"/>
      <c r="AH284" s="633"/>
      <c r="AI284" s="633"/>
      <c r="AJ284" s="549"/>
      <c r="AK284" s="549"/>
      <c r="AL284" s="549"/>
      <c r="AM284" s="549"/>
      <c r="AO284" s="549"/>
      <c r="AP284" s="635"/>
    </row>
    <row r="285" spans="1:52">
      <c r="A285" s="549"/>
      <c r="B285" s="594"/>
      <c r="C285" s="634"/>
      <c r="D285" s="549"/>
      <c r="E285" s="546"/>
      <c r="F285" s="2412"/>
      <c r="G285" s="2413"/>
      <c r="H285" s="2413"/>
      <c r="I285" s="2413"/>
      <c r="J285" s="2413"/>
      <c r="K285" s="2413"/>
      <c r="L285" s="2413"/>
      <c r="M285" s="2413"/>
      <c r="N285" s="2413"/>
      <c r="O285" s="2413"/>
      <c r="P285" s="2413"/>
      <c r="Q285" s="2413"/>
      <c r="R285" s="2413"/>
      <c r="S285" s="2413"/>
      <c r="T285" s="2413"/>
      <c r="U285" s="2413"/>
      <c r="V285" s="2413"/>
      <c r="W285" s="2413"/>
      <c r="X285" s="2413"/>
      <c r="Y285" s="2413"/>
      <c r="Z285" s="2413"/>
      <c r="AA285" s="2413"/>
      <c r="AB285" s="2413"/>
      <c r="AC285" s="2413"/>
      <c r="AD285" s="2414"/>
      <c r="AE285" s="549"/>
      <c r="AF285" s="633"/>
      <c r="AG285" s="633"/>
      <c r="AH285" s="633"/>
      <c r="AI285" s="633"/>
      <c r="AJ285" s="549"/>
      <c r="AK285" s="549"/>
      <c r="AL285" s="549"/>
      <c r="AM285" s="549"/>
      <c r="AO285" s="549"/>
      <c r="AP285" s="635"/>
    </row>
    <row r="286" spans="1:52" ht="13.7" customHeight="1">
      <c r="A286" s="549"/>
      <c r="B286" s="594"/>
      <c r="C286" s="2580"/>
      <c r="D286" s="2580"/>
      <c r="E286" s="546"/>
      <c r="F286" s="2415"/>
      <c r="G286" s="2416"/>
      <c r="H286" s="2416"/>
      <c r="I286" s="2416"/>
      <c r="J286" s="2416"/>
      <c r="K286" s="2416"/>
      <c r="L286" s="2416"/>
      <c r="M286" s="2416"/>
      <c r="N286" s="2416"/>
      <c r="O286" s="2416"/>
      <c r="P286" s="2416"/>
      <c r="Q286" s="2416"/>
      <c r="R286" s="2416"/>
      <c r="S286" s="2416"/>
      <c r="T286" s="2416"/>
      <c r="U286" s="2416"/>
      <c r="V286" s="2416"/>
      <c r="W286" s="2416"/>
      <c r="X286" s="2416"/>
      <c r="Y286" s="2416"/>
      <c r="Z286" s="2416"/>
      <c r="AA286" s="2416"/>
      <c r="AB286" s="2416"/>
      <c r="AC286" s="2416"/>
      <c r="AD286" s="2417"/>
      <c r="AE286" s="549"/>
      <c r="AF286" s="633"/>
      <c r="AG286" s="2579"/>
      <c r="AH286" s="2579"/>
      <c r="AI286" s="2579"/>
      <c r="AJ286" s="2579"/>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51" t="s">
        <v>2577</v>
      </c>
      <c r="C289" s="2451"/>
      <c r="D289" s="2451"/>
      <c r="E289" s="2451"/>
      <c r="F289" s="2451"/>
      <c r="G289" s="2451"/>
      <c r="H289" s="2451"/>
      <c r="I289" s="2451"/>
      <c r="J289" s="2451"/>
      <c r="K289" s="2451"/>
      <c r="L289" s="2451"/>
      <c r="M289" s="2451"/>
      <c r="N289" s="2451"/>
      <c r="O289" s="2451"/>
      <c r="P289" s="2451"/>
      <c r="Q289" s="2451"/>
      <c r="R289" s="2451"/>
      <c r="S289" s="2451"/>
      <c r="T289" s="2451"/>
      <c r="U289" s="2451"/>
      <c r="V289" s="2451"/>
      <c r="W289" s="2451"/>
      <c r="X289" s="2451"/>
      <c r="Y289" s="2451"/>
      <c r="Z289" s="2451"/>
      <c r="AA289" s="2451"/>
      <c r="AB289" s="2451"/>
      <c r="AC289" s="2451"/>
      <c r="AD289" s="2451"/>
      <c r="AE289" s="2451"/>
      <c r="AF289" s="2451"/>
      <c r="AG289" s="2451"/>
      <c r="AH289" s="2451"/>
      <c r="AI289" s="2451"/>
      <c r="AJ289" s="2451"/>
      <c r="AK289" s="2451"/>
      <c r="AL289" s="2451"/>
      <c r="AM289" s="549"/>
      <c r="AN289" s="73"/>
    </row>
    <row r="290" spans="1:49">
      <c r="A290" s="549"/>
      <c r="B290" s="2451"/>
      <c r="C290" s="2451"/>
      <c r="D290" s="2451"/>
      <c r="E290" s="2451"/>
      <c r="F290" s="2451"/>
      <c r="G290" s="2451"/>
      <c r="H290" s="2451"/>
      <c r="I290" s="2451"/>
      <c r="J290" s="2451"/>
      <c r="K290" s="2451"/>
      <c r="L290" s="2451"/>
      <c r="M290" s="2451"/>
      <c r="N290" s="2451"/>
      <c r="O290" s="2451"/>
      <c r="P290" s="2451"/>
      <c r="Q290" s="2451"/>
      <c r="R290" s="2451"/>
      <c r="S290" s="2451"/>
      <c r="T290" s="2451"/>
      <c r="U290" s="2451"/>
      <c r="V290" s="2451"/>
      <c r="W290" s="2451"/>
      <c r="X290" s="2451"/>
      <c r="Y290" s="2451"/>
      <c r="Z290" s="2451"/>
      <c r="AA290" s="2451"/>
      <c r="AB290" s="2451"/>
      <c r="AC290" s="2451"/>
      <c r="AD290" s="2451"/>
      <c r="AE290" s="2451"/>
      <c r="AF290" s="2451"/>
      <c r="AG290" s="2451"/>
      <c r="AH290" s="2451"/>
      <c r="AI290" s="2451"/>
      <c r="AJ290" s="2451"/>
      <c r="AK290" s="2451"/>
      <c r="AL290" s="2451"/>
      <c r="AM290" s="549"/>
      <c r="AN290" s="73"/>
    </row>
    <row r="291" spans="1:49">
      <c r="A291" s="549"/>
      <c r="B291" s="2451"/>
      <c r="C291" s="2451"/>
      <c r="D291" s="2451"/>
      <c r="E291" s="2451"/>
      <c r="F291" s="2451"/>
      <c r="G291" s="2451"/>
      <c r="H291" s="2451"/>
      <c r="I291" s="2451"/>
      <c r="J291" s="2451"/>
      <c r="K291" s="2451"/>
      <c r="L291" s="2451"/>
      <c r="M291" s="2451"/>
      <c r="N291" s="2451"/>
      <c r="O291" s="2451"/>
      <c r="P291" s="2451"/>
      <c r="Q291" s="2451"/>
      <c r="R291" s="2451"/>
      <c r="S291" s="2451"/>
      <c r="T291" s="2451"/>
      <c r="U291" s="2451"/>
      <c r="V291" s="2451"/>
      <c r="W291" s="2451"/>
      <c r="X291" s="2451"/>
      <c r="Y291" s="2451"/>
      <c r="Z291" s="2451"/>
      <c r="AA291" s="2451"/>
      <c r="AB291" s="2451"/>
      <c r="AC291" s="2451"/>
      <c r="AD291" s="2451"/>
      <c r="AE291" s="2451"/>
      <c r="AF291" s="2451"/>
      <c r="AG291" s="2451"/>
      <c r="AH291" s="2451"/>
      <c r="AI291" s="2451"/>
      <c r="AJ291" s="2451"/>
      <c r="AK291" s="2451"/>
      <c r="AL291" s="2451"/>
      <c r="AM291" s="549"/>
      <c r="AN291" s="73"/>
    </row>
    <row r="292" spans="1:49">
      <c r="A292" s="549"/>
      <c r="B292" s="2451"/>
      <c r="C292" s="2451"/>
      <c r="D292" s="2451"/>
      <c r="E292" s="2451"/>
      <c r="F292" s="2451"/>
      <c r="G292" s="2451"/>
      <c r="H292" s="2451"/>
      <c r="I292" s="2451"/>
      <c r="J292" s="2451"/>
      <c r="K292" s="2451"/>
      <c r="L292" s="2451"/>
      <c r="M292" s="2451"/>
      <c r="N292" s="2451"/>
      <c r="O292" s="2451"/>
      <c r="P292" s="2451"/>
      <c r="Q292" s="2451"/>
      <c r="R292" s="2451"/>
      <c r="S292" s="2451"/>
      <c r="T292" s="2451"/>
      <c r="U292" s="2451"/>
      <c r="V292" s="2451"/>
      <c r="W292" s="2451"/>
      <c r="X292" s="2451"/>
      <c r="Y292" s="2451"/>
      <c r="Z292" s="2451"/>
      <c r="AA292" s="2451"/>
      <c r="AB292" s="2451"/>
      <c r="AC292" s="2451"/>
      <c r="AD292" s="2451"/>
      <c r="AE292" s="2451"/>
      <c r="AF292" s="2451"/>
      <c r="AG292" s="2451"/>
      <c r="AH292" s="2451"/>
      <c r="AI292" s="2451"/>
      <c r="AJ292" s="2451"/>
      <c r="AK292" s="2451"/>
      <c r="AL292" s="2451"/>
      <c r="AM292" s="549"/>
      <c r="AN292" s="73"/>
    </row>
    <row r="293" spans="1:49">
      <c r="A293" s="549"/>
      <c r="B293" s="2451"/>
      <c r="C293" s="2451"/>
      <c r="D293" s="2451"/>
      <c r="E293" s="2451"/>
      <c r="F293" s="2451"/>
      <c r="G293" s="2451"/>
      <c r="H293" s="2451"/>
      <c r="I293" s="2451"/>
      <c r="J293" s="2451"/>
      <c r="K293" s="2451"/>
      <c r="L293" s="2451"/>
      <c r="M293" s="2451"/>
      <c r="N293" s="2451"/>
      <c r="O293" s="2451"/>
      <c r="P293" s="2451"/>
      <c r="Q293" s="2451"/>
      <c r="R293" s="2451"/>
      <c r="S293" s="2451"/>
      <c r="T293" s="2451"/>
      <c r="U293" s="2451"/>
      <c r="V293" s="2451"/>
      <c r="W293" s="2451"/>
      <c r="X293" s="2451"/>
      <c r="Y293" s="2451"/>
      <c r="Z293" s="2451"/>
      <c r="AA293" s="2451"/>
      <c r="AB293" s="2451"/>
      <c r="AC293" s="2451"/>
      <c r="AD293" s="2451"/>
      <c r="AE293" s="2451"/>
      <c r="AF293" s="2451"/>
      <c r="AG293" s="2451"/>
      <c r="AH293" s="2451"/>
      <c r="AI293" s="2451"/>
      <c r="AJ293" s="2451"/>
      <c r="AK293" s="2451"/>
      <c r="AL293" s="2451"/>
      <c r="AM293" s="549"/>
      <c r="AN293" s="73"/>
    </row>
    <row r="294" spans="1:49">
      <c r="A294" s="549"/>
      <c r="B294" s="2451"/>
      <c r="C294" s="2451"/>
      <c r="D294" s="2451"/>
      <c r="E294" s="2451"/>
      <c r="F294" s="2451"/>
      <c r="G294" s="2451"/>
      <c r="H294" s="2451"/>
      <c r="I294" s="2451"/>
      <c r="J294" s="2451"/>
      <c r="K294" s="2451"/>
      <c r="L294" s="2451"/>
      <c r="M294" s="2451"/>
      <c r="N294" s="2451"/>
      <c r="O294" s="2451"/>
      <c r="P294" s="2451"/>
      <c r="Q294" s="2451"/>
      <c r="R294" s="2451"/>
      <c r="S294" s="2451"/>
      <c r="T294" s="2451"/>
      <c r="U294" s="2451"/>
      <c r="V294" s="2451"/>
      <c r="W294" s="2451"/>
      <c r="X294" s="2451"/>
      <c r="Y294" s="2451"/>
      <c r="Z294" s="2451"/>
      <c r="AA294" s="2451"/>
      <c r="AB294" s="2451"/>
      <c r="AC294" s="2451"/>
      <c r="AD294" s="2451"/>
      <c r="AE294" s="2451"/>
      <c r="AF294" s="2451"/>
      <c r="AG294" s="2451"/>
      <c r="AH294" s="2451"/>
      <c r="AI294" s="2451"/>
      <c r="AJ294" s="2451"/>
      <c r="AK294" s="2451"/>
      <c r="AL294" s="2451"/>
      <c r="AM294" s="549"/>
      <c r="AN294" s="73"/>
    </row>
    <row r="295" spans="1:49">
      <c r="A295" s="549"/>
      <c r="B295" s="2451"/>
      <c r="C295" s="2451"/>
      <c r="D295" s="2451"/>
      <c r="E295" s="2451"/>
      <c r="F295" s="2451"/>
      <c r="G295" s="2451"/>
      <c r="H295" s="2451"/>
      <c r="I295" s="2451"/>
      <c r="J295" s="2451"/>
      <c r="K295" s="2451"/>
      <c r="L295" s="2451"/>
      <c r="M295" s="2451"/>
      <c r="N295" s="2451"/>
      <c r="O295" s="2451"/>
      <c r="P295" s="2451"/>
      <c r="Q295" s="2451"/>
      <c r="R295" s="2451"/>
      <c r="S295" s="2451"/>
      <c r="T295" s="2451"/>
      <c r="U295" s="2451"/>
      <c r="V295" s="2451"/>
      <c r="W295" s="2451"/>
      <c r="X295" s="2451"/>
      <c r="Y295" s="2451"/>
      <c r="Z295" s="2451"/>
      <c r="AA295" s="2451"/>
      <c r="AB295" s="2451"/>
      <c r="AC295" s="2451"/>
      <c r="AD295" s="2451"/>
      <c r="AE295" s="2451"/>
      <c r="AF295" s="2451"/>
      <c r="AG295" s="2451"/>
      <c r="AH295" s="2451"/>
      <c r="AI295" s="2451"/>
      <c r="AJ295" s="2451"/>
      <c r="AK295" s="2451"/>
      <c r="AL295" s="2451"/>
      <c r="AM295" s="549"/>
      <c r="AN295" s="73"/>
    </row>
    <row r="296" spans="1:49">
      <c r="A296" s="549"/>
      <c r="B296" s="2451"/>
      <c r="C296" s="2451"/>
      <c r="D296" s="2451"/>
      <c r="E296" s="2451"/>
      <c r="F296" s="2451"/>
      <c r="G296" s="2451"/>
      <c r="H296" s="2451"/>
      <c r="I296" s="2451"/>
      <c r="J296" s="2451"/>
      <c r="K296" s="2451"/>
      <c r="L296" s="2451"/>
      <c r="M296" s="2451"/>
      <c r="N296" s="2451"/>
      <c r="O296" s="2451"/>
      <c r="P296" s="2451"/>
      <c r="Q296" s="2451"/>
      <c r="R296" s="2451"/>
      <c r="S296" s="2451"/>
      <c r="T296" s="2451"/>
      <c r="U296" s="2451"/>
      <c r="V296" s="2451"/>
      <c r="W296" s="2451"/>
      <c r="X296" s="2451"/>
      <c r="Y296" s="2451"/>
      <c r="Z296" s="2451"/>
      <c r="AA296" s="2451"/>
      <c r="AB296" s="2451"/>
      <c r="AC296" s="2451"/>
      <c r="AD296" s="2451"/>
      <c r="AE296" s="2451"/>
      <c r="AF296" s="2451"/>
      <c r="AG296" s="2451"/>
      <c r="AH296" s="2451"/>
      <c r="AI296" s="2451"/>
      <c r="AJ296" s="2451"/>
      <c r="AK296" s="2451"/>
      <c r="AL296" s="2451"/>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2571">
        <f>IF($C$279="yes",10,0)</f>
        <v>10</v>
      </c>
      <c r="AL298" s="2571"/>
      <c r="AM298" s="2572"/>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1369</v>
      </c>
      <c r="B301" s="538" t="s">
        <v>2571</v>
      </c>
      <c r="AH301" s="589" t="s">
        <v>1308</v>
      </c>
    </row>
    <row r="302" spans="1:49" ht="15" customHeight="1">
      <c r="B302" s="539"/>
    </row>
    <row r="303" spans="1:49" ht="15" customHeight="1">
      <c r="B303" s="539" t="s">
        <v>1717</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36" t="s">
        <v>1374</v>
      </c>
      <c r="B305" s="1636"/>
      <c r="C305" s="2408" t="s">
        <v>591</v>
      </c>
      <c r="D305" s="2422"/>
      <c r="E305" s="546"/>
      <c r="F305" s="2573" t="s">
        <v>1375</v>
      </c>
      <c r="G305" s="2574"/>
      <c r="H305" s="2574"/>
      <c r="I305" s="2574"/>
      <c r="J305" s="2574"/>
      <c r="K305" s="2574"/>
      <c r="L305" s="2574"/>
      <c r="M305" s="2574"/>
      <c r="N305" s="2574"/>
      <c r="O305" s="2574"/>
      <c r="P305" s="2574"/>
      <c r="Q305" s="2574"/>
      <c r="R305" s="2574"/>
      <c r="S305" s="2574"/>
      <c r="T305" s="2574"/>
      <c r="U305" s="2574"/>
      <c r="V305" s="2574"/>
      <c r="W305" s="2574"/>
      <c r="X305" s="2574"/>
      <c r="Y305" s="2574"/>
      <c r="Z305" s="2574"/>
      <c r="AA305" s="2574"/>
      <c r="AB305" s="2574"/>
      <c r="AC305" s="2574"/>
      <c r="AD305" s="2575"/>
      <c r="AE305" s="640"/>
      <c r="AF305" s="549"/>
      <c r="AG305" s="2576" t="s">
        <v>1982</v>
      </c>
      <c r="AH305" s="2576"/>
      <c r="AI305" s="2576"/>
      <c r="AJ305" s="2576"/>
      <c r="AK305" s="2576"/>
      <c r="AL305" s="549"/>
      <c r="AM305" s="549"/>
      <c r="AN305" s="73"/>
      <c r="AO305" s="14"/>
      <c r="AP305" s="30"/>
      <c r="AS305" s="568"/>
      <c r="AT305" s="568"/>
      <c r="AU305" s="568"/>
      <c r="AV305" s="32"/>
      <c r="AW305" s="32"/>
    </row>
    <row r="306" spans="1:49">
      <c r="A306" s="638"/>
      <c r="B306" s="594"/>
      <c r="F306" s="2442"/>
      <c r="G306" s="2400"/>
      <c r="H306" s="2400"/>
      <c r="I306" s="2400"/>
      <c r="J306" s="2400"/>
      <c r="K306" s="2400"/>
      <c r="L306" s="2400"/>
      <c r="M306" s="2400"/>
      <c r="N306" s="2400"/>
      <c r="O306" s="2400"/>
      <c r="P306" s="2400"/>
      <c r="Q306" s="2400"/>
      <c r="R306" s="2400"/>
      <c r="S306" s="2400"/>
      <c r="T306" s="2400"/>
      <c r="U306" s="2400"/>
      <c r="V306" s="2400"/>
      <c r="W306" s="2400"/>
      <c r="X306" s="2400"/>
      <c r="Y306" s="2400"/>
      <c r="Z306" s="2400"/>
      <c r="AA306" s="2400"/>
      <c r="AB306" s="2400"/>
      <c r="AC306" s="2400"/>
      <c r="AD306" s="2443"/>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42"/>
      <c r="G307" s="2400"/>
      <c r="H307" s="2400"/>
      <c r="I307" s="2400"/>
      <c r="J307" s="2400"/>
      <c r="K307" s="2400"/>
      <c r="L307" s="2400"/>
      <c r="M307" s="2400"/>
      <c r="N307" s="2400"/>
      <c r="O307" s="2400"/>
      <c r="P307" s="2400"/>
      <c r="Q307" s="2400"/>
      <c r="R307" s="2400"/>
      <c r="S307" s="2400"/>
      <c r="T307" s="2400"/>
      <c r="U307" s="2400"/>
      <c r="V307" s="2400"/>
      <c r="W307" s="2400"/>
      <c r="X307" s="2400"/>
      <c r="Y307" s="2400"/>
      <c r="Z307" s="2400"/>
      <c r="AA307" s="2400"/>
      <c r="AB307" s="2400"/>
      <c r="AC307" s="2400"/>
      <c r="AD307" s="2443"/>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42" t="s">
        <v>1987</v>
      </c>
      <c r="G308" s="2400"/>
      <c r="H308" s="2400"/>
      <c r="I308" s="2400"/>
      <c r="J308" s="2400"/>
      <c r="K308" s="2400"/>
      <c r="L308" s="2400"/>
      <c r="M308" s="2400"/>
      <c r="N308" s="2400"/>
      <c r="O308" s="2400"/>
      <c r="P308" s="2400"/>
      <c r="Q308" s="2400"/>
      <c r="R308" s="2400"/>
      <c r="S308" s="2400"/>
      <c r="T308" s="2400"/>
      <c r="U308" s="2400"/>
      <c r="V308" s="2400"/>
      <c r="W308" s="2400"/>
      <c r="X308" s="2400"/>
      <c r="Y308" s="2400"/>
      <c r="Z308" s="2400"/>
      <c r="AA308" s="2400"/>
      <c r="AB308" s="2400"/>
      <c r="AC308" s="2400"/>
      <c r="AD308" s="2443"/>
      <c r="AE308" s="640"/>
      <c r="AF308" s="550"/>
      <c r="AH308" s="550"/>
      <c r="AI308" s="550"/>
      <c r="AJ308" s="549"/>
      <c r="AK308" s="549"/>
      <c r="AL308" s="549"/>
      <c r="AM308" s="549"/>
      <c r="AN308" s="73"/>
      <c r="AO308" s="14"/>
      <c r="AP308" s="609">
        <f>MAX(AP306,AP307)</f>
        <v>0</v>
      </c>
      <c r="AQ308" s="572" t="s">
        <v>1310</v>
      </c>
      <c r="AS308" s="568"/>
      <c r="AT308" s="568"/>
      <c r="AU308" s="568"/>
      <c r="AV308" s="32"/>
      <c r="AW308" s="32"/>
    </row>
    <row r="309" spans="1:49">
      <c r="A309" s="638"/>
      <c r="B309" s="594"/>
      <c r="F309" s="2442"/>
      <c r="G309" s="2400"/>
      <c r="H309" s="2400"/>
      <c r="I309" s="2400"/>
      <c r="J309" s="2400"/>
      <c r="K309" s="2400"/>
      <c r="L309" s="2400"/>
      <c r="M309" s="2400"/>
      <c r="N309" s="2400"/>
      <c r="O309" s="2400"/>
      <c r="P309" s="2400"/>
      <c r="Q309" s="2400"/>
      <c r="R309" s="2400"/>
      <c r="S309" s="2400"/>
      <c r="T309" s="2400"/>
      <c r="U309" s="2400"/>
      <c r="V309" s="2400"/>
      <c r="W309" s="2400"/>
      <c r="X309" s="2400"/>
      <c r="Y309" s="2400"/>
      <c r="Z309" s="2400"/>
      <c r="AA309" s="2400"/>
      <c r="AB309" s="2400"/>
      <c r="AC309" s="2400"/>
      <c r="AD309" s="2443"/>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42" t="s">
        <v>1376</v>
      </c>
      <c r="G310" s="2400"/>
      <c r="H310" s="2400"/>
      <c r="I310" s="2400"/>
      <c r="J310" s="2400"/>
      <c r="K310" s="2400"/>
      <c r="L310" s="2400"/>
      <c r="M310" s="2400"/>
      <c r="N310" s="2400"/>
      <c r="O310" s="2400"/>
      <c r="P310" s="2400"/>
      <c r="Q310" s="2400"/>
      <c r="R310" s="2400"/>
      <c r="S310" s="2400"/>
      <c r="T310" s="2400"/>
      <c r="U310" s="2400"/>
      <c r="V310" s="2400"/>
      <c r="W310" s="2400"/>
      <c r="X310" s="2400"/>
      <c r="Y310" s="2400"/>
      <c r="Z310" s="2400"/>
      <c r="AA310" s="2400"/>
      <c r="AB310" s="2400"/>
      <c r="AC310" s="2400"/>
      <c r="AD310" s="2443"/>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42"/>
      <c r="G311" s="2400"/>
      <c r="H311" s="2400"/>
      <c r="I311" s="2400"/>
      <c r="J311" s="2400"/>
      <c r="K311" s="2400"/>
      <c r="L311" s="2400"/>
      <c r="M311" s="2400"/>
      <c r="N311" s="2400"/>
      <c r="O311" s="2400"/>
      <c r="P311" s="2400"/>
      <c r="Q311" s="2400"/>
      <c r="R311" s="2400"/>
      <c r="S311" s="2400"/>
      <c r="T311" s="2400"/>
      <c r="U311" s="2400"/>
      <c r="V311" s="2400"/>
      <c r="W311" s="2400"/>
      <c r="X311" s="2400"/>
      <c r="Y311" s="2400"/>
      <c r="Z311" s="2400"/>
      <c r="AA311" s="2400"/>
      <c r="AB311" s="2400"/>
      <c r="AC311" s="2400"/>
      <c r="AD311" s="2443"/>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42" t="s">
        <v>1377</v>
      </c>
      <c r="G312" s="2400"/>
      <c r="H312" s="2400"/>
      <c r="I312" s="2400"/>
      <c r="J312" s="2400"/>
      <c r="K312" s="2400"/>
      <c r="L312" s="2400"/>
      <c r="M312" s="2400"/>
      <c r="N312" s="2400"/>
      <c r="O312" s="2400"/>
      <c r="P312" s="2400"/>
      <c r="Q312" s="2400"/>
      <c r="R312" s="2400"/>
      <c r="S312" s="2400"/>
      <c r="T312" s="2400"/>
      <c r="U312" s="2400"/>
      <c r="V312" s="2400"/>
      <c r="W312" s="2400"/>
      <c r="X312" s="2400"/>
      <c r="Y312" s="2400"/>
      <c r="Z312" s="2400"/>
      <c r="AA312" s="2400"/>
      <c r="AB312" s="2400"/>
      <c r="AC312" s="2400"/>
      <c r="AD312" s="2443"/>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44"/>
      <c r="G313" s="2445"/>
      <c r="H313" s="2445"/>
      <c r="I313" s="2445"/>
      <c r="J313" s="2445"/>
      <c r="K313" s="2445"/>
      <c r="L313" s="2445"/>
      <c r="M313" s="2445"/>
      <c r="N313" s="2445"/>
      <c r="O313" s="2445"/>
      <c r="P313" s="2445"/>
      <c r="Q313" s="2445"/>
      <c r="R313" s="2445"/>
      <c r="S313" s="2445"/>
      <c r="T313" s="2445"/>
      <c r="U313" s="2445"/>
      <c r="V313" s="2445"/>
      <c r="W313" s="2445"/>
      <c r="X313" s="2445"/>
      <c r="Y313" s="2445"/>
      <c r="Z313" s="2445"/>
      <c r="AA313" s="2445"/>
      <c r="AB313" s="2445"/>
      <c r="AC313" s="2445"/>
      <c r="AD313" s="2570"/>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36" t="s">
        <v>1378</v>
      </c>
      <c r="B315" s="1636"/>
      <c r="C315" s="2422" t="s">
        <v>591</v>
      </c>
      <c r="D315" s="2422"/>
      <c r="E315" s="546"/>
      <c r="F315" s="967" t="s">
        <v>2572</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1380</v>
      </c>
      <c r="AH315" s="550"/>
      <c r="AI315" s="550"/>
      <c r="AJ315" s="549"/>
      <c r="AK315" s="549"/>
      <c r="AL315" s="549"/>
      <c r="AM315" s="549"/>
      <c r="AN315" s="643"/>
      <c r="AO315" s="14"/>
    </row>
    <row r="316" spans="1:49">
      <c r="A316" s="549"/>
      <c r="B316" s="550"/>
      <c r="C316" s="549"/>
      <c r="D316" s="550"/>
      <c r="E316" s="549"/>
      <c r="F316" s="2442" t="s">
        <v>1983</v>
      </c>
      <c r="G316" s="2400"/>
      <c r="H316" s="2400"/>
      <c r="I316" s="2400"/>
      <c r="J316" s="2400"/>
      <c r="K316" s="2400"/>
      <c r="L316" s="2400"/>
      <c r="M316" s="2400"/>
      <c r="N316" s="2400"/>
      <c r="O316" s="2400"/>
      <c r="P316" s="2400"/>
      <c r="Q316" s="2400"/>
      <c r="R316" s="2400"/>
      <c r="S316" s="2400"/>
      <c r="T316" s="2400"/>
      <c r="U316" s="2400"/>
      <c r="V316" s="2400"/>
      <c r="W316" s="2400"/>
      <c r="X316" s="2400"/>
      <c r="Y316" s="2400"/>
      <c r="Z316" s="2400"/>
      <c r="AA316" s="2400"/>
      <c r="AB316" s="2400"/>
      <c r="AC316" s="2400"/>
      <c r="AD316" s="2443"/>
      <c r="AE316" s="550"/>
      <c r="AF316" s="550"/>
      <c r="AG316" s="550"/>
      <c r="AH316" s="550"/>
      <c r="AI316" s="550"/>
      <c r="AJ316" s="549"/>
      <c r="AK316" s="549"/>
      <c r="AL316" s="549"/>
      <c r="AM316" s="549"/>
      <c r="AR316" s="644"/>
    </row>
    <row r="317" spans="1:49" ht="15" customHeight="1">
      <c r="A317" s="549"/>
      <c r="B317" s="550"/>
      <c r="C317" s="549"/>
      <c r="D317" s="550"/>
      <c r="E317" s="549"/>
      <c r="F317" s="2442"/>
      <c r="G317" s="2400"/>
      <c r="H317" s="2400"/>
      <c r="I317" s="2400"/>
      <c r="J317" s="2400"/>
      <c r="K317" s="2400"/>
      <c r="L317" s="2400"/>
      <c r="M317" s="2400"/>
      <c r="N317" s="2400"/>
      <c r="O317" s="2400"/>
      <c r="P317" s="2400"/>
      <c r="Q317" s="2400"/>
      <c r="R317" s="2400"/>
      <c r="S317" s="2400"/>
      <c r="T317" s="2400"/>
      <c r="U317" s="2400"/>
      <c r="V317" s="2400"/>
      <c r="W317" s="2400"/>
      <c r="X317" s="2400"/>
      <c r="Y317" s="2400"/>
      <c r="Z317" s="2400"/>
      <c r="AA317" s="2400"/>
      <c r="AB317" s="2400"/>
      <c r="AC317" s="2400"/>
      <c r="AD317" s="2443"/>
      <c r="AE317" s="550"/>
      <c r="AF317" s="550"/>
      <c r="AG317" s="550"/>
      <c r="AH317" s="550"/>
      <c r="AI317" s="550"/>
      <c r="AJ317" s="549"/>
      <c r="AK317" s="549"/>
      <c r="AL317" s="549"/>
      <c r="AM317" s="549"/>
      <c r="AR317" s="644"/>
    </row>
    <row r="318" spans="1:49">
      <c r="A318" s="549"/>
      <c r="B318" s="550"/>
      <c r="C318" s="549"/>
      <c r="D318" s="550"/>
      <c r="E318" s="549"/>
      <c r="F318" s="2442"/>
      <c r="G318" s="2400"/>
      <c r="H318" s="2400"/>
      <c r="I318" s="2400"/>
      <c r="J318" s="2400"/>
      <c r="K318" s="2400"/>
      <c r="L318" s="2400"/>
      <c r="M318" s="2400"/>
      <c r="N318" s="2400"/>
      <c r="O318" s="2400"/>
      <c r="P318" s="2400"/>
      <c r="Q318" s="2400"/>
      <c r="R318" s="2400"/>
      <c r="S318" s="2400"/>
      <c r="T318" s="2400"/>
      <c r="U318" s="2400"/>
      <c r="V318" s="2400"/>
      <c r="W318" s="2400"/>
      <c r="X318" s="2400"/>
      <c r="Y318" s="2400"/>
      <c r="Z318" s="2400"/>
      <c r="AA318" s="2400"/>
      <c r="AB318" s="2400"/>
      <c r="AC318" s="2400"/>
      <c r="AD318" s="2443"/>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44"/>
      <c r="G319" s="2445"/>
      <c r="H319" s="2445"/>
      <c r="I319" s="2445"/>
      <c r="J319" s="2445"/>
      <c r="K319" s="2445"/>
      <c r="L319" s="2445"/>
      <c r="M319" s="2445"/>
      <c r="N319" s="2445"/>
      <c r="O319" s="2445"/>
      <c r="P319" s="2445"/>
      <c r="Q319" s="2445"/>
      <c r="R319" s="2445"/>
      <c r="S319" s="2445"/>
      <c r="T319" s="2445"/>
      <c r="U319" s="2445"/>
      <c r="V319" s="2445"/>
      <c r="W319" s="2445"/>
      <c r="X319" s="2445"/>
      <c r="Y319" s="2445"/>
      <c r="Z319" s="2445"/>
      <c r="AA319" s="2445"/>
      <c r="AB319" s="2445"/>
      <c r="AC319" s="2445"/>
      <c r="AD319" s="2570"/>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36" t="s">
        <v>1381</v>
      </c>
      <c r="B323" s="1636"/>
      <c r="C323" s="2422" t="s">
        <v>591</v>
      </c>
      <c r="D323" s="2422"/>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idden="1">
      <c r="A324" s="89"/>
      <c r="B324" s="89"/>
      <c r="C324" s="726"/>
      <c r="D324" s="726"/>
      <c r="E324" s="546"/>
      <c r="F324" s="2442" t="s">
        <v>1988</v>
      </c>
      <c r="G324" s="2400"/>
      <c r="H324" s="2400"/>
      <c r="I324" s="2400"/>
      <c r="J324" s="2400"/>
      <c r="K324" s="2400"/>
      <c r="L324" s="2400"/>
      <c r="M324" s="2400"/>
      <c r="N324" s="2400"/>
      <c r="O324" s="2400"/>
      <c r="P324" s="2400"/>
      <c r="Q324" s="2400"/>
      <c r="R324" s="2400"/>
      <c r="S324" s="2400"/>
      <c r="T324" s="2400"/>
      <c r="U324" s="2400"/>
      <c r="V324" s="2400"/>
      <c r="W324" s="2400"/>
      <c r="X324" s="2400"/>
      <c r="Y324" s="2400"/>
      <c r="Z324" s="2400"/>
      <c r="AA324" s="2400"/>
      <c r="AB324" s="2400"/>
      <c r="AC324" s="2400"/>
      <c r="AD324" s="2443"/>
      <c r="AE324" s="550"/>
      <c r="AF324" s="550"/>
      <c r="AG324" s="539"/>
      <c r="AH324" s="550"/>
      <c r="AI324" s="550"/>
      <c r="AJ324" s="549"/>
      <c r="AK324" s="549"/>
      <c r="AL324" s="549"/>
      <c r="AM324" s="549"/>
      <c r="AN324" s="73"/>
      <c r="AO324" s="14"/>
      <c r="AP324" s="555" t="s">
        <v>1184</v>
      </c>
    </row>
    <row r="325" spans="1:44" hidden="1">
      <c r="F325" s="2442"/>
      <c r="G325" s="2400"/>
      <c r="H325" s="2400"/>
      <c r="I325" s="2400"/>
      <c r="J325" s="2400"/>
      <c r="K325" s="2400"/>
      <c r="L325" s="2400"/>
      <c r="M325" s="2400"/>
      <c r="N325" s="2400"/>
      <c r="O325" s="2400"/>
      <c r="P325" s="2400"/>
      <c r="Q325" s="2400"/>
      <c r="R325" s="2400"/>
      <c r="S325" s="2400"/>
      <c r="T325" s="2400"/>
      <c r="U325" s="2400"/>
      <c r="V325" s="2400"/>
      <c r="W325" s="2400"/>
      <c r="X325" s="2400"/>
      <c r="Y325" s="2400"/>
      <c r="Z325" s="2400"/>
      <c r="AA325" s="2400"/>
      <c r="AB325" s="2400"/>
      <c r="AC325" s="2400"/>
      <c r="AD325" s="2443"/>
      <c r="AE325" s="550"/>
      <c r="AF325" s="550"/>
      <c r="AH325" s="550"/>
      <c r="AI325" s="550"/>
      <c r="AJ325" s="549"/>
      <c r="AK325" s="549"/>
      <c r="AL325" s="549"/>
      <c r="AM325" s="549"/>
      <c r="AN325" s="73"/>
      <c r="AO325" s="14"/>
      <c r="AP325" s="555" t="s">
        <v>1719</v>
      </c>
    </row>
    <row r="326" spans="1:44"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1721</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1831</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50" t="s">
        <v>1184</v>
      </c>
      <c r="G329" s="2551"/>
      <c r="H329" s="2551"/>
      <c r="I329" s="2551"/>
      <c r="J329" s="2551"/>
      <c r="K329" s="2551"/>
      <c r="L329" s="2551"/>
      <c r="M329" s="2551"/>
      <c r="N329" s="2551"/>
      <c r="O329" s="2551"/>
      <c r="P329" s="2551"/>
      <c r="Q329" s="2551"/>
      <c r="R329" s="2551"/>
      <c r="S329" s="2551"/>
      <c r="T329" s="2551"/>
      <c r="U329" s="2551"/>
      <c r="V329" s="2551"/>
      <c r="W329" s="2551"/>
      <c r="X329" s="2551"/>
      <c r="Y329" s="2551"/>
      <c r="Z329" s="2551"/>
      <c r="AA329" s="2551"/>
      <c r="AB329" s="2551"/>
      <c r="AC329" s="2551"/>
      <c r="AD329" s="2552"/>
      <c r="AE329" s="640"/>
      <c r="AF329" s="640"/>
      <c r="AG329" s="640"/>
      <c r="AH329" s="640"/>
      <c r="AI329" s="640"/>
      <c r="AJ329" s="640"/>
      <c r="AK329" s="640"/>
      <c r="AL329" s="549"/>
      <c r="AM329" s="549"/>
      <c r="AN329" s="73"/>
      <c r="AO329" s="14"/>
      <c r="AP329" s="30"/>
    </row>
    <row r="330" spans="1:44" hidden="1">
      <c r="A330" s="549"/>
      <c r="B330" s="550"/>
      <c r="C330" s="726"/>
      <c r="D330" s="726"/>
      <c r="E330" s="546"/>
      <c r="F330" s="2550"/>
      <c r="G330" s="2551"/>
      <c r="H330" s="2551"/>
      <c r="I330" s="2551"/>
      <c r="J330" s="2551"/>
      <c r="K330" s="2551"/>
      <c r="L330" s="2551"/>
      <c r="M330" s="2551"/>
      <c r="N330" s="2551"/>
      <c r="O330" s="2551"/>
      <c r="P330" s="2551"/>
      <c r="Q330" s="2551"/>
      <c r="R330" s="2551"/>
      <c r="S330" s="2551"/>
      <c r="T330" s="2551"/>
      <c r="U330" s="2551"/>
      <c r="V330" s="2551"/>
      <c r="W330" s="2551"/>
      <c r="X330" s="2551"/>
      <c r="Y330" s="2551"/>
      <c r="Z330" s="2551"/>
      <c r="AA330" s="2551"/>
      <c r="AB330" s="2551"/>
      <c r="AC330" s="2551"/>
      <c r="AD330" s="2552"/>
      <c r="AE330" s="550"/>
      <c r="AF330" s="550"/>
      <c r="AG330" s="539"/>
      <c r="AH330" s="550"/>
      <c r="AI330" s="550"/>
      <c r="AJ330" s="549"/>
      <c r="AK330" s="549"/>
      <c r="AL330" s="549"/>
      <c r="AM330" s="549"/>
      <c r="AN330" s="73"/>
      <c r="AO330" s="14"/>
      <c r="AP330" s="30"/>
    </row>
    <row r="331" spans="1:44" hidden="1">
      <c r="A331" s="549"/>
      <c r="B331" s="550"/>
      <c r="C331" s="726"/>
      <c r="D331" s="726"/>
      <c r="E331" s="546"/>
      <c r="F331" s="2550"/>
      <c r="G331" s="2551"/>
      <c r="H331" s="2551"/>
      <c r="I331" s="2551"/>
      <c r="J331" s="2551"/>
      <c r="K331" s="2551"/>
      <c r="L331" s="2551"/>
      <c r="M331" s="2551"/>
      <c r="N331" s="2551"/>
      <c r="O331" s="2551"/>
      <c r="P331" s="2551"/>
      <c r="Q331" s="2551"/>
      <c r="R331" s="2551"/>
      <c r="S331" s="2551"/>
      <c r="T331" s="2551"/>
      <c r="U331" s="2551"/>
      <c r="V331" s="2551"/>
      <c r="W331" s="2551"/>
      <c r="X331" s="2551"/>
      <c r="Y331" s="2551"/>
      <c r="Z331" s="2551"/>
      <c r="AA331" s="2551"/>
      <c r="AB331" s="2551"/>
      <c r="AC331" s="2551"/>
      <c r="AD331" s="2552"/>
      <c r="AE331" s="550"/>
      <c r="AF331" s="550"/>
      <c r="AG331" s="539"/>
      <c r="AH331" s="550"/>
      <c r="AI331" s="550"/>
      <c r="AJ331" s="549"/>
      <c r="AK331" s="549"/>
      <c r="AL331" s="549"/>
      <c r="AM331" s="549"/>
      <c r="AN331" s="73"/>
      <c r="AO331" s="14"/>
      <c r="AP331" s="30"/>
    </row>
    <row r="332" spans="1:44" hidden="1">
      <c r="A332" s="549"/>
      <c r="B332" s="550"/>
      <c r="C332" s="726"/>
      <c r="D332" s="726"/>
      <c r="E332" s="546"/>
      <c r="F332" s="2550"/>
      <c r="G332" s="2551"/>
      <c r="H332" s="2551"/>
      <c r="I332" s="2551"/>
      <c r="J332" s="2551"/>
      <c r="K332" s="2551"/>
      <c r="L332" s="2551"/>
      <c r="M332" s="2551"/>
      <c r="N332" s="2551"/>
      <c r="O332" s="2551"/>
      <c r="P332" s="2551"/>
      <c r="Q332" s="2551"/>
      <c r="R332" s="2551"/>
      <c r="S332" s="2551"/>
      <c r="T332" s="2551"/>
      <c r="U332" s="2551"/>
      <c r="V332" s="2551"/>
      <c r="W332" s="2551"/>
      <c r="X332" s="2551"/>
      <c r="Y332" s="2551"/>
      <c r="Z332" s="2551"/>
      <c r="AA332" s="2551"/>
      <c r="AB332" s="2551"/>
      <c r="AC332" s="2551"/>
      <c r="AD332" s="2552"/>
      <c r="AE332" s="550"/>
      <c r="AF332" s="550"/>
      <c r="AG332" s="539"/>
      <c r="AH332" s="550"/>
      <c r="AI332" s="550"/>
      <c r="AJ332" s="549"/>
      <c r="AK332" s="549"/>
      <c r="AL332" s="549"/>
      <c r="AM332" s="549"/>
      <c r="AN332" s="73"/>
      <c r="AO332" s="14"/>
      <c r="AP332" s="30"/>
    </row>
    <row r="333" spans="1:44" hidden="1">
      <c r="A333" s="549"/>
      <c r="B333" s="550"/>
      <c r="C333" s="726"/>
      <c r="D333" s="726"/>
      <c r="E333" s="546"/>
      <c r="F333" s="2553"/>
      <c r="G333" s="2554"/>
      <c r="H333" s="2554"/>
      <c r="I333" s="2554"/>
      <c r="J333" s="2554"/>
      <c r="K333" s="2554"/>
      <c r="L333" s="2554"/>
      <c r="M333" s="2554"/>
      <c r="N333" s="2554"/>
      <c r="O333" s="2554"/>
      <c r="P333" s="2554"/>
      <c r="Q333" s="2554"/>
      <c r="R333" s="2554"/>
      <c r="S333" s="2554"/>
      <c r="T333" s="2554"/>
      <c r="U333" s="2554"/>
      <c r="V333" s="2554"/>
      <c r="W333" s="2554"/>
      <c r="X333" s="2554"/>
      <c r="Y333" s="2554"/>
      <c r="Z333" s="2554"/>
      <c r="AA333" s="2554"/>
      <c r="AB333" s="2554"/>
      <c r="AC333" s="2554"/>
      <c r="AD333" s="2555"/>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1720</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2556" t="s">
        <v>1184</v>
      </c>
      <c r="J337" s="2556"/>
      <c r="K337" s="2556"/>
      <c r="L337" s="2556"/>
      <c r="M337" s="2556"/>
      <c r="N337" s="2556"/>
      <c r="O337" s="2556"/>
      <c r="P337" s="2556"/>
      <c r="Q337" s="2556"/>
      <c r="R337" s="2556"/>
      <c r="S337" s="2556"/>
      <c r="T337" s="2556"/>
      <c r="U337" s="2556"/>
      <c r="V337" s="2556"/>
      <c r="W337" s="2556"/>
      <c r="X337" s="2556"/>
      <c r="Y337" s="2556"/>
      <c r="Z337" s="2556"/>
      <c r="AA337" s="2556"/>
      <c r="AB337" s="2556"/>
      <c r="AC337" s="2556"/>
      <c r="AD337" s="2557"/>
      <c r="AE337" s="550"/>
      <c r="AF337" s="550"/>
      <c r="AG337" s="539"/>
      <c r="AH337" s="550"/>
      <c r="AI337" s="550"/>
      <c r="AJ337" s="549"/>
      <c r="AK337" s="549"/>
      <c r="AL337" s="549"/>
      <c r="AM337" s="549"/>
      <c r="AN337" s="73"/>
      <c r="AO337" s="14"/>
      <c r="AP337" s="555" t="s">
        <v>1626</v>
      </c>
    </row>
    <row r="338" spans="1:42" hidden="1">
      <c r="A338" s="549"/>
      <c r="B338" s="550"/>
      <c r="C338" s="726"/>
      <c r="D338" s="726"/>
      <c r="E338" s="546"/>
      <c r="F338" s="652"/>
      <c r="G338" s="573"/>
      <c r="H338" s="573"/>
      <c r="I338" s="2556"/>
      <c r="J338" s="2556"/>
      <c r="K338" s="2556"/>
      <c r="L338" s="2556"/>
      <c r="M338" s="2556"/>
      <c r="N338" s="2556"/>
      <c r="O338" s="2556"/>
      <c r="P338" s="2556"/>
      <c r="Q338" s="2556"/>
      <c r="R338" s="2556"/>
      <c r="S338" s="2556"/>
      <c r="T338" s="2556"/>
      <c r="U338" s="2556"/>
      <c r="V338" s="2556"/>
      <c r="W338" s="2556"/>
      <c r="X338" s="2556"/>
      <c r="Y338" s="2556"/>
      <c r="Z338" s="2556"/>
      <c r="AA338" s="2556"/>
      <c r="AB338" s="2556"/>
      <c r="AC338" s="2556"/>
      <c r="AD338" s="2557"/>
      <c r="AE338" s="550"/>
      <c r="AF338" s="550"/>
      <c r="AG338" s="539"/>
      <c r="AH338" s="550"/>
      <c r="AI338" s="550"/>
      <c r="AJ338" s="549"/>
      <c r="AK338" s="549"/>
      <c r="AL338" s="549"/>
      <c r="AM338" s="549"/>
      <c r="AN338" s="73"/>
      <c r="AO338" s="14"/>
      <c r="AP338" s="555" t="s">
        <v>1722</v>
      </c>
    </row>
    <row r="339" spans="1:42" hidden="1">
      <c r="A339" s="549"/>
      <c r="B339" s="550"/>
      <c r="C339" s="647"/>
      <c r="D339" s="647"/>
      <c r="E339" s="546"/>
      <c r="F339" s="652"/>
      <c r="G339" s="573"/>
      <c r="H339" s="573"/>
      <c r="I339" s="2556"/>
      <c r="J339" s="2556"/>
      <c r="K339" s="2556"/>
      <c r="L339" s="2556"/>
      <c r="M339" s="2556"/>
      <c r="N339" s="2556"/>
      <c r="O339" s="2556"/>
      <c r="P339" s="2556"/>
      <c r="Q339" s="2556"/>
      <c r="R339" s="2556"/>
      <c r="S339" s="2556"/>
      <c r="T339" s="2556"/>
      <c r="U339" s="2556"/>
      <c r="V339" s="2556"/>
      <c r="W339" s="2556"/>
      <c r="X339" s="2556"/>
      <c r="Y339" s="2556"/>
      <c r="Z339" s="2556"/>
      <c r="AA339" s="2556"/>
      <c r="AB339" s="2556"/>
      <c r="AC339" s="2556"/>
      <c r="AD339" s="2557"/>
      <c r="AE339" s="550"/>
      <c r="AF339" s="550"/>
      <c r="AG339" s="539"/>
      <c r="AH339" s="550"/>
      <c r="AI339" s="550"/>
      <c r="AJ339" s="549"/>
      <c r="AK339" s="549"/>
      <c r="AL339" s="549"/>
      <c r="AM339" s="549"/>
      <c r="AN339" s="73"/>
      <c r="AO339" s="14"/>
      <c r="AP339" s="555" t="s">
        <v>1724</v>
      </c>
    </row>
    <row r="340" spans="1:42" hidden="1">
      <c r="A340" s="549"/>
      <c r="B340" s="550"/>
      <c r="C340" s="647"/>
      <c r="D340" s="647"/>
      <c r="E340" s="546"/>
      <c r="F340" s="650"/>
      <c r="G340" s="550"/>
      <c r="H340" s="550"/>
      <c r="I340" s="2558"/>
      <c r="J340" s="2558"/>
      <c r="K340" s="2558"/>
      <c r="L340" s="2558"/>
      <c r="M340" s="2558"/>
      <c r="N340" s="2558"/>
      <c r="O340" s="2558"/>
      <c r="P340" s="2558"/>
      <c r="Q340" s="2558"/>
      <c r="R340" s="2558"/>
      <c r="S340" s="2558"/>
      <c r="T340" s="2558"/>
      <c r="U340" s="2558"/>
      <c r="V340" s="2558"/>
      <c r="W340" s="2558"/>
      <c r="X340" s="2558"/>
      <c r="Y340" s="2558"/>
      <c r="Z340" s="2558"/>
      <c r="AA340" s="2558"/>
      <c r="AB340" s="2558"/>
      <c r="AC340" s="2558"/>
      <c r="AD340" s="2559"/>
      <c r="AE340" s="550"/>
      <c r="AF340" s="550"/>
      <c r="AG340" s="539"/>
      <c r="AH340" s="550"/>
      <c r="AI340" s="550"/>
      <c r="AJ340" s="549"/>
      <c r="AK340" s="549"/>
      <c r="AL340" s="549"/>
      <c r="AM340" s="549"/>
      <c r="AN340" s="73"/>
      <c r="AO340" s="14"/>
      <c r="AP340" s="555" t="s">
        <v>1723</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56" t="s">
        <v>1184</v>
      </c>
      <c r="J342" s="2556"/>
      <c r="K342" s="2556"/>
      <c r="L342" s="2556"/>
      <c r="M342" s="2556"/>
      <c r="N342" s="2556"/>
      <c r="O342" s="2556"/>
      <c r="P342" s="2556"/>
      <c r="Q342" s="2556"/>
      <c r="R342" s="2556"/>
      <c r="S342" s="2556"/>
      <c r="T342" s="2556"/>
      <c r="U342" s="2556"/>
      <c r="V342" s="2556"/>
      <c r="W342" s="2556"/>
      <c r="X342" s="2556"/>
      <c r="Y342" s="2556"/>
      <c r="Z342" s="2556"/>
      <c r="AA342" s="2556"/>
      <c r="AB342" s="2556"/>
      <c r="AC342" s="2556"/>
      <c r="AD342" s="2557"/>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56"/>
      <c r="J343" s="2556"/>
      <c r="K343" s="2556"/>
      <c r="L343" s="2556"/>
      <c r="M343" s="2556"/>
      <c r="N343" s="2556"/>
      <c r="O343" s="2556"/>
      <c r="P343" s="2556"/>
      <c r="Q343" s="2556"/>
      <c r="R343" s="2556"/>
      <c r="S343" s="2556"/>
      <c r="T343" s="2556"/>
      <c r="U343" s="2556"/>
      <c r="V343" s="2556"/>
      <c r="W343" s="2556"/>
      <c r="X343" s="2556"/>
      <c r="Y343" s="2556"/>
      <c r="Z343" s="2556"/>
      <c r="AA343" s="2556"/>
      <c r="AB343" s="2556"/>
      <c r="AC343" s="2556"/>
      <c r="AD343" s="2557"/>
      <c r="AE343" s="550"/>
      <c r="AF343" s="550"/>
      <c r="AG343" s="539"/>
      <c r="AH343" s="550"/>
      <c r="AI343" s="550"/>
      <c r="AJ343" s="549"/>
      <c r="AK343" s="549"/>
      <c r="AL343" s="549"/>
      <c r="AM343" s="549"/>
      <c r="AN343" s="73"/>
      <c r="AO343" s="14"/>
      <c r="AP343" s="555" t="s">
        <v>1184</v>
      </c>
    </row>
    <row r="344" spans="1:42" hidden="1">
      <c r="A344" s="549"/>
      <c r="B344" s="550"/>
      <c r="C344" s="647"/>
      <c r="D344" s="647"/>
      <c r="E344" s="546"/>
      <c r="F344" s="653"/>
      <c r="G344" s="654"/>
      <c r="H344" s="654"/>
      <c r="I344" s="2558"/>
      <c r="J344" s="2558"/>
      <c r="K344" s="2558"/>
      <c r="L344" s="2558"/>
      <c r="M344" s="2558"/>
      <c r="N344" s="2558"/>
      <c r="O344" s="2558"/>
      <c r="P344" s="2558"/>
      <c r="Q344" s="2558"/>
      <c r="R344" s="2558"/>
      <c r="S344" s="2558"/>
      <c r="T344" s="2558"/>
      <c r="U344" s="2558"/>
      <c r="V344" s="2558"/>
      <c r="W344" s="2558"/>
      <c r="X344" s="2558"/>
      <c r="Y344" s="2558"/>
      <c r="Z344" s="2558"/>
      <c r="AA344" s="2558"/>
      <c r="AB344" s="2558"/>
      <c r="AC344" s="2558"/>
      <c r="AD344" s="2559"/>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636" t="s">
        <v>1384</v>
      </c>
      <c r="B346" s="1636"/>
      <c r="C346" s="2422" t="s">
        <v>591</v>
      </c>
      <c r="D346" s="2422"/>
      <c r="E346" s="546"/>
      <c r="F346" s="2463" t="s">
        <v>1989</v>
      </c>
      <c r="G346" s="2464"/>
      <c r="H346" s="2464"/>
      <c r="I346" s="2464"/>
      <c r="J346" s="2464"/>
      <c r="K346" s="2464"/>
      <c r="L346" s="2464"/>
      <c r="M346" s="2464"/>
      <c r="N346" s="2464"/>
      <c r="O346" s="2464"/>
      <c r="P346" s="2464"/>
      <c r="Q346" s="2464"/>
      <c r="R346" s="2464"/>
      <c r="S346" s="2464"/>
      <c r="T346" s="2464"/>
      <c r="U346" s="2464"/>
      <c r="V346" s="2464"/>
      <c r="W346" s="2464"/>
      <c r="X346" s="2464"/>
      <c r="Y346" s="2464"/>
      <c r="Z346" s="2464"/>
      <c r="AA346" s="2464"/>
      <c r="AB346" s="2464"/>
      <c r="AC346" s="2464"/>
      <c r="AD346" s="2465"/>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2466"/>
      <c r="G347" s="2467"/>
      <c r="H347" s="2467"/>
      <c r="I347" s="2467"/>
      <c r="J347" s="2467"/>
      <c r="K347" s="2467"/>
      <c r="L347" s="2467"/>
      <c r="M347" s="2467"/>
      <c r="N347" s="2467"/>
      <c r="O347" s="2467"/>
      <c r="P347" s="2467"/>
      <c r="Q347" s="2467"/>
      <c r="R347" s="2467"/>
      <c r="S347" s="2467"/>
      <c r="T347" s="2467"/>
      <c r="U347" s="2467"/>
      <c r="V347" s="2467"/>
      <c r="W347" s="2467"/>
      <c r="X347" s="2467"/>
      <c r="Y347" s="2467"/>
      <c r="Z347" s="2467"/>
      <c r="AA347" s="2467"/>
      <c r="AB347" s="2467"/>
      <c r="AC347" s="2467"/>
      <c r="AD347" s="2468"/>
      <c r="AE347" s="550"/>
      <c r="AF347" s="550"/>
      <c r="AG347" s="550"/>
      <c r="AH347" s="550"/>
      <c r="AI347" s="550"/>
      <c r="AJ347" s="549"/>
      <c r="AK347" s="549"/>
      <c r="AL347" s="549"/>
      <c r="AM347" s="549"/>
      <c r="AN347" s="73"/>
      <c r="AO347" s="14"/>
    </row>
    <row r="348" spans="1:42" ht="15" hidden="1" customHeight="1">
      <c r="A348" s="549"/>
      <c r="B348" s="550"/>
      <c r="C348" s="550"/>
      <c r="D348" s="550"/>
      <c r="E348" s="550"/>
      <c r="F348" s="2466"/>
      <c r="G348" s="2467"/>
      <c r="H348" s="2467"/>
      <c r="I348" s="2467"/>
      <c r="J348" s="2467"/>
      <c r="K348" s="2467"/>
      <c r="L348" s="2467"/>
      <c r="M348" s="2467"/>
      <c r="N348" s="2467"/>
      <c r="O348" s="2467"/>
      <c r="P348" s="2467"/>
      <c r="Q348" s="2467"/>
      <c r="R348" s="2467"/>
      <c r="S348" s="2467"/>
      <c r="T348" s="2467"/>
      <c r="U348" s="2467"/>
      <c r="V348" s="2467"/>
      <c r="W348" s="2467"/>
      <c r="X348" s="2467"/>
      <c r="Y348" s="2467"/>
      <c r="Z348" s="2467"/>
      <c r="AA348" s="2467"/>
      <c r="AB348" s="2467"/>
      <c r="AC348" s="2467"/>
      <c r="AD348" s="2468"/>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2604</v>
      </c>
      <c r="AK351" s="2403">
        <f>IF(NOT(OR(Application!M364="Yes",Application!M365="Yes")),0,AP308)</f>
        <v>0</v>
      </c>
      <c r="AL351" s="2449"/>
      <c r="AM351" s="2404"/>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2460" t="s">
        <v>1308</v>
      </c>
      <c r="AF354" s="2460"/>
      <c r="AG354" s="2460"/>
      <c r="AH354" s="2460"/>
      <c r="AI354" s="2460"/>
      <c r="AJ354" s="2460"/>
      <c r="AK354" s="2460"/>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71" t="s">
        <v>1445</v>
      </c>
      <c r="D356" s="2471"/>
      <c r="E356" s="2471"/>
      <c r="F356" s="2471"/>
      <c r="G356" s="2471"/>
      <c r="H356" s="2471"/>
      <c r="I356" s="2471"/>
      <c r="J356" s="2471"/>
      <c r="K356" s="2471"/>
      <c r="L356" s="2471"/>
      <c r="M356" s="2471"/>
      <c r="N356" s="2471"/>
      <c r="O356" s="2471"/>
      <c r="P356" s="2471"/>
      <c r="Q356" s="2471"/>
      <c r="R356" s="2471"/>
      <c r="S356" s="2471"/>
      <c r="T356" s="2471"/>
      <c r="U356" s="2471"/>
      <c r="V356" s="2471"/>
      <c r="W356" s="2471"/>
      <c r="X356" s="2471"/>
      <c r="Y356" s="2471"/>
      <c r="Z356" s="2471"/>
      <c r="AA356" s="2471"/>
      <c r="AB356" s="2471"/>
      <c r="AC356" s="2471"/>
      <c r="AD356" s="2471"/>
      <c r="AE356" s="2471"/>
      <c r="AF356" s="2471"/>
      <c r="AG356" s="2471"/>
      <c r="AH356" s="2471"/>
      <c r="AI356" s="2471"/>
      <c r="AJ356" s="2471"/>
      <c r="AK356" s="601"/>
      <c r="AL356" s="601"/>
      <c r="AM356" s="601"/>
      <c r="AN356" s="595"/>
    </row>
    <row r="357" spans="1:44" s="549" customFormat="1" ht="12.75" customHeight="1">
      <c r="A357" s="601"/>
      <c r="B357" s="609"/>
      <c r="C357" s="2471"/>
      <c r="D357" s="2471"/>
      <c r="E357" s="2471"/>
      <c r="F357" s="2471"/>
      <c r="G357" s="2471"/>
      <c r="H357" s="2471"/>
      <c r="I357" s="2471"/>
      <c r="J357" s="2471"/>
      <c r="K357" s="2471"/>
      <c r="L357" s="2471"/>
      <c r="M357" s="2471"/>
      <c r="N357" s="2471"/>
      <c r="O357" s="2471"/>
      <c r="P357" s="2471"/>
      <c r="Q357" s="2471"/>
      <c r="R357" s="2471"/>
      <c r="S357" s="2471"/>
      <c r="T357" s="2471"/>
      <c r="U357" s="2471"/>
      <c r="V357" s="2471"/>
      <c r="W357" s="2471"/>
      <c r="X357" s="2471"/>
      <c r="Y357" s="2471"/>
      <c r="Z357" s="2471"/>
      <c r="AA357" s="2471"/>
      <c r="AB357" s="2471"/>
      <c r="AC357" s="2471"/>
      <c r="AD357" s="2471"/>
      <c r="AE357" s="2471"/>
      <c r="AF357" s="2471"/>
      <c r="AG357" s="2471"/>
      <c r="AH357" s="2471"/>
      <c r="AI357" s="2471"/>
      <c r="AJ357" s="2471"/>
      <c r="AK357" s="601"/>
      <c r="AL357" s="601"/>
      <c r="AM357" s="601"/>
      <c r="AN357" s="595"/>
    </row>
    <row r="358" spans="1:44" s="549" customFormat="1" ht="12.75" customHeight="1">
      <c r="A358" s="601"/>
      <c r="B358" s="609"/>
      <c r="C358" s="2471"/>
      <c r="D358" s="2471"/>
      <c r="E358" s="2471"/>
      <c r="F358" s="2471"/>
      <c r="G358" s="2471"/>
      <c r="H358" s="2471"/>
      <c r="I358" s="2471"/>
      <c r="J358" s="2471"/>
      <c r="K358" s="2471"/>
      <c r="L358" s="2471"/>
      <c r="M358" s="2471"/>
      <c r="N358" s="2471"/>
      <c r="O358" s="2471"/>
      <c r="P358" s="2471"/>
      <c r="Q358" s="2471"/>
      <c r="R358" s="2471"/>
      <c r="S358" s="2471"/>
      <c r="T358" s="2471"/>
      <c r="U358" s="2471"/>
      <c r="V358" s="2471"/>
      <c r="W358" s="2471"/>
      <c r="X358" s="2471"/>
      <c r="Y358" s="2471"/>
      <c r="Z358" s="2471"/>
      <c r="AA358" s="2471"/>
      <c r="AB358" s="2471"/>
      <c r="AC358" s="2471"/>
      <c r="AD358" s="2471"/>
      <c r="AE358" s="2471"/>
      <c r="AF358" s="2471"/>
      <c r="AG358" s="2471"/>
      <c r="AH358" s="2471"/>
      <c r="AI358" s="2471"/>
      <c r="AJ358" s="2471"/>
      <c r="AK358" s="601"/>
      <c r="AL358" s="601"/>
      <c r="AM358" s="601"/>
      <c r="AN358" s="595"/>
      <c r="AQ358" s="568"/>
    </row>
    <row r="359" spans="1:44" s="549" customFormat="1" ht="12.75" customHeight="1">
      <c r="A359" s="601"/>
      <c r="B359" s="609"/>
      <c r="C359" s="2471"/>
      <c r="D359" s="2471"/>
      <c r="E359" s="2471"/>
      <c r="F359" s="2471"/>
      <c r="G359" s="2471"/>
      <c r="H359" s="2471"/>
      <c r="I359" s="2471"/>
      <c r="J359" s="2471"/>
      <c r="K359" s="2471"/>
      <c r="L359" s="2471"/>
      <c r="M359" s="2471"/>
      <c r="N359" s="2471"/>
      <c r="O359" s="2471"/>
      <c r="P359" s="2471"/>
      <c r="Q359" s="2471"/>
      <c r="R359" s="2471"/>
      <c r="S359" s="2471"/>
      <c r="T359" s="2471"/>
      <c r="U359" s="2471"/>
      <c r="V359" s="2471"/>
      <c r="W359" s="2471"/>
      <c r="X359" s="2471"/>
      <c r="Y359" s="2471"/>
      <c r="Z359" s="2471"/>
      <c r="AA359" s="2471"/>
      <c r="AB359" s="2471"/>
      <c r="AC359" s="2471"/>
      <c r="AD359" s="2471"/>
      <c r="AE359" s="2471"/>
      <c r="AF359" s="2471"/>
      <c r="AG359" s="2471"/>
      <c r="AH359" s="2471"/>
      <c r="AI359" s="2471"/>
      <c r="AJ359" s="2471"/>
      <c r="AK359" s="601"/>
      <c r="AL359" s="601"/>
      <c r="AM359" s="601"/>
      <c r="AN359" s="595"/>
      <c r="AQ359" s="568"/>
    </row>
    <row r="360" spans="1:44" s="549" customFormat="1" ht="12.4" customHeight="1">
      <c r="A360" s="601"/>
      <c r="B360" s="609"/>
      <c r="C360" s="2471"/>
      <c r="D360" s="2471"/>
      <c r="E360" s="2471"/>
      <c r="F360" s="2471"/>
      <c r="G360" s="2471"/>
      <c r="H360" s="2471"/>
      <c r="I360" s="2471"/>
      <c r="J360" s="2471"/>
      <c r="K360" s="2471"/>
      <c r="L360" s="2471"/>
      <c r="M360" s="2471"/>
      <c r="N360" s="2471"/>
      <c r="O360" s="2471"/>
      <c r="P360" s="2471"/>
      <c r="Q360" s="2471"/>
      <c r="R360" s="2471"/>
      <c r="S360" s="2471"/>
      <c r="T360" s="2471"/>
      <c r="U360" s="2471"/>
      <c r="V360" s="2471"/>
      <c r="W360" s="2471"/>
      <c r="X360" s="2471"/>
      <c r="Y360" s="2471"/>
      <c r="Z360" s="2471"/>
      <c r="AA360" s="2471"/>
      <c r="AB360" s="2471"/>
      <c r="AC360" s="2471"/>
      <c r="AD360" s="2471"/>
      <c r="AE360" s="2471"/>
      <c r="AF360" s="2471"/>
      <c r="AG360" s="2471"/>
      <c r="AH360" s="2471"/>
      <c r="AI360" s="2471"/>
      <c r="AJ360" s="2471"/>
      <c r="AK360" s="601"/>
      <c r="AL360" s="601"/>
      <c r="AM360" s="601"/>
      <c r="AN360" s="595"/>
      <c r="AQ360" s="568"/>
      <c r="AR360" s="568"/>
    </row>
    <row r="361" spans="1:44" s="549" customFormat="1" ht="45.75" customHeight="1">
      <c r="A361" s="601"/>
      <c r="B361" s="609"/>
      <c r="C361" s="2471" t="s">
        <v>2049</v>
      </c>
      <c r="D361" s="2471"/>
      <c r="E361" s="2471"/>
      <c r="F361" s="2471"/>
      <c r="G361" s="2471"/>
      <c r="H361" s="2471"/>
      <c r="I361" s="2471"/>
      <c r="J361" s="2471"/>
      <c r="K361" s="2471"/>
      <c r="L361" s="2471"/>
      <c r="M361" s="2471"/>
      <c r="N361" s="2471"/>
      <c r="O361" s="2471"/>
      <c r="P361" s="2471"/>
      <c r="Q361" s="2471"/>
      <c r="R361" s="2471"/>
      <c r="S361" s="2471"/>
      <c r="T361" s="2471"/>
      <c r="U361" s="2471"/>
      <c r="V361" s="2471"/>
      <c r="W361" s="2471"/>
      <c r="X361" s="2471"/>
      <c r="Y361" s="2471"/>
      <c r="Z361" s="2471"/>
      <c r="AA361" s="2471"/>
      <c r="AB361" s="2471"/>
      <c r="AC361" s="2471"/>
      <c r="AD361" s="2471"/>
      <c r="AE361" s="2471"/>
      <c r="AF361" s="2471"/>
      <c r="AG361" s="2471"/>
      <c r="AH361" s="2471"/>
      <c r="AI361" s="2471"/>
      <c r="AJ361" s="2471"/>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71" t="s">
        <v>2163</v>
      </c>
      <c r="D363" s="2471"/>
      <c r="E363" s="2471"/>
      <c r="F363" s="2471"/>
      <c r="G363" s="2471"/>
      <c r="H363" s="2471"/>
      <c r="I363" s="2471"/>
      <c r="J363" s="2471"/>
      <c r="K363" s="2471"/>
      <c r="L363" s="2471"/>
      <c r="M363" s="2471"/>
      <c r="N363" s="2471"/>
      <c r="O363" s="2471"/>
      <c r="P363" s="2471"/>
      <c r="Q363" s="2471"/>
      <c r="R363" s="2471"/>
      <c r="S363" s="2471"/>
      <c r="T363" s="2471"/>
      <c r="U363" s="2471"/>
      <c r="V363" s="2471"/>
      <c r="W363" s="2471"/>
      <c r="X363" s="2471"/>
      <c r="Y363" s="2471"/>
      <c r="Z363" s="2471"/>
      <c r="AA363" s="2471"/>
      <c r="AB363" s="2471"/>
      <c r="AC363" s="2471"/>
      <c r="AD363" s="2471"/>
      <c r="AE363" s="2471"/>
      <c r="AF363" s="2471"/>
      <c r="AG363" s="2471"/>
      <c r="AH363" s="2471"/>
      <c r="AI363" s="2471"/>
      <c r="AJ363" s="2471"/>
      <c r="AK363" s="601"/>
      <c r="AL363" s="601"/>
      <c r="AM363" s="601"/>
      <c r="AN363" s="595"/>
      <c r="AQ363" s="568"/>
      <c r="AR363" s="568"/>
    </row>
    <row r="364" spans="1:44" s="549" customFormat="1" ht="30" customHeight="1">
      <c r="A364" s="601"/>
      <c r="B364" s="609"/>
      <c r="C364" s="2471"/>
      <c r="D364" s="2471"/>
      <c r="E364" s="2471"/>
      <c r="F364" s="2471"/>
      <c r="G364" s="2471"/>
      <c r="H364" s="2471"/>
      <c r="I364" s="2471"/>
      <c r="J364" s="2471"/>
      <c r="K364" s="2471"/>
      <c r="L364" s="2471"/>
      <c r="M364" s="2471"/>
      <c r="N364" s="2471"/>
      <c r="O364" s="2471"/>
      <c r="P364" s="2471"/>
      <c r="Q364" s="2471"/>
      <c r="R364" s="2471"/>
      <c r="S364" s="2471"/>
      <c r="T364" s="2471"/>
      <c r="U364" s="2471"/>
      <c r="V364" s="2471"/>
      <c r="W364" s="2471"/>
      <c r="X364" s="2471"/>
      <c r="Y364" s="2471"/>
      <c r="Z364" s="2471"/>
      <c r="AA364" s="2471"/>
      <c r="AB364" s="2471"/>
      <c r="AC364" s="2471"/>
      <c r="AD364" s="2471"/>
      <c r="AE364" s="2471"/>
      <c r="AF364" s="2471"/>
      <c r="AG364" s="2471"/>
      <c r="AH364" s="2471"/>
      <c r="AI364" s="2471"/>
      <c r="AJ364" s="2471"/>
      <c r="AK364" s="601"/>
      <c r="AL364" s="601"/>
      <c r="AM364" s="601"/>
      <c r="AN364" s="595"/>
      <c r="AR364" s="568"/>
    </row>
    <row r="365" spans="1:44" s="549" customFormat="1" ht="12.75" customHeight="1">
      <c r="A365" s="601"/>
      <c r="B365" s="609"/>
      <c r="C365" s="2471"/>
      <c r="D365" s="2471"/>
      <c r="E365" s="2471"/>
      <c r="F365" s="2471"/>
      <c r="G365" s="2471"/>
      <c r="H365" s="2471"/>
      <c r="I365" s="2471"/>
      <c r="J365" s="2471"/>
      <c r="K365" s="2471"/>
      <c r="L365" s="2471"/>
      <c r="M365" s="2471"/>
      <c r="N365" s="2471"/>
      <c r="O365" s="2471"/>
      <c r="P365" s="2471"/>
      <c r="Q365" s="2471"/>
      <c r="R365" s="2471"/>
      <c r="S365" s="2471"/>
      <c r="T365" s="2471"/>
      <c r="U365" s="2471"/>
      <c r="V365" s="2471"/>
      <c r="W365" s="2471"/>
      <c r="X365" s="2471"/>
      <c r="Y365" s="2471"/>
      <c r="Z365" s="2471"/>
      <c r="AA365" s="2471"/>
      <c r="AB365" s="2471"/>
      <c r="AC365" s="2471"/>
      <c r="AD365" s="2471"/>
      <c r="AE365" s="2471"/>
      <c r="AF365" s="2471"/>
      <c r="AG365" s="2471"/>
      <c r="AH365" s="2471"/>
      <c r="AI365" s="2471"/>
      <c r="AJ365" s="2471"/>
      <c r="AK365" s="601"/>
      <c r="AL365" s="601"/>
      <c r="AM365" s="601"/>
      <c r="AN365" s="595"/>
      <c r="AR365" s="568"/>
    </row>
    <row r="366" spans="1:44" s="549" customFormat="1" ht="12.75" customHeight="1">
      <c r="A366" s="601"/>
      <c r="B366" s="609"/>
      <c r="C366" s="2471" t="s">
        <v>1446</v>
      </c>
      <c r="D366" s="2471"/>
      <c r="E366" s="2471"/>
      <c r="F366" s="2471"/>
      <c r="G366" s="2471"/>
      <c r="H366" s="2471"/>
      <c r="I366" s="2471"/>
      <c r="J366" s="2471"/>
      <c r="K366" s="2471"/>
      <c r="L366" s="2471"/>
      <c r="M366" s="2471"/>
      <c r="N366" s="2471"/>
      <c r="O366" s="2471"/>
      <c r="P366" s="2471"/>
      <c r="Q366" s="2471"/>
      <c r="R366" s="2471"/>
      <c r="S366" s="2471"/>
      <c r="T366" s="2471"/>
      <c r="U366" s="2471"/>
      <c r="V366" s="2471"/>
      <c r="W366" s="2471"/>
      <c r="X366" s="2471"/>
      <c r="Y366" s="2471"/>
      <c r="Z366" s="2471"/>
      <c r="AA366" s="2471"/>
      <c r="AB366" s="2471"/>
      <c r="AC366" s="2471"/>
      <c r="AD366" s="2471"/>
      <c r="AE366" s="2471"/>
      <c r="AF366" s="2471"/>
      <c r="AG366" s="2471"/>
      <c r="AH366" s="2471"/>
      <c r="AI366" s="2471"/>
      <c r="AJ366" s="2471"/>
      <c r="AK366" s="601"/>
      <c r="AL366" s="601"/>
      <c r="AM366" s="601"/>
      <c r="AN366" s="595"/>
      <c r="AQ366" s="568"/>
      <c r="AR366" s="568"/>
    </row>
    <row r="367" spans="1:44" s="549" customFormat="1" ht="12.75" customHeight="1">
      <c r="A367" s="601"/>
      <c r="B367" s="609"/>
      <c r="C367" s="2471"/>
      <c r="D367" s="2471"/>
      <c r="E367" s="2471"/>
      <c r="F367" s="2471"/>
      <c r="G367" s="2471"/>
      <c r="H367" s="2471"/>
      <c r="I367" s="2471"/>
      <c r="J367" s="2471"/>
      <c r="K367" s="2471"/>
      <c r="L367" s="2471"/>
      <c r="M367" s="2471"/>
      <c r="N367" s="2471"/>
      <c r="O367" s="2471"/>
      <c r="P367" s="2471"/>
      <c r="Q367" s="2471"/>
      <c r="R367" s="2471"/>
      <c r="S367" s="2471"/>
      <c r="T367" s="2471"/>
      <c r="U367" s="2471"/>
      <c r="V367" s="2471"/>
      <c r="W367" s="2471"/>
      <c r="X367" s="2471"/>
      <c r="Y367" s="2471"/>
      <c r="Z367" s="2471"/>
      <c r="AA367" s="2471"/>
      <c r="AB367" s="2471"/>
      <c r="AC367" s="2471"/>
      <c r="AD367" s="2471"/>
      <c r="AE367" s="2471"/>
      <c r="AF367" s="2471"/>
      <c r="AG367" s="2471"/>
      <c r="AH367" s="2471"/>
      <c r="AI367" s="2471"/>
      <c r="AJ367" s="2471"/>
      <c r="AK367" s="601"/>
      <c r="AL367" s="601"/>
      <c r="AM367" s="601"/>
      <c r="AN367" s="595"/>
      <c r="AQ367" s="568"/>
      <c r="AR367" s="568"/>
    </row>
    <row r="368" spans="1:44" s="549" customFormat="1" ht="13.15" customHeight="1">
      <c r="A368" s="601"/>
      <c r="B368" s="609"/>
      <c r="C368" s="2471"/>
      <c r="D368" s="2471"/>
      <c r="E368" s="2471"/>
      <c r="F368" s="2471"/>
      <c r="G368" s="2471"/>
      <c r="H368" s="2471"/>
      <c r="I368" s="2471"/>
      <c r="J368" s="2471"/>
      <c r="K368" s="2471"/>
      <c r="L368" s="2471"/>
      <c r="M368" s="2471"/>
      <c r="N368" s="2471"/>
      <c r="O368" s="2471"/>
      <c r="P368" s="2471"/>
      <c r="Q368" s="2471"/>
      <c r="R368" s="2471"/>
      <c r="S368" s="2471"/>
      <c r="T368" s="2471"/>
      <c r="U368" s="2471"/>
      <c r="V368" s="2471"/>
      <c r="W368" s="2471"/>
      <c r="X368" s="2471"/>
      <c r="Y368" s="2471"/>
      <c r="Z368" s="2471"/>
      <c r="AA368" s="2471"/>
      <c r="AB368" s="2471"/>
      <c r="AC368" s="2471"/>
      <c r="AD368" s="2471"/>
      <c r="AE368" s="2471"/>
      <c r="AF368" s="2471"/>
      <c r="AG368" s="2471"/>
      <c r="AH368" s="2471"/>
      <c r="AI368" s="2471"/>
      <c r="AJ368" s="2471"/>
      <c r="AK368" s="601"/>
      <c r="AL368" s="601"/>
      <c r="AM368" s="601"/>
      <c r="AN368" s="595"/>
      <c r="AQ368" s="568"/>
      <c r="AR368" s="568"/>
    </row>
    <row r="369" spans="1:46" s="549" customFormat="1" ht="12.75" customHeight="1">
      <c r="A369" s="601"/>
      <c r="B369" s="609"/>
      <c r="C369" s="2471"/>
      <c r="D369" s="2471"/>
      <c r="E369" s="2471"/>
      <c r="F369" s="2471"/>
      <c r="G369" s="2471"/>
      <c r="H369" s="2471"/>
      <c r="I369" s="2471"/>
      <c r="J369" s="2471"/>
      <c r="K369" s="2471"/>
      <c r="L369" s="2471"/>
      <c r="M369" s="2471"/>
      <c r="N369" s="2471"/>
      <c r="O369" s="2471"/>
      <c r="P369" s="2471"/>
      <c r="Q369" s="2471"/>
      <c r="R369" s="2471"/>
      <c r="S369" s="2471"/>
      <c r="T369" s="2471"/>
      <c r="U369" s="2471"/>
      <c r="V369" s="2471"/>
      <c r="W369" s="2471"/>
      <c r="X369" s="2471"/>
      <c r="Y369" s="2471"/>
      <c r="Z369" s="2471"/>
      <c r="AA369" s="2471"/>
      <c r="AB369" s="2471"/>
      <c r="AC369" s="2471"/>
      <c r="AD369" s="2471"/>
      <c r="AE369" s="2471"/>
      <c r="AF369" s="2471"/>
      <c r="AG369" s="2471"/>
      <c r="AH369" s="2471"/>
      <c r="AI369" s="2471"/>
      <c r="AJ369" s="2471"/>
      <c r="AK369" s="601"/>
      <c r="AL369" s="601"/>
      <c r="AM369" s="601"/>
      <c r="AN369" s="595"/>
      <c r="AO369" s="690"/>
      <c r="AP369" s="690"/>
      <c r="AQ369" s="568"/>
    </row>
    <row r="370" spans="1:46" s="549" customFormat="1" ht="11.85" customHeight="1">
      <c r="A370" s="601"/>
      <c r="B370" s="609"/>
      <c r="C370" s="2471"/>
      <c r="D370" s="2471"/>
      <c r="E370" s="2471"/>
      <c r="F370" s="2471"/>
      <c r="G370" s="2471"/>
      <c r="H370" s="2471"/>
      <c r="I370" s="2471"/>
      <c r="J370" s="2471"/>
      <c r="K370" s="2471"/>
      <c r="L370" s="2471"/>
      <c r="M370" s="2471"/>
      <c r="N370" s="2471"/>
      <c r="O370" s="2471"/>
      <c r="P370" s="2471"/>
      <c r="Q370" s="2471"/>
      <c r="R370" s="2471"/>
      <c r="S370" s="2471"/>
      <c r="T370" s="2471"/>
      <c r="U370" s="2471"/>
      <c r="V370" s="2471"/>
      <c r="W370" s="2471"/>
      <c r="X370" s="2471"/>
      <c r="Y370" s="2471"/>
      <c r="Z370" s="2471"/>
      <c r="AA370" s="2471"/>
      <c r="AB370" s="2471"/>
      <c r="AC370" s="2471"/>
      <c r="AD370" s="2471"/>
      <c r="AE370" s="2471"/>
      <c r="AF370" s="2471"/>
      <c r="AG370" s="2471"/>
      <c r="AH370" s="2471"/>
      <c r="AI370" s="2471"/>
      <c r="AJ370" s="2471"/>
      <c r="AK370" s="601"/>
      <c r="AL370" s="601"/>
      <c r="AM370" s="601"/>
      <c r="AN370" s="595"/>
      <c r="AO370" s="691" t="s">
        <v>112</v>
      </c>
      <c r="AP370" s="692">
        <f>IF(C394="Yes",5,0)</f>
        <v>0</v>
      </c>
      <c r="AS370" s="539" t="s">
        <v>1447</v>
      </c>
    </row>
    <row r="371" spans="1:46" s="549" customFormat="1" ht="12.75" customHeight="1">
      <c r="A371" s="601"/>
      <c r="B371" s="609"/>
      <c r="C371" s="2471"/>
      <c r="D371" s="2471"/>
      <c r="E371" s="2471"/>
      <c r="F371" s="2471"/>
      <c r="G371" s="2471"/>
      <c r="H371" s="2471"/>
      <c r="I371" s="2471"/>
      <c r="J371" s="2471"/>
      <c r="K371" s="2471"/>
      <c r="L371" s="2471"/>
      <c r="M371" s="2471"/>
      <c r="N371" s="2471"/>
      <c r="O371" s="2471"/>
      <c r="P371" s="2471"/>
      <c r="Q371" s="2471"/>
      <c r="R371" s="2471"/>
      <c r="S371" s="2471"/>
      <c r="T371" s="2471"/>
      <c r="U371" s="2471"/>
      <c r="V371" s="2471"/>
      <c r="W371" s="2471"/>
      <c r="X371" s="2471"/>
      <c r="Y371" s="2471"/>
      <c r="Z371" s="2471"/>
      <c r="AA371" s="2471"/>
      <c r="AB371" s="2471"/>
      <c r="AC371" s="2471"/>
      <c r="AD371" s="2471"/>
      <c r="AE371" s="2471"/>
      <c r="AF371" s="2471"/>
      <c r="AG371" s="2471"/>
      <c r="AH371" s="2471"/>
      <c r="AI371" s="2471"/>
      <c r="AJ371" s="2471"/>
      <c r="AK371" s="601"/>
      <c r="AL371" s="601"/>
      <c r="AM371" s="601"/>
      <c r="AN371" s="595"/>
      <c r="AO371" s="691" t="s">
        <v>113</v>
      </c>
      <c r="AP371" s="692">
        <f>IF(C402="Yes",5,0)</f>
        <v>0</v>
      </c>
      <c r="AS371" s="2539">
        <f>IF(Application!D211="Non-Targeted",(SUM(AQ379+AQ388)),AS375)</f>
        <v>10</v>
      </c>
      <c r="AT371" s="2539"/>
    </row>
    <row r="372" spans="1:46" s="549" customFormat="1" ht="12.75" customHeight="1">
      <c r="A372" s="601"/>
      <c r="B372" s="609"/>
      <c r="C372" s="2471"/>
      <c r="D372" s="2471"/>
      <c r="E372" s="2471"/>
      <c r="F372" s="2471"/>
      <c r="G372" s="2471"/>
      <c r="H372" s="2471"/>
      <c r="I372" s="2471"/>
      <c r="J372" s="2471"/>
      <c r="K372" s="2471"/>
      <c r="L372" s="2471"/>
      <c r="M372" s="2471"/>
      <c r="N372" s="2471"/>
      <c r="O372" s="2471"/>
      <c r="P372" s="2471"/>
      <c r="Q372" s="2471"/>
      <c r="R372" s="2471"/>
      <c r="S372" s="2471"/>
      <c r="T372" s="2471"/>
      <c r="U372" s="2471"/>
      <c r="V372" s="2471"/>
      <c r="W372" s="2471"/>
      <c r="X372" s="2471"/>
      <c r="Y372" s="2471"/>
      <c r="Z372" s="2471"/>
      <c r="AA372" s="2471"/>
      <c r="AB372" s="2471"/>
      <c r="AC372" s="2471"/>
      <c r="AD372" s="2471"/>
      <c r="AE372" s="2471"/>
      <c r="AF372" s="2471"/>
      <c r="AG372" s="2471"/>
      <c r="AH372" s="2471"/>
      <c r="AI372" s="2471"/>
      <c r="AJ372" s="2471"/>
      <c r="AK372" s="601"/>
      <c r="AL372" s="601"/>
      <c r="AM372" s="601"/>
      <c r="AN372" s="595"/>
      <c r="AO372" s="691" t="s">
        <v>119</v>
      </c>
      <c r="AP372" s="692">
        <f>IF(C410="Yes",7,0)</f>
        <v>7</v>
      </c>
      <c r="AS372" s="539" t="s">
        <v>1448</v>
      </c>
    </row>
    <row r="373" spans="1:46" s="549" customFormat="1" ht="12.75" customHeight="1">
      <c r="B373" s="609"/>
      <c r="C373" s="2471"/>
      <c r="D373" s="2471"/>
      <c r="E373" s="2471"/>
      <c r="F373" s="2471"/>
      <c r="G373" s="2471"/>
      <c r="H373" s="2471"/>
      <c r="I373" s="2471"/>
      <c r="J373" s="2471"/>
      <c r="K373" s="2471"/>
      <c r="L373" s="2471"/>
      <c r="M373" s="2471"/>
      <c r="N373" s="2471"/>
      <c r="O373" s="2471"/>
      <c r="P373" s="2471"/>
      <c r="Q373" s="2471"/>
      <c r="R373" s="2471"/>
      <c r="S373" s="2471"/>
      <c r="T373" s="2471"/>
      <c r="U373" s="2471"/>
      <c r="V373" s="2471"/>
      <c r="W373" s="2471"/>
      <c r="X373" s="2471"/>
      <c r="Y373" s="2471"/>
      <c r="Z373" s="2471"/>
      <c r="AA373" s="2471"/>
      <c r="AB373" s="2471"/>
      <c r="AC373" s="2471"/>
      <c r="AD373" s="2471"/>
      <c r="AE373" s="2471"/>
      <c r="AF373" s="2471"/>
      <c r="AG373" s="2471"/>
      <c r="AH373" s="2471"/>
      <c r="AI373" s="2471"/>
      <c r="AJ373" s="2471"/>
      <c r="AK373" s="601"/>
      <c r="AL373" s="601"/>
      <c r="AM373" s="601"/>
      <c r="AN373" s="595"/>
      <c r="AO373" s="595"/>
      <c r="AP373" s="692">
        <f>IF(C412="Yes",5,0)</f>
        <v>0</v>
      </c>
      <c r="AS373" s="2539">
        <f>IF(AND(AQ379&gt;0,AQ388&gt;0),(AQ379+AQ388)/2,0)</f>
        <v>0</v>
      </c>
      <c r="AT373" s="2539"/>
    </row>
    <row r="374" spans="1:46" s="549" customFormat="1" ht="12.75" customHeight="1">
      <c r="A374" s="601"/>
      <c r="B374" s="609"/>
      <c r="C374" s="2471"/>
      <c r="D374" s="2471"/>
      <c r="E374" s="2471"/>
      <c r="F374" s="2471"/>
      <c r="G374" s="2471"/>
      <c r="H374" s="2471"/>
      <c r="I374" s="2471"/>
      <c r="J374" s="2471"/>
      <c r="K374" s="2471"/>
      <c r="L374" s="2471"/>
      <c r="M374" s="2471"/>
      <c r="N374" s="2471"/>
      <c r="O374" s="2471"/>
      <c r="P374" s="2471"/>
      <c r="Q374" s="2471"/>
      <c r="R374" s="2471"/>
      <c r="S374" s="2471"/>
      <c r="T374" s="2471"/>
      <c r="U374" s="2471"/>
      <c r="V374" s="2471"/>
      <c r="W374" s="2471"/>
      <c r="X374" s="2471"/>
      <c r="Y374" s="2471"/>
      <c r="Z374" s="2471"/>
      <c r="AA374" s="2471"/>
      <c r="AB374" s="2471"/>
      <c r="AC374" s="2471"/>
      <c r="AD374" s="2471"/>
      <c r="AE374" s="2471"/>
      <c r="AF374" s="2471"/>
      <c r="AG374" s="2471"/>
      <c r="AH374" s="2471"/>
      <c r="AI374" s="2471"/>
      <c r="AJ374" s="2471"/>
      <c r="AK374" s="601"/>
      <c r="AL374" s="601"/>
      <c r="AM374" s="601"/>
      <c r="AN374" s="595"/>
      <c r="AO374" s="691" t="s">
        <v>581</v>
      </c>
      <c r="AP374" s="692">
        <f>IF(C420="Yes",5,0)</f>
        <v>0</v>
      </c>
      <c r="AS374" s="539" t="s">
        <v>1853</v>
      </c>
    </row>
    <row r="375" spans="1:46" s="549" customFormat="1" ht="12.75" customHeight="1">
      <c r="A375" s="601"/>
      <c r="B375" s="609"/>
      <c r="C375" s="2540" t="s">
        <v>2187</v>
      </c>
      <c r="D375" s="2540"/>
      <c r="E375" s="2540"/>
      <c r="F375" s="2540"/>
      <c r="G375" s="2540"/>
      <c r="H375" s="2540"/>
      <c r="I375" s="2540"/>
      <c r="J375" s="2540"/>
      <c r="K375" s="2540"/>
      <c r="L375" s="2540"/>
      <c r="M375" s="2540"/>
      <c r="N375" s="2540"/>
      <c r="O375" s="2540"/>
      <c r="P375" s="2540"/>
      <c r="Q375" s="2540"/>
      <c r="R375" s="2540"/>
      <c r="S375" s="2540"/>
      <c r="T375" s="2540"/>
      <c r="U375" s="2540"/>
      <c r="V375" s="2540"/>
      <c r="W375" s="2540"/>
      <c r="X375" s="2540"/>
      <c r="Y375" s="2540"/>
      <c r="Z375" s="2540"/>
      <c r="AA375" s="2540"/>
      <c r="AB375" s="2540"/>
      <c r="AC375" s="2540"/>
      <c r="AD375" s="2540"/>
      <c r="AE375" s="2540"/>
      <c r="AF375" s="2540"/>
      <c r="AG375" s="2540"/>
      <c r="AH375" s="2540"/>
      <c r="AI375" s="2540"/>
      <c r="AJ375" s="2540"/>
      <c r="AK375" s="601"/>
      <c r="AL375" s="601"/>
      <c r="AM375" s="601"/>
      <c r="AN375" s="595"/>
      <c r="AO375" s="595"/>
      <c r="AP375" s="692">
        <f>IF(C422="Yes",3,0)</f>
        <v>3</v>
      </c>
      <c r="AS375" s="2539">
        <f>IF(AQ379=0,AQ388,AQ379)</f>
        <v>10</v>
      </c>
      <c r="AT375" s="2539"/>
    </row>
    <row r="376" spans="1:46" s="549" customFormat="1" ht="12.75" customHeight="1">
      <c r="A376" s="601"/>
      <c r="B376" s="609"/>
      <c r="C376" s="2540"/>
      <c r="D376" s="2540"/>
      <c r="E376" s="2540"/>
      <c r="F376" s="2540"/>
      <c r="G376" s="2540"/>
      <c r="H376" s="2540"/>
      <c r="I376" s="2540"/>
      <c r="J376" s="2540"/>
      <c r="K376" s="2540"/>
      <c r="L376" s="2540"/>
      <c r="M376" s="2540"/>
      <c r="N376" s="2540"/>
      <c r="O376" s="2540"/>
      <c r="P376" s="2540"/>
      <c r="Q376" s="2540"/>
      <c r="R376" s="2540"/>
      <c r="S376" s="2540"/>
      <c r="T376" s="2540"/>
      <c r="U376" s="2540"/>
      <c r="V376" s="2540"/>
      <c r="W376" s="2540"/>
      <c r="X376" s="2540"/>
      <c r="Y376" s="2540"/>
      <c r="Z376" s="2540"/>
      <c r="AA376" s="2540"/>
      <c r="AB376" s="2540"/>
      <c r="AC376" s="2540"/>
      <c r="AD376" s="2540"/>
      <c r="AE376" s="2540"/>
      <c r="AF376" s="2540"/>
      <c r="AG376" s="2540"/>
      <c r="AH376" s="2540"/>
      <c r="AI376" s="2540"/>
      <c r="AJ376" s="2540"/>
      <c r="AK376" s="601"/>
      <c r="AL376" s="601"/>
      <c r="AM376" s="601"/>
      <c r="AN376" s="595"/>
      <c r="AO376" s="691" t="s">
        <v>763</v>
      </c>
      <c r="AP376" s="692">
        <f>IF(C425="Yes",5,0)</f>
        <v>0</v>
      </c>
    </row>
    <row r="377" spans="1:46" s="549" customFormat="1" ht="12.75" customHeight="1">
      <c r="A377" s="601"/>
      <c r="B377" s="609"/>
      <c r="C377" s="2540"/>
      <c r="D377" s="2540"/>
      <c r="E377" s="2540"/>
      <c r="F377" s="2540"/>
      <c r="G377" s="2540"/>
      <c r="H377" s="2540"/>
      <c r="I377" s="2540"/>
      <c r="J377" s="2540"/>
      <c r="K377" s="2540"/>
      <c r="L377" s="2540"/>
      <c r="M377" s="2540"/>
      <c r="N377" s="2540"/>
      <c r="O377" s="2540"/>
      <c r="P377" s="2540"/>
      <c r="Q377" s="2540"/>
      <c r="R377" s="2540"/>
      <c r="S377" s="2540"/>
      <c r="T377" s="2540"/>
      <c r="U377" s="2540"/>
      <c r="V377" s="2540"/>
      <c r="W377" s="2540"/>
      <c r="X377" s="2540"/>
      <c r="Y377" s="2540"/>
      <c r="Z377" s="2540"/>
      <c r="AA377" s="2540"/>
      <c r="AB377" s="2540"/>
      <c r="AC377" s="2540"/>
      <c r="AD377" s="2540"/>
      <c r="AE377" s="2540"/>
      <c r="AF377" s="2540"/>
      <c r="AG377" s="2540"/>
      <c r="AH377" s="2540"/>
      <c r="AI377" s="2540"/>
      <c r="AJ377" s="2540"/>
      <c r="AK377" s="601"/>
      <c r="AL377" s="601"/>
      <c r="AM377" s="601"/>
      <c r="AN377" s="595"/>
      <c r="AO377" s="691" t="s">
        <v>584</v>
      </c>
      <c r="AP377" s="692">
        <f>IF(C434="Yes",5,0)</f>
        <v>0</v>
      </c>
    </row>
    <row r="378" spans="1:46" s="549" customFormat="1" ht="11.85" customHeight="1">
      <c r="A378" s="601"/>
      <c r="B378" s="609"/>
      <c r="C378" s="2540"/>
      <c r="D378" s="2540"/>
      <c r="E378" s="2540"/>
      <c r="F378" s="2540"/>
      <c r="G378" s="2540"/>
      <c r="H378" s="2540"/>
      <c r="I378" s="2540"/>
      <c r="J378" s="2540"/>
      <c r="K378" s="2540"/>
      <c r="L378" s="2540"/>
      <c r="M378" s="2540"/>
      <c r="N378" s="2540"/>
      <c r="O378" s="2540"/>
      <c r="P378" s="2540"/>
      <c r="Q378" s="2540"/>
      <c r="R378" s="2540"/>
      <c r="S378" s="2540"/>
      <c r="T378" s="2540"/>
      <c r="U378" s="2540"/>
      <c r="V378" s="2540"/>
      <c r="W378" s="2540"/>
      <c r="X378" s="2540"/>
      <c r="Y378" s="2540"/>
      <c r="Z378" s="2540"/>
      <c r="AA378" s="2540"/>
      <c r="AB378" s="2540"/>
      <c r="AC378" s="2540"/>
      <c r="AD378" s="2540"/>
      <c r="AE378" s="2540"/>
      <c r="AF378" s="2540"/>
      <c r="AG378" s="2540"/>
      <c r="AH378" s="2540"/>
      <c r="AI378" s="2540"/>
      <c r="AJ378" s="2540"/>
      <c r="AK378" s="601"/>
      <c r="AL378" s="601"/>
      <c r="AM378" s="601"/>
      <c r="AN378" s="595"/>
      <c r="AO378" s="693"/>
      <c r="AP378" s="694">
        <f>IF(C436="Yes",3,0)</f>
        <v>0</v>
      </c>
    </row>
    <row r="379" spans="1:46" s="549" customFormat="1" ht="12.4" customHeight="1">
      <c r="A379" s="601"/>
      <c r="B379" s="609"/>
      <c r="C379" s="2540"/>
      <c r="D379" s="2540"/>
      <c r="E379" s="2540"/>
      <c r="F379" s="2540"/>
      <c r="G379" s="2540"/>
      <c r="H379" s="2540"/>
      <c r="I379" s="2540"/>
      <c r="J379" s="2540"/>
      <c r="K379" s="2540"/>
      <c r="L379" s="2540"/>
      <c r="M379" s="2540"/>
      <c r="N379" s="2540"/>
      <c r="O379" s="2540"/>
      <c r="P379" s="2540"/>
      <c r="Q379" s="2540"/>
      <c r="R379" s="2540"/>
      <c r="S379" s="2540"/>
      <c r="T379" s="2540"/>
      <c r="U379" s="2540"/>
      <c r="V379" s="2540"/>
      <c r="W379" s="2540"/>
      <c r="X379" s="2540"/>
      <c r="Y379" s="2540"/>
      <c r="Z379" s="2540"/>
      <c r="AA379" s="2540"/>
      <c r="AB379" s="2540"/>
      <c r="AC379" s="2540"/>
      <c r="AD379" s="2540"/>
      <c r="AE379" s="2540"/>
      <c r="AF379" s="2540"/>
      <c r="AG379" s="2540"/>
      <c r="AH379" s="2540"/>
      <c r="AI379" s="2540"/>
      <c r="AJ379" s="2540"/>
      <c r="AK379" s="601"/>
      <c r="AL379" s="601"/>
      <c r="AM379" s="601"/>
      <c r="AN379" s="595"/>
      <c r="AO379" s="695" t="s">
        <v>227</v>
      </c>
      <c r="AP379" s="696">
        <f>SUM(AP370:AP378)</f>
        <v>10</v>
      </c>
      <c r="AQ379" s="2474">
        <f>IF(AP379&gt;0,AP379,0)</f>
        <v>10</v>
      </c>
      <c r="AR379" s="2474"/>
    </row>
    <row r="380" spans="1:46" s="549" customFormat="1" ht="12.75" customHeight="1">
      <c r="A380" s="601"/>
      <c r="B380" s="609"/>
      <c r="C380" s="2540"/>
      <c r="D380" s="2540"/>
      <c r="E380" s="2540"/>
      <c r="F380" s="2540"/>
      <c r="G380" s="2540"/>
      <c r="H380" s="2540"/>
      <c r="I380" s="2540"/>
      <c r="J380" s="2540"/>
      <c r="K380" s="2540"/>
      <c r="L380" s="2540"/>
      <c r="M380" s="2540"/>
      <c r="N380" s="2540"/>
      <c r="O380" s="2540"/>
      <c r="P380" s="2540"/>
      <c r="Q380" s="2540"/>
      <c r="R380" s="2540"/>
      <c r="S380" s="2540"/>
      <c r="T380" s="2540"/>
      <c r="U380" s="2540"/>
      <c r="V380" s="2540"/>
      <c r="W380" s="2540"/>
      <c r="X380" s="2540"/>
      <c r="Y380" s="2540"/>
      <c r="Z380" s="2540"/>
      <c r="AA380" s="2540"/>
      <c r="AB380" s="2540"/>
      <c r="AC380" s="2540"/>
      <c r="AD380" s="2540"/>
      <c r="AE380" s="2540"/>
      <c r="AF380" s="2540"/>
      <c r="AG380" s="2540"/>
      <c r="AH380" s="2540"/>
      <c r="AI380" s="2540"/>
      <c r="AJ380" s="2540"/>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471" t="s">
        <v>1449</v>
      </c>
      <c r="D382" s="2471"/>
      <c r="E382" s="2471"/>
      <c r="F382" s="2471"/>
      <c r="G382" s="2471"/>
      <c r="H382" s="2471"/>
      <c r="I382" s="2471"/>
      <c r="J382" s="2471"/>
      <c r="K382" s="2471"/>
      <c r="L382" s="2471"/>
      <c r="M382" s="2471"/>
      <c r="N382" s="2471"/>
      <c r="O382" s="2471"/>
      <c r="P382" s="2471"/>
      <c r="Q382" s="2471"/>
      <c r="R382" s="2471"/>
      <c r="S382" s="2471"/>
      <c r="T382" s="2471"/>
      <c r="U382" s="2471"/>
      <c r="V382" s="2471"/>
      <c r="W382" s="2471"/>
      <c r="X382" s="2471"/>
      <c r="Y382" s="2471"/>
      <c r="Z382" s="2471"/>
      <c r="AA382" s="2471"/>
      <c r="AB382" s="2471"/>
      <c r="AC382" s="2471"/>
      <c r="AD382" s="2471"/>
      <c r="AE382" s="2471"/>
      <c r="AF382" s="2471"/>
      <c r="AG382" s="2471"/>
      <c r="AH382" s="2471"/>
      <c r="AI382" s="2471"/>
      <c r="AJ382" s="2471"/>
      <c r="AK382" s="601"/>
      <c r="AL382" s="601"/>
      <c r="AM382" s="601"/>
      <c r="AN382" s="595"/>
      <c r="AO382" s="691" t="s">
        <v>456</v>
      </c>
      <c r="AP382" s="692">
        <f>IF(C455="Yes",5,0)</f>
        <v>0</v>
      </c>
    </row>
    <row r="383" spans="1:46" s="549" customFormat="1" ht="12.75" customHeight="1">
      <c r="A383" s="601"/>
      <c r="B383" s="609"/>
      <c r="C383" s="2471"/>
      <c r="D383" s="2471"/>
      <c r="E383" s="2471"/>
      <c r="F383" s="2471"/>
      <c r="G383" s="2471"/>
      <c r="H383" s="2471"/>
      <c r="I383" s="2471"/>
      <c r="J383" s="2471"/>
      <c r="K383" s="2471"/>
      <c r="L383" s="2471"/>
      <c r="M383" s="2471"/>
      <c r="N383" s="2471"/>
      <c r="O383" s="2471"/>
      <c r="P383" s="2471"/>
      <c r="Q383" s="2471"/>
      <c r="R383" s="2471"/>
      <c r="S383" s="2471"/>
      <c r="T383" s="2471"/>
      <c r="U383" s="2471"/>
      <c r="V383" s="2471"/>
      <c r="W383" s="2471"/>
      <c r="X383" s="2471"/>
      <c r="Y383" s="2471"/>
      <c r="Z383" s="2471"/>
      <c r="AA383" s="2471"/>
      <c r="AB383" s="2471"/>
      <c r="AC383" s="2471"/>
      <c r="AD383" s="2471"/>
      <c r="AE383" s="2471"/>
      <c r="AF383" s="2471"/>
      <c r="AG383" s="2471"/>
      <c r="AH383" s="2471"/>
      <c r="AI383" s="2471"/>
      <c r="AJ383" s="2471"/>
      <c r="AK383" s="601"/>
      <c r="AL383" s="601"/>
      <c r="AM383" s="601"/>
      <c r="AN383" s="595"/>
      <c r="AO383" s="691" t="s">
        <v>461</v>
      </c>
      <c r="AP383" s="692">
        <f>IF(C462="Yes",5,0)</f>
        <v>0</v>
      </c>
    </row>
    <row r="384" spans="1:46" s="549" customFormat="1" ht="68.099999999999994" customHeight="1">
      <c r="A384" s="601"/>
      <c r="B384" s="609"/>
      <c r="C384" s="2471"/>
      <c r="D384" s="2471"/>
      <c r="E384" s="2471"/>
      <c r="F384" s="2471"/>
      <c r="G384" s="2471"/>
      <c r="H384" s="2471"/>
      <c r="I384" s="2471"/>
      <c r="J384" s="2471"/>
      <c r="K384" s="2471"/>
      <c r="L384" s="2471"/>
      <c r="M384" s="2471"/>
      <c r="N384" s="2471"/>
      <c r="O384" s="2471"/>
      <c r="P384" s="2471"/>
      <c r="Q384" s="2471"/>
      <c r="R384" s="2471"/>
      <c r="S384" s="2471"/>
      <c r="T384" s="2471"/>
      <c r="U384" s="2471"/>
      <c r="V384" s="2471"/>
      <c r="W384" s="2471"/>
      <c r="X384" s="2471"/>
      <c r="Y384" s="2471"/>
      <c r="Z384" s="2471"/>
      <c r="AA384" s="2471"/>
      <c r="AB384" s="2471"/>
      <c r="AC384" s="2471"/>
      <c r="AD384" s="2471"/>
      <c r="AE384" s="2471"/>
      <c r="AF384" s="2471"/>
      <c r="AG384" s="2471"/>
      <c r="AH384" s="2471"/>
      <c r="AI384" s="2471"/>
      <c r="AJ384" s="2471"/>
      <c r="AK384" s="601"/>
      <c r="AL384" s="601"/>
      <c r="AM384" s="601"/>
      <c r="AN384" s="595"/>
      <c r="AO384" s="691" t="s">
        <v>646</v>
      </c>
      <c r="AP384" s="697">
        <f>IF(C466="Yes",5,0)</f>
        <v>0</v>
      </c>
    </row>
    <row r="385" spans="1:81" s="549" customFormat="1" ht="12.4"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2166</v>
      </c>
      <c r="D386" s="699"/>
      <c r="E386" s="699"/>
      <c r="F386" s="699"/>
      <c r="G386" s="699"/>
      <c r="H386" s="699"/>
      <c r="I386" s="699"/>
      <c r="J386" s="699"/>
      <c r="K386" s="699"/>
      <c r="L386" s="699"/>
      <c r="M386" s="663"/>
      <c r="N386" s="663"/>
      <c r="O386" s="700"/>
      <c r="P386" s="699"/>
      <c r="Q386" s="699"/>
      <c r="R386" s="663"/>
      <c r="S386" s="663"/>
      <c r="T386" s="699"/>
      <c r="U386" s="2472">
        <f>Application!DU810-U387</f>
        <v>198</v>
      </c>
      <c r="V386" s="2472"/>
      <c r="W386" s="2472"/>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2167</v>
      </c>
      <c r="D387" s="690"/>
      <c r="E387" s="690"/>
      <c r="F387" s="690"/>
      <c r="G387" s="690"/>
      <c r="H387" s="690"/>
      <c r="I387" s="690"/>
      <c r="J387" s="690"/>
      <c r="K387" s="690"/>
      <c r="L387" s="690"/>
      <c r="M387" s="690"/>
      <c r="N387" s="690"/>
      <c r="O387" s="690"/>
      <c r="P387" s="690"/>
      <c r="Q387" s="690"/>
      <c r="R387" s="690"/>
      <c r="S387" s="690"/>
      <c r="T387" s="690"/>
      <c r="U387" s="2473">
        <f>IF(Application!D211="SRO",Application!DU763,Application!AG764)</f>
        <v>0</v>
      </c>
      <c r="V387" s="2473"/>
      <c r="W387" s="2473"/>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474">
        <f>IF(AP388&gt;0,AP388,0)</f>
        <v>0</v>
      </c>
      <c r="AR388" s="2474"/>
    </row>
    <row r="389" spans="1:81" s="549" customFormat="1" ht="12.75" customHeight="1">
      <c r="A389" s="601"/>
      <c r="B389" s="14"/>
      <c r="C389" s="708" t="s">
        <v>2164</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2450" t="s">
        <v>1451</v>
      </c>
      <c r="G390" s="2450"/>
      <c r="H390" s="2450"/>
      <c r="I390" s="2450"/>
      <c r="J390" s="2450"/>
      <c r="K390" s="2450"/>
      <c r="L390" s="2450"/>
      <c r="M390" s="2450"/>
      <c r="N390" s="2450"/>
      <c r="O390" s="2450"/>
      <c r="P390" s="2450"/>
      <c r="Q390" s="2450"/>
      <c r="R390" s="2450"/>
      <c r="S390" s="2450"/>
      <c r="T390" s="2450"/>
      <c r="U390" s="2450"/>
      <c r="V390" s="2450"/>
      <c r="W390" s="2450"/>
      <c r="X390" s="2450"/>
      <c r="Y390" s="2450"/>
      <c r="Z390" s="2450"/>
      <c r="AA390" s="2450"/>
      <c r="AB390" s="2450"/>
      <c r="AC390" s="2450"/>
      <c r="AD390" s="2450"/>
      <c r="AE390" s="2450"/>
      <c r="AF390" s="2450"/>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51"/>
      <c r="G391" s="2451"/>
      <c r="H391" s="2451"/>
      <c r="I391" s="2451"/>
      <c r="J391" s="2451"/>
      <c r="K391" s="2451"/>
      <c r="L391" s="2451"/>
      <c r="M391" s="2451"/>
      <c r="N391" s="2451"/>
      <c r="O391" s="2451"/>
      <c r="P391" s="2451"/>
      <c r="Q391" s="2451"/>
      <c r="R391" s="2451"/>
      <c r="S391" s="2451"/>
      <c r="T391" s="2451"/>
      <c r="U391" s="2451"/>
      <c r="V391" s="2451"/>
      <c r="W391" s="2451"/>
      <c r="X391" s="2451"/>
      <c r="Y391" s="2451"/>
      <c r="Z391" s="2451"/>
      <c r="AA391" s="2451"/>
      <c r="AB391" s="2451"/>
      <c r="AC391" s="2451"/>
      <c r="AD391" s="2451"/>
      <c r="AE391" s="2451"/>
      <c r="AF391" s="2451"/>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51"/>
      <c r="G392" s="2451"/>
      <c r="H392" s="2451"/>
      <c r="I392" s="2451"/>
      <c r="J392" s="2451"/>
      <c r="K392" s="2451"/>
      <c r="L392" s="2451"/>
      <c r="M392" s="2451"/>
      <c r="N392" s="2451"/>
      <c r="O392" s="2451"/>
      <c r="P392" s="2451"/>
      <c r="Q392" s="2451"/>
      <c r="R392" s="2451"/>
      <c r="S392" s="2451"/>
      <c r="T392" s="2451"/>
      <c r="U392" s="2451"/>
      <c r="V392" s="2451"/>
      <c r="W392" s="2451"/>
      <c r="X392" s="2451"/>
      <c r="Y392" s="2451"/>
      <c r="Z392" s="2451"/>
      <c r="AA392" s="2451"/>
      <c r="AB392" s="2451"/>
      <c r="AC392" s="2451"/>
      <c r="AD392" s="2451"/>
      <c r="AE392" s="2451"/>
      <c r="AF392" s="2451"/>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51"/>
      <c r="G393" s="2451"/>
      <c r="H393" s="2451"/>
      <c r="I393" s="2451"/>
      <c r="J393" s="2451"/>
      <c r="K393" s="2451"/>
      <c r="L393" s="2451"/>
      <c r="M393" s="2451"/>
      <c r="N393" s="2451"/>
      <c r="O393" s="2451"/>
      <c r="P393" s="2451"/>
      <c r="Q393" s="2451"/>
      <c r="R393" s="2451"/>
      <c r="S393" s="2451"/>
      <c r="T393" s="2451"/>
      <c r="U393" s="2451"/>
      <c r="V393" s="2451"/>
      <c r="W393" s="2451"/>
      <c r="X393" s="2451"/>
      <c r="Y393" s="2451"/>
      <c r="Z393" s="2451"/>
      <c r="AA393" s="2451"/>
      <c r="AB393" s="2451"/>
      <c r="AC393" s="2451"/>
      <c r="AD393" s="2451"/>
      <c r="AE393" s="2451"/>
      <c r="AF393" s="2451"/>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75" t="s">
        <v>591</v>
      </c>
      <c r="D394" s="2422"/>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76" t="s">
        <v>1453</v>
      </c>
      <c r="AG394" s="2476"/>
      <c r="AH394" s="2476"/>
      <c r="AI394" s="2476"/>
      <c r="AJ394" s="2476"/>
      <c r="AK394" s="2476"/>
      <c r="AL394" s="2477"/>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2450" t="s">
        <v>1454</v>
      </c>
      <c r="G397" s="2450"/>
      <c r="H397" s="2450"/>
      <c r="I397" s="2450"/>
      <c r="J397" s="2450"/>
      <c r="K397" s="2450"/>
      <c r="L397" s="2450"/>
      <c r="M397" s="2450"/>
      <c r="N397" s="2450"/>
      <c r="O397" s="2450"/>
      <c r="P397" s="2450"/>
      <c r="Q397" s="2450"/>
      <c r="R397" s="2450"/>
      <c r="S397" s="2450"/>
      <c r="T397" s="2450"/>
      <c r="U397" s="2450"/>
      <c r="V397" s="2450"/>
      <c r="W397" s="2450"/>
      <c r="X397" s="2450"/>
      <c r="Y397" s="2450"/>
      <c r="Z397" s="2450"/>
      <c r="AA397" s="2450"/>
      <c r="AB397" s="2450"/>
      <c r="AC397" s="2450"/>
      <c r="AD397" s="2450"/>
      <c r="AE397" s="2450"/>
      <c r="AF397" s="2450"/>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51"/>
      <c r="G398" s="2451"/>
      <c r="H398" s="2451"/>
      <c r="I398" s="2451"/>
      <c r="J398" s="2451"/>
      <c r="K398" s="2451"/>
      <c r="L398" s="2451"/>
      <c r="M398" s="2451"/>
      <c r="N398" s="2451"/>
      <c r="O398" s="2451"/>
      <c r="P398" s="2451"/>
      <c r="Q398" s="2451"/>
      <c r="R398" s="2451"/>
      <c r="S398" s="2451"/>
      <c r="T398" s="2451"/>
      <c r="U398" s="2451"/>
      <c r="V398" s="2451"/>
      <c r="W398" s="2451"/>
      <c r="X398" s="2451"/>
      <c r="Y398" s="2451"/>
      <c r="Z398" s="2451"/>
      <c r="AA398" s="2451"/>
      <c r="AB398" s="2451"/>
      <c r="AC398" s="2451"/>
      <c r="AD398" s="2451"/>
      <c r="AE398" s="2451"/>
      <c r="AF398" s="2451"/>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51"/>
      <c r="G399" s="2451"/>
      <c r="H399" s="2451"/>
      <c r="I399" s="2451"/>
      <c r="J399" s="2451"/>
      <c r="K399" s="2451"/>
      <c r="L399" s="2451"/>
      <c r="M399" s="2451"/>
      <c r="N399" s="2451"/>
      <c r="O399" s="2451"/>
      <c r="P399" s="2451"/>
      <c r="Q399" s="2451"/>
      <c r="R399" s="2451"/>
      <c r="S399" s="2451"/>
      <c r="T399" s="2451"/>
      <c r="U399" s="2451"/>
      <c r="V399" s="2451"/>
      <c r="W399" s="2451"/>
      <c r="X399" s="2451"/>
      <c r="Y399" s="2451"/>
      <c r="Z399" s="2451"/>
      <c r="AA399" s="2451"/>
      <c r="AB399" s="2451"/>
      <c r="AC399" s="2451"/>
      <c r="AD399" s="2451"/>
      <c r="AE399" s="2451"/>
      <c r="AF399" s="2451"/>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51"/>
      <c r="G400" s="2451"/>
      <c r="H400" s="2451"/>
      <c r="I400" s="2451"/>
      <c r="J400" s="2451"/>
      <c r="K400" s="2451"/>
      <c r="L400" s="2451"/>
      <c r="M400" s="2451"/>
      <c r="N400" s="2451"/>
      <c r="O400" s="2451"/>
      <c r="P400" s="2451"/>
      <c r="Q400" s="2451"/>
      <c r="R400" s="2451"/>
      <c r="S400" s="2451"/>
      <c r="T400" s="2451"/>
      <c r="U400" s="2451"/>
      <c r="V400" s="2451"/>
      <c r="W400" s="2451"/>
      <c r="X400" s="2451"/>
      <c r="Y400" s="2451"/>
      <c r="Z400" s="2451"/>
      <c r="AA400" s="2451"/>
      <c r="AB400" s="2451"/>
      <c r="AC400" s="2451"/>
      <c r="AD400" s="2451"/>
      <c r="AE400" s="2451"/>
      <c r="AF400" s="2451"/>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51"/>
      <c r="G401" s="2451"/>
      <c r="H401" s="2451"/>
      <c r="I401" s="2451"/>
      <c r="J401" s="2451"/>
      <c r="K401" s="2451"/>
      <c r="L401" s="2451"/>
      <c r="M401" s="2451"/>
      <c r="N401" s="2451"/>
      <c r="O401" s="2451"/>
      <c r="P401" s="2451"/>
      <c r="Q401" s="2451"/>
      <c r="R401" s="2451"/>
      <c r="S401" s="2451"/>
      <c r="T401" s="2451"/>
      <c r="U401" s="2451"/>
      <c r="V401" s="2451"/>
      <c r="W401" s="2451"/>
      <c r="X401" s="2451"/>
      <c r="Y401" s="2451"/>
      <c r="Z401" s="2451"/>
      <c r="AA401" s="2451"/>
      <c r="AB401" s="2451"/>
      <c r="AC401" s="2451"/>
      <c r="AD401" s="2451"/>
      <c r="AE401" s="2451"/>
      <c r="AF401" s="2451"/>
      <c r="AL401" s="728"/>
      <c r="AN401" s="595"/>
      <c r="BS401" s="30"/>
      <c r="BT401" s="30"/>
      <c r="BU401" s="14"/>
      <c r="BV401" s="14"/>
      <c r="BW401" s="14"/>
      <c r="BX401" s="14"/>
      <c r="BY401" s="14"/>
      <c r="BZ401" s="14"/>
      <c r="CA401" s="14"/>
      <c r="CB401" s="14"/>
      <c r="CC401" s="14"/>
    </row>
    <row r="402" spans="1:81" s="549" customFormat="1" ht="12.75" customHeight="1">
      <c r="A402" s="536"/>
      <c r="B402" s="14"/>
      <c r="C402" s="2475" t="s">
        <v>591</v>
      </c>
      <c r="D402" s="2422"/>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76" t="s">
        <v>1453</v>
      </c>
      <c r="AG402" s="2476"/>
      <c r="AH402" s="2476"/>
      <c r="AI402" s="2476"/>
      <c r="AJ402" s="2476"/>
      <c r="AK402" s="2476"/>
      <c r="AL402" s="2477"/>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2450" t="s">
        <v>1456</v>
      </c>
      <c r="G405" s="2450"/>
      <c r="H405" s="2450"/>
      <c r="I405" s="2450"/>
      <c r="J405" s="2450"/>
      <c r="K405" s="2450"/>
      <c r="L405" s="2450"/>
      <c r="M405" s="2450"/>
      <c r="N405" s="2450"/>
      <c r="O405" s="2450"/>
      <c r="P405" s="2450"/>
      <c r="Q405" s="2450"/>
      <c r="R405" s="2450"/>
      <c r="S405" s="2450"/>
      <c r="T405" s="2450"/>
      <c r="U405" s="2450"/>
      <c r="V405" s="2450"/>
      <c r="W405" s="2450"/>
      <c r="X405" s="2450"/>
      <c r="Y405" s="2450"/>
      <c r="Z405" s="2450"/>
      <c r="AA405" s="2450"/>
      <c r="AB405" s="2450"/>
      <c r="AC405" s="2450"/>
      <c r="AD405" s="2450"/>
      <c r="AE405" s="2450"/>
      <c r="AF405" s="2450"/>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51"/>
      <c r="G406" s="2451"/>
      <c r="H406" s="2451"/>
      <c r="I406" s="2451"/>
      <c r="J406" s="2451"/>
      <c r="K406" s="2451"/>
      <c r="L406" s="2451"/>
      <c r="M406" s="2451"/>
      <c r="N406" s="2451"/>
      <c r="O406" s="2451"/>
      <c r="P406" s="2451"/>
      <c r="Q406" s="2451"/>
      <c r="R406" s="2451"/>
      <c r="S406" s="2451"/>
      <c r="T406" s="2451"/>
      <c r="U406" s="2451"/>
      <c r="V406" s="2451"/>
      <c r="W406" s="2451"/>
      <c r="X406" s="2451"/>
      <c r="Y406" s="2451"/>
      <c r="Z406" s="2451"/>
      <c r="AA406" s="2451"/>
      <c r="AB406" s="2451"/>
      <c r="AC406" s="2451"/>
      <c r="AD406" s="2451"/>
      <c r="AE406" s="2451"/>
      <c r="AF406" s="2451"/>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51"/>
      <c r="G407" s="2451"/>
      <c r="H407" s="2451"/>
      <c r="I407" s="2451"/>
      <c r="J407" s="2451"/>
      <c r="K407" s="2451"/>
      <c r="L407" s="2451"/>
      <c r="M407" s="2451"/>
      <c r="N407" s="2451"/>
      <c r="O407" s="2451"/>
      <c r="P407" s="2451"/>
      <c r="Q407" s="2451"/>
      <c r="R407" s="2451"/>
      <c r="S407" s="2451"/>
      <c r="T407" s="2451"/>
      <c r="U407" s="2451"/>
      <c r="V407" s="2451"/>
      <c r="W407" s="2451"/>
      <c r="X407" s="2451"/>
      <c r="Y407" s="2451"/>
      <c r="Z407" s="2451"/>
      <c r="AA407" s="2451"/>
      <c r="AB407" s="2451"/>
      <c r="AC407" s="2451"/>
      <c r="AD407" s="2451"/>
      <c r="AE407" s="2451"/>
      <c r="AF407" s="2451"/>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51"/>
      <c r="G408" s="2451"/>
      <c r="H408" s="2451"/>
      <c r="I408" s="2451"/>
      <c r="J408" s="2451"/>
      <c r="K408" s="2451"/>
      <c r="L408" s="2451"/>
      <c r="M408" s="2451"/>
      <c r="N408" s="2451"/>
      <c r="O408" s="2451"/>
      <c r="P408" s="2451"/>
      <c r="Q408" s="2451"/>
      <c r="R408" s="2451"/>
      <c r="S408" s="2451"/>
      <c r="T408" s="2451"/>
      <c r="U408" s="2451"/>
      <c r="V408" s="2451"/>
      <c r="W408" s="2451"/>
      <c r="X408" s="2451"/>
      <c r="Y408" s="2451"/>
      <c r="Z408" s="2451"/>
      <c r="AA408" s="2451"/>
      <c r="AB408" s="2451"/>
      <c r="AC408" s="2451"/>
      <c r="AD408" s="2451"/>
      <c r="AE408" s="2451"/>
      <c r="AF408" s="2451"/>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51"/>
      <c r="G409" s="2451"/>
      <c r="H409" s="2451"/>
      <c r="I409" s="2451"/>
      <c r="J409" s="2451"/>
      <c r="K409" s="2451"/>
      <c r="L409" s="2451"/>
      <c r="M409" s="2451"/>
      <c r="N409" s="2451"/>
      <c r="O409" s="2451"/>
      <c r="P409" s="2451"/>
      <c r="Q409" s="2451"/>
      <c r="R409" s="2451"/>
      <c r="S409" s="2451"/>
      <c r="T409" s="2451"/>
      <c r="U409" s="2451"/>
      <c r="V409" s="2451"/>
      <c r="W409" s="2451"/>
      <c r="X409" s="2451"/>
      <c r="Y409" s="2451"/>
      <c r="Z409" s="2451"/>
      <c r="AA409" s="2451"/>
      <c r="AB409" s="2451"/>
      <c r="AC409" s="2451"/>
      <c r="AD409" s="2451"/>
      <c r="AE409" s="2451"/>
      <c r="AF409" s="2451"/>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75" t="s">
        <v>545</v>
      </c>
      <c r="D410" s="2422"/>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76" t="s">
        <v>1458</v>
      </c>
      <c r="AG410" s="2476"/>
      <c r="AH410" s="2476"/>
      <c r="AI410" s="2476"/>
      <c r="AJ410" s="2476"/>
      <c r="AK410" s="2476"/>
      <c r="AL410" s="2477"/>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75" t="s">
        <v>591</v>
      </c>
      <c r="D412" s="2422"/>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76" t="s">
        <v>1453</v>
      </c>
      <c r="AG412" s="2476"/>
      <c r="AH412" s="2476"/>
      <c r="AI412" s="2476"/>
      <c r="AJ412" s="2476"/>
      <c r="AK412" s="2476"/>
      <c r="AL412" s="2477"/>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2450" t="s">
        <v>1462</v>
      </c>
      <c r="G416" s="2450"/>
      <c r="H416" s="2450"/>
      <c r="I416" s="2450"/>
      <c r="J416" s="2450"/>
      <c r="K416" s="2450"/>
      <c r="L416" s="2450"/>
      <c r="M416" s="2450"/>
      <c r="N416" s="2450"/>
      <c r="O416" s="2450"/>
      <c r="P416" s="2450"/>
      <c r="Q416" s="2450"/>
      <c r="R416" s="2450"/>
      <c r="S416" s="2450"/>
      <c r="T416" s="2450"/>
      <c r="U416" s="2450"/>
      <c r="V416" s="2450"/>
      <c r="W416" s="2450"/>
      <c r="X416" s="2450"/>
      <c r="Y416" s="2450"/>
      <c r="Z416" s="2450"/>
      <c r="AA416" s="2450"/>
      <c r="AB416" s="2450"/>
      <c r="AC416" s="2450"/>
      <c r="AD416" s="2450"/>
      <c r="AE416" s="2450"/>
      <c r="AF416" s="2450"/>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51"/>
      <c r="G417" s="2451"/>
      <c r="H417" s="2451"/>
      <c r="I417" s="2451"/>
      <c r="J417" s="2451"/>
      <c r="K417" s="2451"/>
      <c r="L417" s="2451"/>
      <c r="M417" s="2451"/>
      <c r="N417" s="2451"/>
      <c r="O417" s="2451"/>
      <c r="P417" s="2451"/>
      <c r="Q417" s="2451"/>
      <c r="R417" s="2451"/>
      <c r="S417" s="2451"/>
      <c r="T417" s="2451"/>
      <c r="U417" s="2451"/>
      <c r="V417" s="2451"/>
      <c r="W417" s="2451"/>
      <c r="X417" s="2451"/>
      <c r="Y417" s="2451"/>
      <c r="Z417" s="2451"/>
      <c r="AA417" s="2451"/>
      <c r="AB417" s="2451"/>
      <c r="AC417" s="2451"/>
      <c r="AD417" s="2451"/>
      <c r="AE417" s="2451"/>
      <c r="AF417" s="2451"/>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51"/>
      <c r="G418" s="2451"/>
      <c r="H418" s="2451"/>
      <c r="I418" s="2451"/>
      <c r="J418" s="2451"/>
      <c r="K418" s="2451"/>
      <c r="L418" s="2451"/>
      <c r="M418" s="2451"/>
      <c r="N418" s="2451"/>
      <c r="O418" s="2451"/>
      <c r="P418" s="2451"/>
      <c r="Q418" s="2451"/>
      <c r="R418" s="2451"/>
      <c r="S418" s="2451"/>
      <c r="T418" s="2451"/>
      <c r="U418" s="2451"/>
      <c r="V418" s="2451"/>
      <c r="W418" s="2451"/>
      <c r="X418" s="2451"/>
      <c r="Y418" s="2451"/>
      <c r="Z418" s="2451"/>
      <c r="AA418" s="2451"/>
      <c r="AB418" s="2451"/>
      <c r="AC418" s="2451"/>
      <c r="AD418" s="2451"/>
      <c r="AE418" s="2451"/>
      <c r="AF418" s="2451"/>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51"/>
      <c r="G419" s="2451"/>
      <c r="H419" s="2451"/>
      <c r="I419" s="2451"/>
      <c r="J419" s="2451"/>
      <c r="K419" s="2451"/>
      <c r="L419" s="2451"/>
      <c r="M419" s="2451"/>
      <c r="N419" s="2451"/>
      <c r="O419" s="2451"/>
      <c r="P419" s="2451"/>
      <c r="Q419" s="2451"/>
      <c r="R419" s="2451"/>
      <c r="S419" s="2451"/>
      <c r="T419" s="2451"/>
      <c r="U419" s="2451"/>
      <c r="V419" s="2451"/>
      <c r="W419" s="2451"/>
      <c r="X419" s="2451"/>
      <c r="Y419" s="2451"/>
      <c r="Z419" s="2451"/>
      <c r="AA419" s="2451"/>
      <c r="AB419" s="2451"/>
      <c r="AC419" s="2451"/>
      <c r="AD419" s="2451"/>
      <c r="AE419" s="2451"/>
      <c r="AF419" s="2451"/>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75" t="s">
        <v>591</v>
      </c>
      <c r="D420" s="2422"/>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76" t="s">
        <v>1453</v>
      </c>
      <c r="AG420" s="2476"/>
      <c r="AH420" s="2476"/>
      <c r="AI420" s="2476"/>
      <c r="AJ420" s="2476"/>
      <c r="AK420" s="2476"/>
      <c r="AL420" s="2477"/>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75" t="s">
        <v>545</v>
      </c>
      <c r="D422" s="2422"/>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76" t="s">
        <v>1465</v>
      </c>
      <c r="AG422" s="2476"/>
      <c r="AH422" s="2476"/>
      <c r="AI422" s="2476"/>
      <c r="AJ422" s="2476"/>
      <c r="AK422" s="2476"/>
      <c r="AL422" s="2477"/>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75" t="s">
        <v>591</v>
      </c>
      <c r="D425" s="2422"/>
      <c r="E425" s="711" t="s">
        <v>1466</v>
      </c>
      <c r="F425" s="2450" t="s">
        <v>1467</v>
      </c>
      <c r="G425" s="2450"/>
      <c r="H425" s="2450"/>
      <c r="I425" s="2450"/>
      <c r="J425" s="2450"/>
      <c r="K425" s="2450"/>
      <c r="L425" s="2450"/>
      <c r="M425" s="2450"/>
      <c r="N425" s="2450"/>
      <c r="O425" s="2450"/>
      <c r="P425" s="2450"/>
      <c r="Q425" s="2450"/>
      <c r="R425" s="2450"/>
      <c r="S425" s="2450"/>
      <c r="T425" s="2450"/>
      <c r="U425" s="2450"/>
      <c r="V425" s="2450"/>
      <c r="W425" s="2450"/>
      <c r="X425" s="2450"/>
      <c r="Y425" s="2450"/>
      <c r="Z425" s="2450"/>
      <c r="AA425" s="2450"/>
      <c r="AB425" s="2450"/>
      <c r="AC425" s="2450"/>
      <c r="AD425" s="2450"/>
      <c r="AE425" s="2450"/>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51"/>
      <c r="G426" s="2451"/>
      <c r="H426" s="2451"/>
      <c r="I426" s="2451"/>
      <c r="J426" s="2451"/>
      <c r="K426" s="2451"/>
      <c r="L426" s="2451"/>
      <c r="M426" s="2451"/>
      <c r="N426" s="2451"/>
      <c r="O426" s="2451"/>
      <c r="P426" s="2451"/>
      <c r="Q426" s="2451"/>
      <c r="R426" s="2451"/>
      <c r="S426" s="2451"/>
      <c r="T426" s="2451"/>
      <c r="U426" s="2451"/>
      <c r="V426" s="2451"/>
      <c r="W426" s="2451"/>
      <c r="X426" s="2451"/>
      <c r="Y426" s="2451"/>
      <c r="Z426" s="2451"/>
      <c r="AA426" s="2451"/>
      <c r="AB426" s="2451"/>
      <c r="AC426" s="2451"/>
      <c r="AD426" s="2451"/>
      <c r="AE426" s="2451"/>
      <c r="AF426" s="2401" t="s">
        <v>1453</v>
      </c>
      <c r="AG426" s="2401"/>
      <c r="AH426" s="2401"/>
      <c r="AI426" s="2401"/>
      <c r="AJ426" s="2401"/>
      <c r="AK426" s="2401"/>
      <c r="AL426" s="2482"/>
      <c r="AM426" s="568"/>
      <c r="AN426" s="595"/>
      <c r="BS426" s="568"/>
      <c r="BT426" s="568"/>
      <c r="BY426" s="568"/>
      <c r="BZ426" s="568"/>
      <c r="CA426" s="568"/>
      <c r="CB426" s="568"/>
      <c r="CC426" s="568"/>
    </row>
    <row r="427" spans="1:81" s="549" customFormat="1" ht="12.75" customHeight="1">
      <c r="A427" s="536"/>
      <c r="B427" s="14"/>
      <c r="C427" s="727"/>
      <c r="D427" s="14"/>
      <c r="E427" s="687"/>
      <c r="F427" s="2451"/>
      <c r="G427" s="2451"/>
      <c r="H427" s="2451"/>
      <c r="I427" s="2451"/>
      <c r="J427" s="2451"/>
      <c r="K427" s="2451"/>
      <c r="L427" s="2451"/>
      <c r="M427" s="2451"/>
      <c r="N427" s="2451"/>
      <c r="O427" s="2451"/>
      <c r="P427" s="2451"/>
      <c r="Q427" s="2451"/>
      <c r="R427" s="2451"/>
      <c r="S427" s="2451"/>
      <c r="T427" s="2451"/>
      <c r="U427" s="2451"/>
      <c r="V427" s="2451"/>
      <c r="W427" s="2451"/>
      <c r="X427" s="2451"/>
      <c r="Y427" s="2451"/>
      <c r="Z427" s="2451"/>
      <c r="AA427" s="2451"/>
      <c r="AB427" s="2451"/>
      <c r="AC427" s="2451"/>
      <c r="AD427" s="2451"/>
      <c r="AE427" s="2451"/>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52"/>
      <c r="G428" s="2452"/>
      <c r="H428" s="2452"/>
      <c r="I428" s="2452"/>
      <c r="J428" s="2452"/>
      <c r="K428" s="2452"/>
      <c r="L428" s="2452"/>
      <c r="M428" s="2452"/>
      <c r="N428" s="2452"/>
      <c r="O428" s="2452"/>
      <c r="P428" s="2452"/>
      <c r="Q428" s="2452"/>
      <c r="R428" s="2452"/>
      <c r="S428" s="2452"/>
      <c r="T428" s="2452"/>
      <c r="U428" s="2452"/>
      <c r="V428" s="2452"/>
      <c r="W428" s="2452"/>
      <c r="X428" s="2452"/>
      <c r="Y428" s="2452"/>
      <c r="Z428" s="2452"/>
      <c r="AA428" s="2452"/>
      <c r="AB428" s="2452"/>
      <c r="AC428" s="2452"/>
      <c r="AD428" s="2452"/>
      <c r="AE428" s="2452"/>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2450" t="s">
        <v>1469</v>
      </c>
      <c r="G430" s="2450"/>
      <c r="H430" s="2450"/>
      <c r="I430" s="2450"/>
      <c r="J430" s="2450"/>
      <c r="K430" s="2450"/>
      <c r="L430" s="2450"/>
      <c r="M430" s="2450"/>
      <c r="N430" s="2450"/>
      <c r="O430" s="2450"/>
      <c r="P430" s="2450"/>
      <c r="Q430" s="2450"/>
      <c r="R430" s="2450"/>
      <c r="S430" s="2450"/>
      <c r="T430" s="2450"/>
      <c r="U430" s="2450"/>
      <c r="V430" s="2450"/>
      <c r="W430" s="2450"/>
      <c r="X430" s="2450"/>
      <c r="Y430" s="2450"/>
      <c r="Z430" s="2450"/>
      <c r="AA430" s="2450"/>
      <c r="AB430" s="2450"/>
      <c r="AC430" s="2450"/>
      <c r="AD430" s="2450"/>
      <c r="AE430" s="2450"/>
      <c r="AF430" s="743"/>
      <c r="AG430" s="743"/>
      <c r="AH430" s="743"/>
      <c r="AI430" s="743"/>
      <c r="AJ430" s="743"/>
      <c r="AK430" s="743"/>
      <c r="AL430" s="744"/>
      <c r="AM430" s="568"/>
    </row>
    <row r="431" spans="1:81">
      <c r="A431" s="536"/>
      <c r="C431" s="727"/>
      <c r="E431" s="687"/>
      <c r="F431" s="2451"/>
      <c r="G431" s="2451"/>
      <c r="H431" s="2451"/>
      <c r="I431" s="2451"/>
      <c r="J431" s="2451"/>
      <c r="K431" s="2451"/>
      <c r="L431" s="2451"/>
      <c r="M431" s="2451"/>
      <c r="N431" s="2451"/>
      <c r="O431" s="2451"/>
      <c r="P431" s="2451"/>
      <c r="Q431" s="2451"/>
      <c r="R431" s="2451"/>
      <c r="S431" s="2451"/>
      <c r="T431" s="2451"/>
      <c r="U431" s="2451"/>
      <c r="V431" s="2451"/>
      <c r="W431" s="2451"/>
      <c r="X431" s="2451"/>
      <c r="Y431" s="2451"/>
      <c r="Z431" s="2451"/>
      <c r="AA431" s="2451"/>
      <c r="AB431" s="2451"/>
      <c r="AC431" s="2451"/>
      <c r="AD431" s="2451"/>
      <c r="AE431" s="2451"/>
      <c r="AF431" s="539"/>
      <c r="AG431" s="536"/>
      <c r="AH431" s="549"/>
      <c r="AI431" s="549"/>
      <c r="AJ431" s="549"/>
      <c r="AK431" s="549"/>
      <c r="AL431" s="728"/>
      <c r="AM431" s="568"/>
    </row>
    <row r="432" spans="1:81" s="549" customFormat="1" ht="12.75" customHeight="1">
      <c r="A432" s="536"/>
      <c r="B432" s="14"/>
      <c r="C432" s="727"/>
      <c r="D432" s="14"/>
      <c r="E432" s="687"/>
      <c r="F432" s="2451"/>
      <c r="G432" s="2451"/>
      <c r="H432" s="2451"/>
      <c r="I432" s="2451"/>
      <c r="J432" s="2451"/>
      <c r="K432" s="2451"/>
      <c r="L432" s="2451"/>
      <c r="M432" s="2451"/>
      <c r="N432" s="2451"/>
      <c r="O432" s="2451"/>
      <c r="P432" s="2451"/>
      <c r="Q432" s="2451"/>
      <c r="R432" s="2451"/>
      <c r="S432" s="2451"/>
      <c r="T432" s="2451"/>
      <c r="U432" s="2451"/>
      <c r="V432" s="2451"/>
      <c r="W432" s="2451"/>
      <c r="X432" s="2451"/>
      <c r="Y432" s="2451"/>
      <c r="Z432" s="2451"/>
      <c r="AA432" s="2451"/>
      <c r="AB432" s="2451"/>
      <c r="AC432" s="2451"/>
      <c r="AD432" s="2451"/>
      <c r="AE432" s="2451"/>
      <c r="AL432" s="728"/>
      <c r="AM432" s="568"/>
      <c r="AN432" s="595"/>
    </row>
    <row r="433" spans="1:60" s="549" customFormat="1" ht="12.75" customHeight="1">
      <c r="A433" s="536"/>
      <c r="B433" s="14"/>
      <c r="C433" s="735"/>
      <c r="F433" s="2451"/>
      <c r="G433" s="2451"/>
      <c r="H433" s="2451"/>
      <c r="I433" s="2451"/>
      <c r="J433" s="2451"/>
      <c r="K433" s="2451"/>
      <c r="L433" s="2451"/>
      <c r="M433" s="2451"/>
      <c r="N433" s="2451"/>
      <c r="O433" s="2451"/>
      <c r="P433" s="2451"/>
      <c r="Q433" s="2451"/>
      <c r="R433" s="2451"/>
      <c r="S433" s="2451"/>
      <c r="T433" s="2451"/>
      <c r="U433" s="2451"/>
      <c r="V433" s="2451"/>
      <c r="W433" s="2451"/>
      <c r="X433" s="2451"/>
      <c r="Y433" s="2451"/>
      <c r="Z433" s="2451"/>
      <c r="AA433" s="2451"/>
      <c r="AB433" s="2451"/>
      <c r="AC433" s="2451"/>
      <c r="AD433" s="2451"/>
      <c r="AE433" s="2451"/>
      <c r="AL433" s="728"/>
      <c r="AM433" s="568"/>
      <c r="AN433" s="595"/>
    </row>
    <row r="434" spans="1:60" s="549" customFormat="1" ht="12.75" customHeight="1">
      <c r="A434" s="536"/>
      <c r="B434" s="14"/>
      <c r="C434" s="2475" t="s">
        <v>591</v>
      </c>
      <c r="D434" s="2422"/>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01" t="s">
        <v>1453</v>
      </c>
      <c r="AG434" s="2401"/>
      <c r="AH434" s="2401"/>
      <c r="AI434" s="2401"/>
      <c r="AJ434" s="2401"/>
      <c r="AK434" s="2401"/>
      <c r="AL434" s="2482"/>
      <c r="AM434" s="568"/>
      <c r="AN434" s="595"/>
    </row>
    <row r="435" spans="1:60" s="549" customFormat="1" ht="12.75" customHeight="1">
      <c r="A435" s="536"/>
      <c r="B435" s="14"/>
      <c r="C435" s="735"/>
      <c r="AL435" s="728"/>
      <c r="AM435" s="568"/>
      <c r="AN435" s="595"/>
    </row>
    <row r="436" spans="1:60" s="549" customFormat="1" ht="12.75" customHeight="1">
      <c r="A436" s="536"/>
      <c r="B436" s="14"/>
      <c r="C436" s="2475" t="s">
        <v>591</v>
      </c>
      <c r="D436" s="2422"/>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01" t="s">
        <v>1465</v>
      </c>
      <c r="AG436" s="2401"/>
      <c r="AH436" s="2401"/>
      <c r="AI436" s="2401"/>
      <c r="AJ436" s="2401"/>
      <c r="AK436" s="2401"/>
      <c r="AL436" s="2482"/>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2165</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2450" t="s">
        <v>1473</v>
      </c>
      <c r="G440" s="2450"/>
      <c r="H440" s="2450"/>
      <c r="I440" s="2450"/>
      <c r="J440" s="2450"/>
      <c r="K440" s="2450"/>
      <c r="L440" s="2450"/>
      <c r="M440" s="2450"/>
      <c r="N440" s="2450"/>
      <c r="O440" s="2450"/>
      <c r="P440" s="2450"/>
      <c r="Q440" s="2450"/>
      <c r="R440" s="2450"/>
      <c r="S440" s="2450"/>
      <c r="T440" s="2450"/>
      <c r="U440" s="2450"/>
      <c r="V440" s="2450"/>
      <c r="W440" s="2450"/>
      <c r="X440" s="2450"/>
      <c r="Y440" s="2450"/>
      <c r="Z440" s="2450"/>
      <c r="AA440" s="2450"/>
      <c r="AB440" s="2450"/>
      <c r="AC440" s="2450"/>
      <c r="AD440" s="2450"/>
      <c r="AE440" s="2450"/>
      <c r="AF440" s="710"/>
      <c r="AG440" s="710"/>
      <c r="AH440" s="710"/>
      <c r="AI440" s="710"/>
      <c r="AJ440" s="710"/>
      <c r="AK440" s="710"/>
      <c r="AL440" s="741"/>
      <c r="AM440" s="568"/>
      <c r="AN440" s="595"/>
    </row>
    <row r="441" spans="1:60" s="549" customFormat="1" ht="12.75" customHeight="1">
      <c r="A441" s="536"/>
      <c r="B441" s="14"/>
      <c r="C441" s="727"/>
      <c r="D441" s="14"/>
      <c r="E441" s="687"/>
      <c r="F441" s="2451"/>
      <c r="G441" s="2451"/>
      <c r="H441" s="2451"/>
      <c r="I441" s="2451"/>
      <c r="J441" s="2451"/>
      <c r="K441" s="2451"/>
      <c r="L441" s="2451"/>
      <c r="M441" s="2451"/>
      <c r="N441" s="2451"/>
      <c r="O441" s="2451"/>
      <c r="P441" s="2451"/>
      <c r="Q441" s="2451"/>
      <c r="R441" s="2451"/>
      <c r="S441" s="2451"/>
      <c r="T441" s="2451"/>
      <c r="U441" s="2451"/>
      <c r="V441" s="2451"/>
      <c r="W441" s="2451"/>
      <c r="X441" s="2451"/>
      <c r="Y441" s="2451"/>
      <c r="Z441" s="2451"/>
      <c r="AA441" s="2451"/>
      <c r="AB441" s="2451"/>
      <c r="AC441" s="2451"/>
      <c r="AD441" s="2451"/>
      <c r="AE441" s="2451"/>
      <c r="AF441" s="539"/>
      <c r="AG441" s="536"/>
      <c r="AL441" s="728"/>
      <c r="AM441" s="568"/>
      <c r="AN441" s="595"/>
    </row>
    <row r="442" spans="1:60" s="549" customFormat="1" ht="12.4" customHeight="1">
      <c r="A442" s="536"/>
      <c r="B442" s="14"/>
      <c r="C442" s="727"/>
      <c r="D442" s="14"/>
      <c r="E442" s="687"/>
      <c r="F442" s="2451"/>
      <c r="G442" s="2451"/>
      <c r="H442" s="2451"/>
      <c r="I442" s="2451"/>
      <c r="J442" s="2451"/>
      <c r="K442" s="2451"/>
      <c r="L442" s="2451"/>
      <c r="M442" s="2451"/>
      <c r="N442" s="2451"/>
      <c r="O442" s="2451"/>
      <c r="P442" s="2451"/>
      <c r="Q442" s="2451"/>
      <c r="R442" s="2451"/>
      <c r="S442" s="2451"/>
      <c r="T442" s="2451"/>
      <c r="U442" s="2451"/>
      <c r="V442" s="2451"/>
      <c r="W442" s="2451"/>
      <c r="X442" s="2451"/>
      <c r="Y442" s="2451"/>
      <c r="Z442" s="2451"/>
      <c r="AA442" s="2451"/>
      <c r="AB442" s="2451"/>
      <c r="AC442" s="2451"/>
      <c r="AD442" s="2451"/>
      <c r="AE442" s="2451"/>
      <c r="AL442" s="728"/>
      <c r="AM442" s="568"/>
      <c r="AN442" s="595"/>
    </row>
    <row r="443" spans="1:60" s="549" customFormat="1" ht="12.75" customHeight="1">
      <c r="A443" s="536"/>
      <c r="B443" s="14"/>
      <c r="C443" s="2475" t="s">
        <v>591</v>
      </c>
      <c r="D443" s="2422"/>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01" t="s">
        <v>1453</v>
      </c>
      <c r="AG443" s="2401"/>
      <c r="AH443" s="2401"/>
      <c r="AI443" s="2401"/>
      <c r="AJ443" s="2401"/>
      <c r="AK443" s="2401"/>
      <c r="AL443" s="2482"/>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1475</v>
      </c>
      <c r="F446" s="2450" t="s">
        <v>1476</v>
      </c>
      <c r="G446" s="2450"/>
      <c r="H446" s="2450"/>
      <c r="I446" s="2450"/>
      <c r="J446" s="2450"/>
      <c r="K446" s="2450"/>
      <c r="L446" s="2450"/>
      <c r="M446" s="2450"/>
      <c r="N446" s="2450"/>
      <c r="O446" s="2450"/>
      <c r="P446" s="2450"/>
      <c r="Q446" s="2450"/>
      <c r="R446" s="2450"/>
      <c r="S446" s="2450"/>
      <c r="T446" s="2450"/>
      <c r="U446" s="2450"/>
      <c r="V446" s="2450"/>
      <c r="W446" s="2450"/>
      <c r="X446" s="2450"/>
      <c r="Y446" s="2450"/>
      <c r="Z446" s="2450"/>
      <c r="AA446" s="2450"/>
      <c r="AB446" s="2450"/>
      <c r="AC446" s="2450"/>
      <c r="AD446" s="2450"/>
      <c r="AE446" s="2450"/>
      <c r="AF446" s="743"/>
      <c r="AG446" s="743"/>
      <c r="AH446" s="743"/>
      <c r="AI446" s="743"/>
      <c r="AJ446" s="743"/>
      <c r="AK446" s="743"/>
      <c r="AL446" s="744"/>
      <c r="AM446" s="568"/>
      <c r="AO446" s="549"/>
      <c r="AP446" s="549"/>
      <c r="BD446" s="14"/>
      <c r="BE446" s="14"/>
      <c r="BF446" s="14"/>
      <c r="BG446" s="14"/>
      <c r="BH446" s="14"/>
    </row>
    <row r="447" spans="1:60">
      <c r="A447" s="536"/>
      <c r="C447" s="727"/>
      <c r="E447" s="687"/>
      <c r="F447" s="2451"/>
      <c r="G447" s="2451"/>
      <c r="H447" s="2451"/>
      <c r="I447" s="2451"/>
      <c r="J447" s="2451"/>
      <c r="K447" s="2451"/>
      <c r="L447" s="2451"/>
      <c r="M447" s="2451"/>
      <c r="N447" s="2451"/>
      <c r="O447" s="2451"/>
      <c r="P447" s="2451"/>
      <c r="Q447" s="2451"/>
      <c r="R447" s="2451"/>
      <c r="S447" s="2451"/>
      <c r="T447" s="2451"/>
      <c r="U447" s="2451"/>
      <c r="V447" s="2451"/>
      <c r="W447" s="2451"/>
      <c r="X447" s="2451"/>
      <c r="Y447" s="2451"/>
      <c r="Z447" s="2451"/>
      <c r="AA447" s="2451"/>
      <c r="AB447" s="2451"/>
      <c r="AC447" s="2451"/>
      <c r="AD447" s="2451"/>
      <c r="AE447" s="2451"/>
      <c r="AF447" s="592"/>
      <c r="AG447" s="592"/>
      <c r="AH447" s="592"/>
      <c r="AI447" s="592"/>
      <c r="AJ447" s="592"/>
      <c r="AK447" s="592"/>
      <c r="AL447" s="746"/>
      <c r="AM447" s="568"/>
      <c r="AO447" s="549"/>
      <c r="AP447" s="549"/>
    </row>
    <row r="448" spans="1:60" s="549" customFormat="1" ht="12.75" customHeight="1">
      <c r="A448" s="536"/>
      <c r="B448" s="14"/>
      <c r="C448" s="727"/>
      <c r="D448" s="14"/>
      <c r="E448" s="687"/>
      <c r="F448" s="2451"/>
      <c r="G448" s="2451"/>
      <c r="H448" s="2451"/>
      <c r="I448" s="2451"/>
      <c r="J448" s="2451"/>
      <c r="K448" s="2451"/>
      <c r="L448" s="2451"/>
      <c r="M448" s="2451"/>
      <c r="N448" s="2451"/>
      <c r="O448" s="2451"/>
      <c r="P448" s="2451"/>
      <c r="Q448" s="2451"/>
      <c r="R448" s="2451"/>
      <c r="S448" s="2451"/>
      <c r="T448" s="2451"/>
      <c r="U448" s="2451"/>
      <c r="V448" s="2451"/>
      <c r="W448" s="2451"/>
      <c r="X448" s="2451"/>
      <c r="Y448" s="2451"/>
      <c r="Z448" s="2451"/>
      <c r="AA448" s="2451"/>
      <c r="AB448" s="2451"/>
      <c r="AC448" s="2451"/>
      <c r="AD448" s="2451"/>
      <c r="AE448" s="2451"/>
      <c r="AF448" s="592"/>
      <c r="AG448" s="592"/>
      <c r="AH448" s="592"/>
      <c r="AI448" s="592"/>
      <c r="AJ448" s="592"/>
      <c r="AK448" s="592"/>
      <c r="AL448" s="746"/>
      <c r="AM448" s="568"/>
      <c r="AN448" s="595"/>
    </row>
    <row r="449" spans="1:42" s="549" customFormat="1" ht="12.75" customHeight="1">
      <c r="A449" s="536"/>
      <c r="B449" s="14"/>
      <c r="C449" s="747"/>
      <c r="D449" s="726"/>
      <c r="E449" s="715"/>
      <c r="F449" s="2451"/>
      <c r="G449" s="2451"/>
      <c r="H449" s="2451"/>
      <c r="I449" s="2451"/>
      <c r="J449" s="2451"/>
      <c r="K449" s="2451"/>
      <c r="L449" s="2451"/>
      <c r="M449" s="2451"/>
      <c r="N449" s="2451"/>
      <c r="O449" s="2451"/>
      <c r="P449" s="2451"/>
      <c r="Q449" s="2451"/>
      <c r="R449" s="2451"/>
      <c r="S449" s="2451"/>
      <c r="T449" s="2451"/>
      <c r="U449" s="2451"/>
      <c r="V449" s="2451"/>
      <c r="W449" s="2451"/>
      <c r="X449" s="2451"/>
      <c r="Y449" s="2451"/>
      <c r="Z449" s="2451"/>
      <c r="AA449" s="2451"/>
      <c r="AB449" s="2451"/>
      <c r="AC449" s="2451"/>
      <c r="AD449" s="2451"/>
      <c r="AE449" s="2451"/>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51"/>
      <c r="G450" s="2451"/>
      <c r="H450" s="2451"/>
      <c r="I450" s="2451"/>
      <c r="J450" s="2451"/>
      <c r="K450" s="2451"/>
      <c r="L450" s="2451"/>
      <c r="M450" s="2451"/>
      <c r="N450" s="2451"/>
      <c r="O450" s="2451"/>
      <c r="P450" s="2451"/>
      <c r="Q450" s="2451"/>
      <c r="R450" s="2451"/>
      <c r="S450" s="2451"/>
      <c r="T450" s="2451"/>
      <c r="U450" s="2451"/>
      <c r="V450" s="2451"/>
      <c r="W450" s="2451"/>
      <c r="X450" s="2451"/>
      <c r="Y450" s="2451"/>
      <c r="Z450" s="2451"/>
      <c r="AA450" s="2451"/>
      <c r="AB450" s="2451"/>
      <c r="AC450" s="2451"/>
      <c r="AD450" s="2451"/>
      <c r="AE450" s="2451"/>
      <c r="AF450" s="592"/>
      <c r="AG450" s="592"/>
      <c r="AH450" s="592"/>
      <c r="AI450" s="592"/>
      <c r="AJ450" s="592"/>
      <c r="AK450" s="592"/>
      <c r="AL450" s="746"/>
      <c r="AM450" s="568"/>
      <c r="AN450" s="595"/>
    </row>
    <row r="451" spans="1:42" s="549" customFormat="1" ht="12.75" customHeight="1">
      <c r="A451" s="536"/>
      <c r="B451" s="14"/>
      <c r="C451" s="747"/>
      <c r="D451" s="726"/>
      <c r="E451" s="715"/>
      <c r="F451" s="2451"/>
      <c r="G451" s="2451"/>
      <c r="H451" s="2451"/>
      <c r="I451" s="2451"/>
      <c r="J451" s="2451"/>
      <c r="K451" s="2451"/>
      <c r="L451" s="2451"/>
      <c r="M451" s="2451"/>
      <c r="N451" s="2451"/>
      <c r="O451" s="2451"/>
      <c r="P451" s="2451"/>
      <c r="Q451" s="2451"/>
      <c r="R451" s="2451"/>
      <c r="S451" s="2451"/>
      <c r="T451" s="2451"/>
      <c r="U451" s="2451"/>
      <c r="V451" s="2451"/>
      <c r="W451" s="2451"/>
      <c r="X451" s="2451"/>
      <c r="Y451" s="2451"/>
      <c r="Z451" s="2451"/>
      <c r="AA451" s="2451"/>
      <c r="AB451" s="2451"/>
      <c r="AC451" s="2451"/>
      <c r="AD451" s="2451"/>
      <c r="AE451" s="2451"/>
      <c r="AF451" s="592"/>
      <c r="AG451" s="592"/>
      <c r="AH451" s="592"/>
      <c r="AI451" s="592"/>
      <c r="AJ451" s="592"/>
      <c r="AK451" s="592"/>
      <c r="AL451" s="746"/>
      <c r="AM451" s="568"/>
      <c r="AN451" s="595"/>
    </row>
    <row r="452" spans="1:42" s="549" customFormat="1" ht="12.75" customHeight="1">
      <c r="A452" s="536"/>
      <c r="B452" s="14"/>
      <c r="C452" s="747"/>
      <c r="D452" s="726"/>
      <c r="E452" s="715"/>
      <c r="F452" s="2451"/>
      <c r="G452" s="2451"/>
      <c r="H452" s="2451"/>
      <c r="I452" s="2451"/>
      <c r="J452" s="2451"/>
      <c r="K452" s="2451"/>
      <c r="L452" s="2451"/>
      <c r="M452" s="2451"/>
      <c r="N452" s="2451"/>
      <c r="O452" s="2451"/>
      <c r="P452" s="2451"/>
      <c r="Q452" s="2451"/>
      <c r="R452" s="2451"/>
      <c r="S452" s="2451"/>
      <c r="T452" s="2451"/>
      <c r="U452" s="2451"/>
      <c r="V452" s="2451"/>
      <c r="W452" s="2451"/>
      <c r="X452" s="2451"/>
      <c r="Y452" s="2451"/>
      <c r="Z452" s="2451"/>
      <c r="AA452" s="2451"/>
      <c r="AB452" s="2451"/>
      <c r="AC452" s="2451"/>
      <c r="AD452" s="2451"/>
      <c r="AE452" s="2451"/>
      <c r="AF452" s="592"/>
      <c r="AG452" s="592"/>
      <c r="AH452" s="592"/>
      <c r="AI452" s="592"/>
      <c r="AJ452" s="592"/>
      <c r="AK452" s="592"/>
      <c r="AL452" s="746"/>
      <c r="AM452" s="568"/>
      <c r="AN452" s="595"/>
    </row>
    <row r="453" spans="1:42" s="549" customFormat="1" ht="12.75" customHeight="1">
      <c r="A453" s="536"/>
      <c r="B453" s="14"/>
      <c r="C453" s="747"/>
      <c r="D453" s="726"/>
      <c r="E453" s="715"/>
      <c r="F453" s="2451"/>
      <c r="G453" s="2451"/>
      <c r="H453" s="2451"/>
      <c r="I453" s="2451"/>
      <c r="J453" s="2451"/>
      <c r="K453" s="2451"/>
      <c r="L453" s="2451"/>
      <c r="M453" s="2451"/>
      <c r="N453" s="2451"/>
      <c r="O453" s="2451"/>
      <c r="P453" s="2451"/>
      <c r="Q453" s="2451"/>
      <c r="R453" s="2451"/>
      <c r="S453" s="2451"/>
      <c r="T453" s="2451"/>
      <c r="U453" s="2451"/>
      <c r="V453" s="2451"/>
      <c r="W453" s="2451"/>
      <c r="X453" s="2451"/>
      <c r="Y453" s="2451"/>
      <c r="Z453" s="2451"/>
      <c r="AA453" s="2451"/>
      <c r="AB453" s="2451"/>
      <c r="AC453" s="2451"/>
      <c r="AD453" s="2451"/>
      <c r="AE453" s="2451"/>
      <c r="AF453" s="592"/>
      <c r="AG453" s="592"/>
      <c r="AH453" s="592"/>
      <c r="AI453" s="592"/>
      <c r="AJ453" s="592"/>
      <c r="AK453" s="592"/>
      <c r="AL453" s="746"/>
      <c r="AM453" s="568"/>
      <c r="AN453" s="595"/>
    </row>
    <row r="454" spans="1:42" s="549" customFormat="1" ht="17.25" customHeight="1">
      <c r="A454" s="536"/>
      <c r="B454" s="14"/>
      <c r="C454" s="747"/>
      <c r="D454" s="726"/>
      <c r="E454" s="715"/>
      <c r="F454" s="2451"/>
      <c r="G454" s="2451"/>
      <c r="H454" s="2451"/>
      <c r="I454" s="2451"/>
      <c r="J454" s="2451"/>
      <c r="K454" s="2451"/>
      <c r="L454" s="2451"/>
      <c r="M454" s="2451"/>
      <c r="N454" s="2451"/>
      <c r="O454" s="2451"/>
      <c r="P454" s="2451"/>
      <c r="Q454" s="2451"/>
      <c r="R454" s="2451"/>
      <c r="S454" s="2451"/>
      <c r="T454" s="2451"/>
      <c r="U454" s="2451"/>
      <c r="V454" s="2451"/>
      <c r="W454" s="2451"/>
      <c r="X454" s="2451"/>
      <c r="Y454" s="2451"/>
      <c r="Z454" s="2451"/>
      <c r="AA454" s="2451"/>
      <c r="AB454" s="2451"/>
      <c r="AC454" s="2451"/>
      <c r="AD454" s="2451"/>
      <c r="AE454" s="2451"/>
      <c r="AL454" s="728"/>
      <c r="AM454" s="568"/>
      <c r="AN454" s="595"/>
    </row>
    <row r="455" spans="1:42" s="549" customFormat="1" ht="12.75" customHeight="1">
      <c r="A455" s="536"/>
      <c r="B455" s="14"/>
      <c r="C455" s="2475" t="s">
        <v>591</v>
      </c>
      <c r="D455" s="2422"/>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01" t="s">
        <v>1453</v>
      </c>
      <c r="AG455" s="2401"/>
      <c r="AH455" s="2401"/>
      <c r="AI455" s="2401"/>
      <c r="AJ455" s="2401"/>
      <c r="AK455" s="2401"/>
      <c r="AL455" s="2482"/>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2450" t="s">
        <v>1479</v>
      </c>
      <c r="G458" s="2450"/>
      <c r="H458" s="2450"/>
      <c r="I458" s="2450"/>
      <c r="J458" s="2450"/>
      <c r="K458" s="2450"/>
      <c r="L458" s="2450"/>
      <c r="M458" s="2450"/>
      <c r="N458" s="2450"/>
      <c r="O458" s="2450"/>
      <c r="P458" s="2450"/>
      <c r="Q458" s="2450"/>
      <c r="R458" s="2450"/>
      <c r="S458" s="2450"/>
      <c r="T458" s="2450"/>
      <c r="U458" s="2450"/>
      <c r="V458" s="2450"/>
      <c r="W458" s="2450"/>
      <c r="X458" s="2450"/>
      <c r="Y458" s="2450"/>
      <c r="Z458" s="2450"/>
      <c r="AA458" s="2450"/>
      <c r="AB458" s="2450"/>
      <c r="AC458" s="2450"/>
      <c r="AD458" s="2450"/>
      <c r="AE458" s="2450"/>
      <c r="AF458" s="710"/>
      <c r="AG458" s="710"/>
      <c r="AH458" s="710"/>
      <c r="AI458" s="710"/>
      <c r="AJ458" s="710"/>
      <c r="AK458" s="710"/>
      <c r="AL458" s="741"/>
      <c r="AM458" s="568"/>
      <c r="AN458" s="595"/>
    </row>
    <row r="459" spans="1:42" s="549" customFormat="1" ht="12.75" customHeight="1">
      <c r="A459" s="536"/>
      <c r="B459" s="14"/>
      <c r="C459" s="747"/>
      <c r="D459" s="726"/>
      <c r="E459" s="715"/>
      <c r="F459" s="2451"/>
      <c r="G459" s="2451"/>
      <c r="H459" s="2451"/>
      <c r="I459" s="2451"/>
      <c r="J459" s="2451"/>
      <c r="K459" s="2451"/>
      <c r="L459" s="2451"/>
      <c r="M459" s="2451"/>
      <c r="N459" s="2451"/>
      <c r="O459" s="2451"/>
      <c r="P459" s="2451"/>
      <c r="Q459" s="2451"/>
      <c r="R459" s="2451"/>
      <c r="S459" s="2451"/>
      <c r="T459" s="2451"/>
      <c r="U459" s="2451"/>
      <c r="V459" s="2451"/>
      <c r="W459" s="2451"/>
      <c r="X459" s="2451"/>
      <c r="Y459" s="2451"/>
      <c r="Z459" s="2451"/>
      <c r="AA459" s="2451"/>
      <c r="AB459" s="2451"/>
      <c r="AC459" s="2451"/>
      <c r="AD459" s="2451"/>
      <c r="AE459" s="2451"/>
      <c r="AF459" s="589"/>
      <c r="AG459" s="589"/>
      <c r="AH459" s="589"/>
      <c r="AI459" s="589"/>
      <c r="AJ459" s="589"/>
      <c r="AK459" s="589"/>
      <c r="AL459" s="716"/>
      <c r="AM459" s="568"/>
      <c r="AN459" s="595"/>
    </row>
    <row r="460" spans="1:42" s="549" customFormat="1" ht="12.75" customHeight="1">
      <c r="A460" s="536"/>
      <c r="B460" s="14"/>
      <c r="C460" s="747"/>
      <c r="D460" s="726"/>
      <c r="E460" s="715"/>
      <c r="F460" s="2451"/>
      <c r="G460" s="2451"/>
      <c r="H460" s="2451"/>
      <c r="I460" s="2451"/>
      <c r="J460" s="2451"/>
      <c r="K460" s="2451"/>
      <c r="L460" s="2451"/>
      <c r="M460" s="2451"/>
      <c r="N460" s="2451"/>
      <c r="O460" s="2451"/>
      <c r="P460" s="2451"/>
      <c r="Q460" s="2451"/>
      <c r="R460" s="2451"/>
      <c r="S460" s="2451"/>
      <c r="T460" s="2451"/>
      <c r="U460" s="2451"/>
      <c r="V460" s="2451"/>
      <c r="W460" s="2451"/>
      <c r="X460" s="2451"/>
      <c r="Y460" s="2451"/>
      <c r="Z460" s="2451"/>
      <c r="AA460" s="2451"/>
      <c r="AB460" s="2451"/>
      <c r="AC460" s="2451"/>
      <c r="AD460" s="2451"/>
      <c r="AE460" s="2451"/>
      <c r="AF460" s="589"/>
      <c r="AG460" s="589"/>
      <c r="AH460" s="589"/>
      <c r="AI460" s="589"/>
      <c r="AJ460" s="589"/>
      <c r="AK460" s="589"/>
      <c r="AL460" s="716"/>
      <c r="AM460" s="568"/>
      <c r="AN460" s="595"/>
    </row>
    <row r="461" spans="1:42" s="549" customFormat="1" ht="12.75" customHeight="1">
      <c r="A461" s="536"/>
      <c r="B461" s="14"/>
      <c r="C461" s="747"/>
      <c r="D461" s="726"/>
      <c r="E461" s="715"/>
      <c r="F461" s="2451"/>
      <c r="G461" s="2451"/>
      <c r="H461" s="2451"/>
      <c r="I461" s="2451"/>
      <c r="J461" s="2451"/>
      <c r="K461" s="2451"/>
      <c r="L461" s="2451"/>
      <c r="M461" s="2451"/>
      <c r="N461" s="2451"/>
      <c r="O461" s="2451"/>
      <c r="P461" s="2451"/>
      <c r="Q461" s="2451"/>
      <c r="R461" s="2451"/>
      <c r="S461" s="2451"/>
      <c r="T461" s="2451"/>
      <c r="U461" s="2451"/>
      <c r="V461" s="2451"/>
      <c r="W461" s="2451"/>
      <c r="X461" s="2451"/>
      <c r="Y461" s="2451"/>
      <c r="Z461" s="2451"/>
      <c r="AA461" s="2451"/>
      <c r="AB461" s="2451"/>
      <c r="AC461" s="2451"/>
      <c r="AD461" s="2451"/>
      <c r="AE461" s="2451"/>
      <c r="AL461" s="728"/>
      <c r="AM461" s="568"/>
      <c r="AN461" s="595"/>
    </row>
    <row r="462" spans="1:42" s="549" customFormat="1" ht="12.75" customHeight="1">
      <c r="A462" s="536"/>
      <c r="B462" s="14"/>
      <c r="C462" s="2475" t="s">
        <v>591</v>
      </c>
      <c r="D462" s="2422"/>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01" t="s">
        <v>1453</v>
      </c>
      <c r="AG462" s="2401"/>
      <c r="AH462" s="2401"/>
      <c r="AI462" s="2401"/>
      <c r="AJ462" s="2401"/>
      <c r="AK462" s="2401"/>
      <c r="AL462" s="2482"/>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60" t="s">
        <v>591</v>
      </c>
      <c r="D466" s="2561"/>
      <c r="E466" s="711" t="s">
        <v>1488</v>
      </c>
      <c r="F466" s="2450" t="s">
        <v>1489</v>
      </c>
      <c r="G466" s="2450"/>
      <c r="H466" s="2450"/>
      <c r="I466" s="2450"/>
      <c r="J466" s="2450"/>
      <c r="K466" s="2450"/>
      <c r="L466" s="2450"/>
      <c r="M466" s="2450"/>
      <c r="N466" s="2450"/>
      <c r="O466" s="2450"/>
      <c r="P466" s="2450"/>
      <c r="Q466" s="2450"/>
      <c r="R466" s="2450"/>
      <c r="S466" s="2450"/>
      <c r="T466" s="2450"/>
      <c r="U466" s="2450"/>
      <c r="V466" s="2450"/>
      <c r="W466" s="2450"/>
      <c r="X466" s="2450"/>
      <c r="Y466" s="2450"/>
      <c r="Z466" s="2450"/>
      <c r="AA466" s="2450"/>
      <c r="AB466" s="2450"/>
      <c r="AC466" s="2450"/>
      <c r="AD466" s="2450"/>
      <c r="AE466" s="2450"/>
      <c r="AF466" s="2478" t="s">
        <v>1453</v>
      </c>
      <c r="AG466" s="2478"/>
      <c r="AH466" s="2478"/>
      <c r="AI466" s="2478"/>
      <c r="AJ466" s="2478"/>
      <c r="AK466" s="2478"/>
      <c r="AL466" s="2479"/>
      <c r="AM466" s="568"/>
      <c r="AN466" s="749"/>
    </row>
    <row r="467" spans="1:40" s="549" customFormat="1" ht="12.75" customHeight="1">
      <c r="A467" s="536"/>
      <c r="B467" s="14"/>
      <c r="C467" s="747"/>
      <c r="D467" s="726"/>
      <c r="E467" s="715"/>
      <c r="F467" s="2451"/>
      <c r="G467" s="2451"/>
      <c r="H467" s="2451"/>
      <c r="I467" s="2451"/>
      <c r="J467" s="2451"/>
      <c r="K467" s="2451"/>
      <c r="L467" s="2451"/>
      <c r="M467" s="2451"/>
      <c r="N467" s="2451"/>
      <c r="O467" s="2451"/>
      <c r="P467" s="2451"/>
      <c r="Q467" s="2451"/>
      <c r="R467" s="2451"/>
      <c r="S467" s="2451"/>
      <c r="T467" s="2451"/>
      <c r="U467" s="2451"/>
      <c r="V467" s="2451"/>
      <c r="W467" s="2451"/>
      <c r="X467" s="2451"/>
      <c r="Y467" s="2451"/>
      <c r="Z467" s="2451"/>
      <c r="AA467" s="2451"/>
      <c r="AB467" s="2451"/>
      <c r="AC467" s="2451"/>
      <c r="AD467" s="2451"/>
      <c r="AE467" s="2451"/>
      <c r="AF467" s="589"/>
      <c r="AG467" s="589"/>
      <c r="AH467" s="589"/>
      <c r="AI467" s="589"/>
      <c r="AJ467" s="589"/>
      <c r="AK467" s="589"/>
      <c r="AL467" s="716"/>
      <c r="AM467" s="568"/>
      <c r="AN467" s="750"/>
    </row>
    <row r="468" spans="1:40" s="549" customFormat="1" ht="17.649999999999999" customHeight="1">
      <c r="A468" s="536"/>
      <c r="B468" s="14"/>
      <c r="C468" s="752"/>
      <c r="D468" s="719"/>
      <c r="E468" s="720"/>
      <c r="F468" s="2452"/>
      <c r="G468" s="2452"/>
      <c r="H468" s="2452"/>
      <c r="I468" s="2452"/>
      <c r="J468" s="2452"/>
      <c r="K468" s="2452"/>
      <c r="L468" s="2452"/>
      <c r="M468" s="2452"/>
      <c r="N468" s="2452"/>
      <c r="O468" s="2452"/>
      <c r="P468" s="2452"/>
      <c r="Q468" s="2452"/>
      <c r="R468" s="2452"/>
      <c r="S468" s="2452"/>
      <c r="T468" s="2452"/>
      <c r="U468" s="2452"/>
      <c r="V468" s="2452"/>
      <c r="W468" s="2452"/>
      <c r="X468" s="2452"/>
      <c r="Y468" s="2452"/>
      <c r="Z468" s="2452"/>
      <c r="AA468" s="2452"/>
      <c r="AB468" s="2452"/>
      <c r="AC468" s="2452"/>
      <c r="AD468" s="2452"/>
      <c r="AE468" s="2452"/>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75" t="s">
        <v>591</v>
      </c>
      <c r="D470" s="2422"/>
      <c r="E470" s="711" t="s">
        <v>1494</v>
      </c>
      <c r="F470" s="2450" t="s">
        <v>1495</v>
      </c>
      <c r="G470" s="2450"/>
      <c r="H470" s="2450"/>
      <c r="I470" s="2450"/>
      <c r="J470" s="2450"/>
      <c r="K470" s="2450"/>
      <c r="L470" s="2450"/>
      <c r="M470" s="2450"/>
      <c r="N470" s="2450"/>
      <c r="O470" s="2450"/>
      <c r="P470" s="2450"/>
      <c r="Q470" s="2450"/>
      <c r="R470" s="2450"/>
      <c r="S470" s="2450"/>
      <c r="T470" s="2450"/>
      <c r="U470" s="2450"/>
      <c r="V470" s="2450"/>
      <c r="W470" s="2450"/>
      <c r="X470" s="2450"/>
      <c r="Y470" s="2450"/>
      <c r="Z470" s="2450"/>
      <c r="AA470" s="2450"/>
      <c r="AB470" s="2450"/>
      <c r="AC470" s="2450"/>
      <c r="AD470" s="2450"/>
      <c r="AE470" s="2450"/>
      <c r="AF470" s="2478" t="s">
        <v>1453</v>
      </c>
      <c r="AG470" s="2478"/>
      <c r="AH470" s="2478"/>
      <c r="AI470" s="2478"/>
      <c r="AJ470" s="2478"/>
      <c r="AK470" s="2478"/>
      <c r="AL470" s="2479"/>
      <c r="AM470" s="568"/>
      <c r="AN470" s="535"/>
    </row>
    <row r="471" spans="1:40" s="549" customFormat="1" ht="12.75" customHeight="1">
      <c r="A471" s="536"/>
      <c r="B471" s="14"/>
      <c r="C471" s="727"/>
      <c r="D471" s="14"/>
      <c r="E471" s="687"/>
      <c r="F471" s="2451"/>
      <c r="G471" s="2451"/>
      <c r="H471" s="2451"/>
      <c r="I471" s="2451"/>
      <c r="J471" s="2451"/>
      <c r="K471" s="2451"/>
      <c r="L471" s="2451"/>
      <c r="M471" s="2451"/>
      <c r="N471" s="2451"/>
      <c r="O471" s="2451"/>
      <c r="P471" s="2451"/>
      <c r="Q471" s="2451"/>
      <c r="R471" s="2451"/>
      <c r="S471" s="2451"/>
      <c r="T471" s="2451"/>
      <c r="U471" s="2451"/>
      <c r="V471" s="2451"/>
      <c r="W471" s="2451"/>
      <c r="X471" s="2451"/>
      <c r="Y471" s="2451"/>
      <c r="Z471" s="2451"/>
      <c r="AA471" s="2451"/>
      <c r="AB471" s="2451"/>
      <c r="AC471" s="2451"/>
      <c r="AD471" s="2451"/>
      <c r="AE471" s="2451"/>
      <c r="AF471" s="539"/>
      <c r="AG471" s="536"/>
      <c r="AL471" s="728"/>
      <c r="AM471" s="568"/>
      <c r="AN471" s="535"/>
    </row>
    <row r="472" spans="1:40" s="549" customFormat="1" ht="12.75" customHeight="1">
      <c r="A472" s="536"/>
      <c r="B472" s="14"/>
      <c r="C472" s="727"/>
      <c r="D472" s="14"/>
      <c r="E472" s="687"/>
      <c r="F472" s="2451"/>
      <c r="G472" s="2451"/>
      <c r="H472" s="2451"/>
      <c r="I472" s="2451"/>
      <c r="J472" s="2451"/>
      <c r="K472" s="2451"/>
      <c r="L472" s="2451"/>
      <c r="M472" s="2451"/>
      <c r="N472" s="2451"/>
      <c r="O472" s="2451"/>
      <c r="P472" s="2451"/>
      <c r="Q472" s="2451"/>
      <c r="R472" s="2451"/>
      <c r="S472" s="2451"/>
      <c r="T472" s="2451"/>
      <c r="U472" s="2451"/>
      <c r="V472" s="2451"/>
      <c r="W472" s="2451"/>
      <c r="X472" s="2451"/>
      <c r="Y472" s="2451"/>
      <c r="Z472" s="2451"/>
      <c r="AA472" s="2451"/>
      <c r="AB472" s="2451"/>
      <c r="AC472" s="2451"/>
      <c r="AD472" s="2451"/>
      <c r="AE472" s="2451"/>
      <c r="AF472" s="539"/>
      <c r="AG472" s="536"/>
      <c r="AL472" s="728"/>
      <c r="AM472" s="568"/>
      <c r="AN472" s="535"/>
    </row>
    <row r="473" spans="1:40" s="549" customFormat="1" ht="12.75" customHeight="1">
      <c r="A473" s="536"/>
      <c r="B473" s="14"/>
      <c r="C473" s="752"/>
      <c r="D473" s="719"/>
      <c r="E473" s="720"/>
      <c r="F473" s="2452"/>
      <c r="G473" s="2452"/>
      <c r="H473" s="2452"/>
      <c r="I473" s="2452"/>
      <c r="J473" s="2452"/>
      <c r="K473" s="2452"/>
      <c r="L473" s="2452"/>
      <c r="M473" s="2452"/>
      <c r="N473" s="2452"/>
      <c r="O473" s="2452"/>
      <c r="P473" s="2452"/>
      <c r="Q473" s="2452"/>
      <c r="R473" s="2452"/>
      <c r="S473" s="2452"/>
      <c r="T473" s="2452"/>
      <c r="U473" s="2452"/>
      <c r="V473" s="2452"/>
      <c r="W473" s="2452"/>
      <c r="X473" s="2452"/>
      <c r="Y473" s="2452"/>
      <c r="Z473" s="2452"/>
      <c r="AA473" s="2452"/>
      <c r="AB473" s="2452"/>
      <c r="AC473" s="2452"/>
      <c r="AD473" s="2452"/>
      <c r="AE473" s="2452"/>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2450" t="s">
        <v>1498</v>
      </c>
      <c r="G475" s="2450"/>
      <c r="H475" s="2450"/>
      <c r="I475" s="2450"/>
      <c r="J475" s="2450"/>
      <c r="K475" s="2450"/>
      <c r="L475" s="2450"/>
      <c r="M475" s="2450"/>
      <c r="N475" s="2450"/>
      <c r="O475" s="2450"/>
      <c r="P475" s="2450"/>
      <c r="Q475" s="2450"/>
      <c r="R475" s="2450"/>
      <c r="S475" s="2450"/>
      <c r="T475" s="2450"/>
      <c r="U475" s="2450"/>
      <c r="V475" s="2450"/>
      <c r="W475" s="2450"/>
      <c r="X475" s="2450"/>
      <c r="Y475" s="2450"/>
      <c r="Z475" s="2450"/>
      <c r="AA475" s="2450"/>
      <c r="AB475" s="2450"/>
      <c r="AC475" s="2450"/>
      <c r="AD475" s="2450"/>
      <c r="AE475" s="2450"/>
      <c r="AF475" s="2450"/>
      <c r="AG475" s="740"/>
      <c r="AH475" s="710"/>
      <c r="AI475" s="710"/>
      <c r="AJ475" s="710"/>
      <c r="AK475" s="710"/>
      <c r="AL475" s="741"/>
      <c r="AM475" s="568"/>
      <c r="AN475" s="595"/>
    </row>
    <row r="476" spans="1:40" s="549" customFormat="1" ht="12.75" customHeight="1">
      <c r="A476" s="536"/>
      <c r="B476" s="14"/>
      <c r="C476" s="727"/>
      <c r="D476" s="14"/>
      <c r="E476" s="687"/>
      <c r="F476" s="2451"/>
      <c r="G476" s="2451"/>
      <c r="H476" s="2451"/>
      <c r="I476" s="2451"/>
      <c r="J476" s="2451"/>
      <c r="K476" s="2451"/>
      <c r="L476" s="2451"/>
      <c r="M476" s="2451"/>
      <c r="N476" s="2451"/>
      <c r="O476" s="2451"/>
      <c r="P476" s="2451"/>
      <c r="Q476" s="2451"/>
      <c r="R476" s="2451"/>
      <c r="S476" s="2451"/>
      <c r="T476" s="2451"/>
      <c r="U476" s="2451"/>
      <c r="V476" s="2451"/>
      <c r="W476" s="2451"/>
      <c r="X476" s="2451"/>
      <c r="Y476" s="2451"/>
      <c r="Z476" s="2451"/>
      <c r="AA476" s="2451"/>
      <c r="AB476" s="2451"/>
      <c r="AC476" s="2451"/>
      <c r="AD476" s="2451"/>
      <c r="AE476" s="2451"/>
      <c r="AF476" s="2451"/>
      <c r="AL476" s="728"/>
      <c r="AM476" s="568"/>
      <c r="AN476" s="595"/>
    </row>
    <row r="477" spans="1:40" s="549" customFormat="1" ht="12.75" customHeight="1">
      <c r="A477" s="536"/>
      <c r="B477" s="14"/>
      <c r="C477" s="735"/>
      <c r="F477" s="2451"/>
      <c r="G477" s="2451"/>
      <c r="H477" s="2451"/>
      <c r="I477" s="2451"/>
      <c r="J477" s="2451"/>
      <c r="K477" s="2451"/>
      <c r="L477" s="2451"/>
      <c r="M477" s="2451"/>
      <c r="N477" s="2451"/>
      <c r="O477" s="2451"/>
      <c r="P477" s="2451"/>
      <c r="Q477" s="2451"/>
      <c r="R477" s="2451"/>
      <c r="S477" s="2451"/>
      <c r="T477" s="2451"/>
      <c r="U477" s="2451"/>
      <c r="V477" s="2451"/>
      <c r="W477" s="2451"/>
      <c r="X477" s="2451"/>
      <c r="Y477" s="2451"/>
      <c r="Z477" s="2451"/>
      <c r="AA477" s="2451"/>
      <c r="AB477" s="2451"/>
      <c r="AC477" s="2451"/>
      <c r="AD477" s="2451"/>
      <c r="AE477" s="2451"/>
      <c r="AF477" s="2451"/>
      <c r="AL477" s="728"/>
      <c r="AM477" s="568"/>
      <c r="AN477" s="595"/>
    </row>
    <row r="478" spans="1:40" s="549" customFormat="1" ht="12.75" customHeight="1">
      <c r="A478" s="536"/>
      <c r="B478" s="14"/>
      <c r="C478" s="735"/>
      <c r="F478" s="2451"/>
      <c r="G478" s="2451"/>
      <c r="H478" s="2451"/>
      <c r="I478" s="2451"/>
      <c r="J478" s="2451"/>
      <c r="K478" s="2451"/>
      <c r="L478" s="2451"/>
      <c r="M478" s="2451"/>
      <c r="N478" s="2451"/>
      <c r="O478" s="2451"/>
      <c r="P478" s="2451"/>
      <c r="Q478" s="2451"/>
      <c r="R478" s="2451"/>
      <c r="S478" s="2451"/>
      <c r="T478" s="2451"/>
      <c r="U478" s="2451"/>
      <c r="V478" s="2451"/>
      <c r="W478" s="2451"/>
      <c r="X478" s="2451"/>
      <c r="Y478" s="2451"/>
      <c r="Z478" s="2451"/>
      <c r="AA478" s="2451"/>
      <c r="AB478" s="2451"/>
      <c r="AC478" s="2451"/>
      <c r="AD478" s="2451"/>
      <c r="AE478" s="2451"/>
      <c r="AF478" s="2451"/>
      <c r="AL478" s="728"/>
      <c r="AM478" s="568"/>
      <c r="AN478" s="595"/>
    </row>
    <row r="479" spans="1:40" s="549" customFormat="1" ht="12.75" customHeight="1">
      <c r="A479" s="536"/>
      <c r="B479" s="14"/>
      <c r="C479" s="2475" t="s">
        <v>591</v>
      </c>
      <c r="D479" s="2422"/>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76" t="s">
        <v>1453</v>
      </c>
      <c r="AG479" s="2476"/>
      <c r="AH479" s="2476"/>
      <c r="AI479" s="2476"/>
      <c r="AJ479" s="2476"/>
      <c r="AK479" s="2476"/>
      <c r="AL479" s="2477"/>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2403">
        <f>IF(Application!D214="N/A",AS371,AS373)</f>
        <v>10</v>
      </c>
      <c r="AL482" s="2449"/>
      <c r="AM482" s="2404"/>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2476" t="s">
        <v>1502</v>
      </c>
      <c r="AF485" s="2476"/>
      <c r="AG485" s="2476"/>
      <c r="AH485" s="2476"/>
      <c r="AI485" s="2476"/>
      <c r="AJ485" s="2476"/>
      <c r="AK485" s="2476"/>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2425" t="s">
        <v>591</v>
      </c>
      <c r="D491" s="2426"/>
      <c r="E491" s="757" t="s">
        <v>507</v>
      </c>
      <c r="F491" s="2461" t="s">
        <v>1508</v>
      </c>
      <c r="G491" s="2461"/>
      <c r="H491" s="2461"/>
      <c r="I491" s="2461"/>
      <c r="J491" s="2461"/>
      <c r="K491" s="2461"/>
      <c r="L491" s="2461"/>
      <c r="M491" s="2461"/>
      <c r="N491" s="2461"/>
      <c r="O491" s="2461"/>
      <c r="P491" s="2461"/>
      <c r="Q491" s="2461"/>
      <c r="R491" s="2461"/>
      <c r="S491" s="2461"/>
      <c r="T491" s="2461"/>
      <c r="U491" s="2461"/>
      <c r="V491" s="2461"/>
      <c r="W491" s="2461"/>
      <c r="X491" s="2461"/>
      <c r="Y491" s="2461"/>
      <c r="Z491" s="2461"/>
      <c r="AA491" s="2461"/>
      <c r="AB491" s="2461"/>
      <c r="AC491" s="2461"/>
      <c r="AD491" s="2461"/>
      <c r="AE491" s="2461"/>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2462"/>
      <c r="G492" s="2462"/>
      <c r="H492" s="2462"/>
      <c r="I492" s="2462"/>
      <c r="J492" s="2462"/>
      <c r="K492" s="2462"/>
      <c r="L492" s="2462"/>
      <c r="M492" s="2462"/>
      <c r="N492" s="2462"/>
      <c r="O492" s="2462"/>
      <c r="P492" s="2462"/>
      <c r="Q492" s="2462"/>
      <c r="R492" s="2462"/>
      <c r="S492" s="2462"/>
      <c r="T492" s="2462"/>
      <c r="U492" s="2462"/>
      <c r="V492" s="2462"/>
      <c r="W492" s="2462"/>
      <c r="X492" s="2462"/>
      <c r="Y492" s="2462"/>
      <c r="Z492" s="2462"/>
      <c r="AA492" s="2462"/>
      <c r="AB492" s="2462"/>
      <c r="AC492" s="2462"/>
      <c r="AD492" s="2462"/>
      <c r="AE492" s="2462"/>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2459" t="s">
        <v>591</v>
      </c>
      <c r="G493" s="2459"/>
      <c r="H493" s="2459"/>
      <c r="I493" s="2459"/>
      <c r="J493" s="2459"/>
      <c r="K493" s="2459"/>
      <c r="L493" s="2459"/>
      <c r="M493" s="2459"/>
      <c r="N493" s="2459"/>
      <c r="O493" s="2459"/>
      <c r="P493" s="2459"/>
      <c r="Q493" s="2459"/>
      <c r="R493" s="2459"/>
      <c r="S493" s="2459"/>
      <c r="T493" s="2459"/>
      <c r="U493" s="2459"/>
      <c r="V493" s="2459"/>
      <c r="W493" s="2459"/>
      <c r="X493" s="2459"/>
      <c r="Y493" s="2459"/>
      <c r="Z493" s="2459"/>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428" t="s">
        <v>545</v>
      </c>
      <c r="D495" s="2429"/>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2458" t="s">
        <v>591</v>
      </c>
      <c r="W498" s="2458"/>
      <c r="X498" s="2458"/>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2458" t="s">
        <v>591</v>
      </c>
      <c r="W500" s="2458"/>
      <c r="X500" s="2458"/>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2458" t="s">
        <v>591</v>
      </c>
      <c r="W505" s="2458"/>
      <c r="X505" s="2458"/>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427"/>
      <c r="E508" s="2427"/>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2458" t="s">
        <v>591</v>
      </c>
      <c r="W509" s="2458"/>
      <c r="X509" s="2458"/>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2458" t="s">
        <v>591</v>
      </c>
      <c r="W511" s="2458"/>
      <c r="X511" s="2458"/>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25" t="s">
        <v>591</v>
      </c>
      <c r="D514" s="2426"/>
      <c r="E514" s="757" t="s">
        <v>507</v>
      </c>
      <c r="F514" s="2461" t="s">
        <v>1508</v>
      </c>
      <c r="G514" s="2461"/>
      <c r="H514" s="2461"/>
      <c r="I514" s="2461"/>
      <c r="J514" s="2461"/>
      <c r="K514" s="2461"/>
      <c r="L514" s="2461"/>
      <c r="M514" s="2461"/>
      <c r="N514" s="2461"/>
      <c r="O514" s="2461"/>
      <c r="P514" s="2461"/>
      <c r="Q514" s="2461"/>
      <c r="R514" s="2461"/>
      <c r="S514" s="2461"/>
      <c r="T514" s="2461"/>
      <c r="U514" s="2461"/>
      <c r="V514" s="2461"/>
      <c r="W514" s="2461"/>
      <c r="X514" s="2461"/>
      <c r="Y514" s="2461"/>
      <c r="Z514" s="2461"/>
      <c r="AA514" s="2461"/>
      <c r="AB514" s="2461"/>
      <c r="AC514" s="2461"/>
      <c r="AD514" s="2461"/>
      <c r="AE514" s="2461"/>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62"/>
      <c r="G515" s="2462"/>
      <c r="H515" s="2462"/>
      <c r="I515" s="2462"/>
      <c r="J515" s="2462"/>
      <c r="K515" s="2462"/>
      <c r="L515" s="2462"/>
      <c r="M515" s="2462"/>
      <c r="N515" s="2462"/>
      <c r="O515" s="2462"/>
      <c r="P515" s="2462"/>
      <c r="Q515" s="2462"/>
      <c r="R515" s="2462"/>
      <c r="S515" s="2462"/>
      <c r="T515" s="2462"/>
      <c r="U515" s="2462"/>
      <c r="V515" s="2462"/>
      <c r="W515" s="2462"/>
      <c r="X515" s="2462"/>
      <c r="Y515" s="2462"/>
      <c r="Z515" s="2462"/>
      <c r="AA515" s="2462"/>
      <c r="AB515" s="2462"/>
      <c r="AC515" s="2462"/>
      <c r="AD515" s="2462"/>
      <c r="AE515" s="2462"/>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54" t="s">
        <v>591</v>
      </c>
      <c r="G516" s="2454"/>
      <c r="H516" s="2454"/>
      <c r="I516" s="2454"/>
      <c r="J516" s="2454"/>
      <c r="K516" s="2454"/>
      <c r="L516" s="2454"/>
      <c r="M516" s="2454"/>
      <c r="N516" s="2454"/>
      <c r="O516" s="2454"/>
      <c r="P516" s="2454"/>
      <c r="Q516" s="2454"/>
      <c r="R516" s="2454"/>
      <c r="S516" s="2454"/>
      <c r="T516" s="2454"/>
      <c r="U516" s="2454"/>
      <c r="V516" s="2454"/>
      <c r="W516" s="2454"/>
      <c r="X516" s="2454"/>
      <c r="Y516" s="2454"/>
      <c r="Z516" s="2454"/>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25" t="s">
        <v>591</v>
      </c>
      <c r="D518" s="2426"/>
      <c r="E518" s="757" t="s">
        <v>757</v>
      </c>
      <c r="F518" s="2455" t="s">
        <v>1530</v>
      </c>
      <c r="G518" s="2455"/>
      <c r="H518" s="2455"/>
      <c r="I518" s="2455"/>
      <c r="J518" s="2455"/>
      <c r="K518" s="2455"/>
      <c r="L518" s="2455"/>
      <c r="M518" s="2455"/>
      <c r="N518" s="2455"/>
      <c r="O518" s="2455"/>
      <c r="P518" s="2455"/>
      <c r="Q518" s="2455"/>
      <c r="R518" s="2455"/>
      <c r="S518" s="2455"/>
      <c r="T518" s="2455"/>
      <c r="U518" s="2455"/>
      <c r="V518" s="2455"/>
      <c r="W518" s="2455"/>
      <c r="X518" s="2455"/>
      <c r="Y518" s="2455"/>
      <c r="Z518" s="2455"/>
      <c r="AA518" s="2455"/>
      <c r="AB518" s="2455"/>
      <c r="AC518" s="2455"/>
      <c r="AD518" s="2455"/>
      <c r="AE518" s="2455"/>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56"/>
      <c r="G519" s="2456"/>
      <c r="H519" s="2456"/>
      <c r="I519" s="2456"/>
      <c r="J519" s="2456"/>
      <c r="K519" s="2456"/>
      <c r="L519" s="2456"/>
      <c r="M519" s="2456"/>
      <c r="N519" s="2456"/>
      <c r="O519" s="2456"/>
      <c r="P519" s="2456"/>
      <c r="Q519" s="2456"/>
      <c r="R519" s="2456"/>
      <c r="S519" s="2456"/>
      <c r="T519" s="2456"/>
      <c r="U519" s="2456"/>
      <c r="V519" s="2456"/>
      <c r="W519" s="2456"/>
      <c r="X519" s="2456"/>
      <c r="Y519" s="2456"/>
      <c r="Z519" s="2456"/>
      <c r="AA519" s="2456"/>
      <c r="AB519" s="2456"/>
      <c r="AC519" s="2456"/>
      <c r="AD519" s="2456"/>
      <c r="AE519" s="2456"/>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57" t="s">
        <v>591</v>
      </c>
      <c r="G521" s="2457"/>
      <c r="H521" s="2457"/>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25" t="s">
        <v>591</v>
      </c>
      <c r="D523" s="2426"/>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83"/>
      <c r="D525" s="2427"/>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84" t="s">
        <v>591</v>
      </c>
      <c r="H526" s="2484"/>
      <c r="I526" s="2484"/>
      <c r="J526" s="2484"/>
      <c r="K526" s="2484"/>
      <c r="L526" s="2484"/>
      <c r="M526" s="2484"/>
      <c r="N526" s="2484"/>
      <c r="O526" s="2484"/>
      <c r="P526" s="2484"/>
      <c r="Q526" s="2484"/>
      <c r="R526" s="2484"/>
      <c r="S526" s="2484"/>
      <c r="T526" s="2484"/>
      <c r="U526" s="2484"/>
      <c r="V526" s="2484"/>
      <c r="W526" s="2484"/>
      <c r="X526" s="2484"/>
      <c r="Y526" s="2484"/>
      <c r="Z526" s="2484"/>
      <c r="AA526" s="2484"/>
      <c r="AB526" s="2484"/>
      <c r="AC526" s="2484"/>
      <c r="AD526" s="2484"/>
      <c r="AE526" s="2484"/>
      <c r="AF526" s="2484"/>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85" t="s">
        <v>591</v>
      </c>
      <c r="D528" s="2486"/>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85" t="s">
        <v>591</v>
      </c>
      <c r="D532" s="2486"/>
      <c r="F532" s="791" t="s">
        <v>1538</v>
      </c>
      <c r="G532" s="2451" t="s">
        <v>1539</v>
      </c>
      <c r="H532" s="2451"/>
      <c r="I532" s="2451"/>
      <c r="J532" s="2451"/>
      <c r="K532" s="2451"/>
      <c r="L532" s="2451"/>
      <c r="M532" s="2451"/>
      <c r="N532" s="2451"/>
      <c r="O532" s="2451"/>
      <c r="P532" s="2451"/>
      <c r="Q532" s="2451"/>
      <c r="R532" s="2451"/>
      <c r="S532" s="2451"/>
      <c r="T532" s="2451"/>
      <c r="U532" s="2451"/>
      <c r="V532" s="2451"/>
      <c r="W532" s="2451"/>
      <c r="X532" s="2451"/>
      <c r="Y532" s="2451"/>
      <c r="Z532" s="2451"/>
      <c r="AA532" s="2451"/>
      <c r="AB532" s="2451"/>
      <c r="AC532" s="2451"/>
      <c r="AD532" s="2451"/>
      <c r="AE532" s="2451"/>
      <c r="AF532" s="2451"/>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52"/>
      <c r="H533" s="2452"/>
      <c r="I533" s="2452"/>
      <c r="J533" s="2452"/>
      <c r="K533" s="2452"/>
      <c r="L533" s="2452"/>
      <c r="M533" s="2452"/>
      <c r="N533" s="2452"/>
      <c r="O533" s="2452"/>
      <c r="P533" s="2452"/>
      <c r="Q533" s="2452"/>
      <c r="R533" s="2452"/>
      <c r="S533" s="2452"/>
      <c r="T533" s="2452"/>
      <c r="U533" s="2452"/>
      <c r="V533" s="2452"/>
      <c r="W533" s="2452"/>
      <c r="X533" s="2452"/>
      <c r="Y533" s="2452"/>
      <c r="Z533" s="2452"/>
      <c r="AA533" s="2452"/>
      <c r="AB533" s="2452"/>
      <c r="AC533" s="2452"/>
      <c r="AD533" s="2452"/>
      <c r="AE533" s="2452"/>
      <c r="AF533" s="2452"/>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87" t="s">
        <v>591</v>
      </c>
      <c r="D536" s="2488"/>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89" t="s">
        <v>591</v>
      </c>
      <c r="G537" s="2489"/>
      <c r="H537" s="2489"/>
      <c r="I537" s="2489"/>
      <c r="J537" s="2489"/>
      <c r="K537" s="2489"/>
      <c r="L537" s="2489"/>
      <c r="M537" s="2489"/>
      <c r="N537" s="2489"/>
      <c r="O537" s="2489"/>
      <c r="P537" s="2489"/>
      <c r="Q537" s="2489"/>
      <c r="R537" s="2489"/>
      <c r="S537" s="2489"/>
      <c r="T537" s="2489"/>
      <c r="U537" s="2489"/>
      <c r="V537" s="2489"/>
      <c r="W537" s="2489"/>
      <c r="X537" s="2489"/>
      <c r="Y537" s="2489"/>
      <c r="Z537" s="2489"/>
      <c r="AA537" s="2489"/>
      <c r="AB537" s="2489"/>
      <c r="AC537" s="2489"/>
      <c r="AD537" s="2489"/>
      <c r="AE537" s="2489"/>
      <c r="AF537" s="2489"/>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90"/>
      <c r="G538" s="2490"/>
      <c r="H538" s="2490"/>
      <c r="I538" s="2490"/>
      <c r="J538" s="2490"/>
      <c r="K538" s="2490"/>
      <c r="L538" s="2490"/>
      <c r="M538" s="2490"/>
      <c r="N538" s="2490"/>
      <c r="O538" s="2490"/>
      <c r="P538" s="2490"/>
      <c r="Q538" s="2490"/>
      <c r="R538" s="2490"/>
      <c r="S538" s="2490"/>
      <c r="T538" s="2490"/>
      <c r="U538" s="2490"/>
      <c r="V538" s="2490"/>
      <c r="W538" s="2490"/>
      <c r="X538" s="2490"/>
      <c r="Y538" s="2490"/>
      <c r="Z538" s="2490"/>
      <c r="AA538" s="2490"/>
      <c r="AB538" s="2490"/>
      <c r="AC538" s="2490"/>
      <c r="AD538" s="2490"/>
      <c r="AE538" s="2490"/>
      <c r="AF538" s="2490"/>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1990</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1991</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2403">
        <f>SUM(AG492:AG537)</f>
        <v>0</v>
      </c>
      <c r="AL548" s="2449"/>
      <c r="AM548" s="2404"/>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60" t="s">
        <v>1551</v>
      </c>
      <c r="AF551" s="2460"/>
      <c r="AG551" s="2460"/>
      <c r="AH551" s="2460"/>
      <c r="AI551" s="2460"/>
      <c r="AJ551" s="2460"/>
      <c r="AK551" s="2460"/>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22" t="s">
        <v>545</v>
      </c>
      <c r="D554" s="2422"/>
      <c r="E554" s="550"/>
      <c r="F554" s="2562" t="s">
        <v>1552</v>
      </c>
      <c r="G554" s="2563"/>
      <c r="H554" s="2563"/>
      <c r="I554" s="2563"/>
      <c r="J554" s="2563"/>
      <c r="K554" s="2563"/>
      <c r="L554" s="2563"/>
      <c r="M554" s="2563"/>
      <c r="N554" s="2563"/>
      <c r="O554" s="2563"/>
      <c r="P554" s="2563"/>
      <c r="Q554" s="2563"/>
      <c r="R554" s="2563"/>
      <c r="S554" s="2563"/>
      <c r="T554" s="2563"/>
      <c r="U554" s="2563"/>
      <c r="V554" s="2563"/>
      <c r="W554" s="2563"/>
      <c r="X554" s="2563"/>
      <c r="Y554" s="2563"/>
      <c r="Z554" s="2563"/>
      <c r="AA554" s="2563"/>
      <c r="AB554" s="2563"/>
      <c r="AC554" s="2563"/>
      <c r="AD554" s="2563"/>
      <c r="AE554" s="2563"/>
      <c r="AF554" s="2563"/>
      <c r="AG554" s="2563"/>
      <c r="AH554" s="2563"/>
      <c r="AI554" s="2563"/>
      <c r="AJ554" s="2563"/>
      <c r="AK554" s="2563"/>
      <c r="AL554" s="2564"/>
      <c r="AM554" s="593"/>
      <c r="AN554" s="595"/>
    </row>
    <row r="555" spans="1:81" s="549" customFormat="1" ht="12.75" customHeight="1">
      <c r="B555" s="539"/>
      <c r="C555" s="550"/>
      <c r="D555" s="550"/>
      <c r="E555" s="550"/>
      <c r="F555" s="2565"/>
      <c r="G555" s="2566"/>
      <c r="H555" s="2566"/>
      <c r="I555" s="2566"/>
      <c r="J555" s="2566"/>
      <c r="K555" s="2566"/>
      <c r="L555" s="2566"/>
      <c r="M555" s="2566"/>
      <c r="N555" s="2566"/>
      <c r="O555" s="2566"/>
      <c r="P555" s="2566"/>
      <c r="Q555" s="2566"/>
      <c r="R555" s="2566"/>
      <c r="S555" s="2566"/>
      <c r="T555" s="2566"/>
      <c r="U555" s="2566"/>
      <c r="V555" s="2566"/>
      <c r="W555" s="2566"/>
      <c r="X555" s="2566"/>
      <c r="Y555" s="2566"/>
      <c r="Z555" s="2566"/>
      <c r="AA555" s="2566"/>
      <c r="AB555" s="2566"/>
      <c r="AC555" s="2566"/>
      <c r="AD555" s="2566"/>
      <c r="AE555" s="2566"/>
      <c r="AF555" s="2566"/>
      <c r="AG555" s="2566"/>
      <c r="AH555" s="2566"/>
      <c r="AI555" s="2566"/>
      <c r="AJ555" s="2566"/>
      <c r="AK555" s="2566"/>
      <c r="AL555" s="2567"/>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22" t="s">
        <v>591</v>
      </c>
      <c r="D557" s="2422"/>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42" t="s">
        <v>2630</v>
      </c>
      <c r="G558" s="2400"/>
      <c r="H558" s="2400"/>
      <c r="I558" s="2400"/>
      <c r="J558" s="2400"/>
      <c r="K558" s="2400"/>
      <c r="L558" s="2400"/>
      <c r="M558" s="2400"/>
      <c r="N558" s="2400"/>
      <c r="O558" s="2400"/>
      <c r="P558" s="2400"/>
      <c r="Q558" s="2400"/>
      <c r="R558" s="2400"/>
      <c r="S558" s="2400"/>
      <c r="T558" s="2400"/>
      <c r="U558" s="2400"/>
      <c r="V558" s="2400"/>
      <c r="W558" s="2400"/>
      <c r="X558" s="2400"/>
      <c r="Y558" s="2400"/>
      <c r="Z558" s="2400"/>
      <c r="AA558" s="2400"/>
      <c r="AB558" s="2400"/>
      <c r="AC558" s="2400"/>
      <c r="AD558" s="2400"/>
      <c r="AE558" s="2400"/>
      <c r="AF558" s="2400"/>
      <c r="AG558" s="2400"/>
      <c r="AH558" s="2400"/>
      <c r="AI558" s="2400"/>
      <c r="AJ558" s="2400"/>
      <c r="AK558" s="2400"/>
      <c r="AL558" s="2443"/>
      <c r="AM558" s="593"/>
      <c r="AN558" s="595"/>
      <c r="AS558" s="866"/>
      <c r="AT558" s="866"/>
      <c r="AU558" s="866"/>
      <c r="AV558" s="866"/>
      <c r="AW558" s="866"/>
    </row>
    <row r="559" spans="1:81" s="549" customFormat="1" ht="12.75" customHeight="1">
      <c r="B559" s="802"/>
      <c r="C559" s="802"/>
      <c r="D559" s="802"/>
      <c r="E559" s="802"/>
      <c r="F559" s="2442"/>
      <c r="G559" s="2400"/>
      <c r="H559" s="2400"/>
      <c r="I559" s="2400"/>
      <c r="J559" s="2400"/>
      <c r="K559" s="2400"/>
      <c r="L559" s="2400"/>
      <c r="M559" s="2400"/>
      <c r="N559" s="2400"/>
      <c r="O559" s="2400"/>
      <c r="P559" s="2400"/>
      <c r="Q559" s="2400"/>
      <c r="R559" s="2400"/>
      <c r="S559" s="2400"/>
      <c r="T559" s="2400"/>
      <c r="U559" s="2400"/>
      <c r="V559" s="2400"/>
      <c r="W559" s="2400"/>
      <c r="X559" s="2400"/>
      <c r="Y559" s="2400"/>
      <c r="Z559" s="2400"/>
      <c r="AA559" s="2400"/>
      <c r="AB559" s="2400"/>
      <c r="AC559" s="2400"/>
      <c r="AD559" s="2400"/>
      <c r="AE559" s="2400"/>
      <c r="AF559" s="2400"/>
      <c r="AG559" s="2400"/>
      <c r="AH559" s="2400"/>
      <c r="AI559" s="2400"/>
      <c r="AJ559" s="2400"/>
      <c r="AK559" s="2400"/>
      <c r="AL559" s="2443"/>
      <c r="AM559" s="593"/>
      <c r="AN559" s="595"/>
    </row>
    <row r="560" spans="1:81" s="549" customFormat="1" ht="12.75" customHeight="1">
      <c r="B560" s="802"/>
      <c r="C560" s="802"/>
      <c r="D560" s="802"/>
      <c r="E560" s="802"/>
      <c r="F560" s="807" t="s">
        <v>1992</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42" t="s">
        <v>1554</v>
      </c>
      <c r="G561" s="2400"/>
      <c r="H561" s="2400"/>
      <c r="I561" s="2400"/>
      <c r="J561" s="2400"/>
      <c r="K561" s="2400"/>
      <c r="L561" s="2400"/>
      <c r="M561" s="2400"/>
      <c r="N561" s="2400"/>
      <c r="O561" s="2400"/>
      <c r="P561" s="2400"/>
      <c r="Q561" s="2400"/>
      <c r="R561" s="2400"/>
      <c r="S561" s="2400"/>
      <c r="T561" s="2400"/>
      <c r="U561" s="2400"/>
      <c r="V561" s="2400"/>
      <c r="W561" s="2400"/>
      <c r="X561" s="2400"/>
      <c r="Y561" s="2400"/>
      <c r="Z561" s="2400"/>
      <c r="AA561" s="2400"/>
      <c r="AB561" s="2400"/>
      <c r="AC561" s="2400"/>
      <c r="AD561" s="2400"/>
      <c r="AE561" s="2400"/>
      <c r="AF561" s="2400"/>
      <c r="AG561" s="2400"/>
      <c r="AH561" s="2400"/>
      <c r="AI561" s="2400"/>
      <c r="AJ561" s="2400"/>
      <c r="AK561" s="2400"/>
      <c r="AL561" s="809"/>
      <c r="AM561" s="593"/>
      <c r="AN561" s="595"/>
    </row>
    <row r="562" spans="1:45" s="549" customFormat="1" ht="12.75" customHeight="1">
      <c r="B562" s="802"/>
      <c r="C562" s="802"/>
      <c r="D562" s="802"/>
      <c r="E562" s="802"/>
      <c r="F562" s="2444"/>
      <c r="G562" s="2445"/>
      <c r="H562" s="2445"/>
      <c r="I562" s="2445"/>
      <c r="J562" s="2445"/>
      <c r="K562" s="2445"/>
      <c r="L562" s="2445"/>
      <c r="M562" s="2445"/>
      <c r="N562" s="2445"/>
      <c r="O562" s="2445"/>
      <c r="P562" s="2445"/>
      <c r="Q562" s="2445"/>
      <c r="R562" s="2445"/>
      <c r="S562" s="2445"/>
      <c r="T562" s="2445"/>
      <c r="U562" s="2445"/>
      <c r="V562" s="2445"/>
      <c r="W562" s="2445"/>
      <c r="X562" s="2445"/>
      <c r="Y562" s="2445"/>
      <c r="Z562" s="2445"/>
      <c r="AA562" s="2445"/>
      <c r="AB562" s="2445"/>
      <c r="AC562" s="2445"/>
      <c r="AD562" s="2445"/>
      <c r="AE562" s="2445"/>
      <c r="AF562" s="2445"/>
      <c r="AG562" s="2445"/>
      <c r="AH562" s="2445"/>
      <c r="AI562" s="2445"/>
      <c r="AJ562" s="2445"/>
      <c r="AK562" s="2445"/>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41">
        <f>Application!AJ1001</f>
        <v>50579200</v>
      </c>
      <c r="AQ563" s="2441"/>
      <c r="AR563" s="2441"/>
      <c r="AS563" s="549" t="s">
        <v>2125</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46">
        <f>'Sources and Uses Budget'!S107+'Sources and Uses Budget'!T107</f>
        <v>31046002</v>
      </c>
      <c r="AG564" s="2446"/>
      <c r="AH564" s="2446"/>
      <c r="AI564" s="2446"/>
      <c r="AJ564" s="2446"/>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47">
        <f>IFERROR(AP572,0)</f>
        <v>65752960</v>
      </c>
      <c r="AG565" s="2447"/>
      <c r="AH565" s="2447"/>
      <c r="AI565" s="2447"/>
      <c r="AJ565" s="2447"/>
      <c r="AK565" s="593"/>
      <c r="AL565" s="593"/>
      <c r="AM565" s="593"/>
      <c r="AN565" s="595"/>
      <c r="AP565" s="2441">
        <f>Application!AJ1054</f>
        <v>5057920</v>
      </c>
      <c r="AQ565" s="2441"/>
      <c r="AR565" s="2441"/>
      <c r="AS565" s="549" t="s">
        <v>1839</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48">
        <f>IFERROR(ROUNDDOWN(IF(C557="YES",((1-(AF564/AF565))*2),(1-(AF564/AF565))),2),0)</f>
        <v>0.52</v>
      </c>
      <c r="AG566" s="2448"/>
      <c r="AH566" s="2448"/>
      <c r="AI566" s="2448"/>
      <c r="AJ566" s="2448"/>
      <c r="AK566" s="593"/>
      <c r="AL566" s="593"/>
      <c r="AM566" s="593"/>
      <c r="AN566" s="595"/>
      <c r="AP566" s="2439">
        <f>Application!AJ1058</f>
        <v>10115840</v>
      </c>
      <c r="AQ566" s="2439"/>
      <c r="AR566" s="2439"/>
      <c r="AS566" s="549" t="s">
        <v>2126</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69">
        <f>IF(((AP565+AP566)/AP563)&gt;0.8,0.8,((AP565+AP566)/AP563))</f>
        <v>0.3</v>
      </c>
      <c r="AQ567" s="2469"/>
      <c r="AR567" s="2469"/>
      <c r="AS567" s="549" t="s">
        <v>2127</v>
      </c>
    </row>
    <row r="568" spans="1:45" s="549" customFormat="1" ht="12.75" customHeight="1">
      <c r="A568" s="622"/>
      <c r="B568" s="2519" t="s">
        <v>1993</v>
      </c>
      <c r="C568" s="2520"/>
      <c r="D568" s="2520"/>
      <c r="E568" s="2520"/>
      <c r="F568" s="2520"/>
      <c r="G568" s="2520"/>
      <c r="H568" s="2520"/>
      <c r="I568" s="2520"/>
      <c r="J568" s="2520"/>
      <c r="K568" s="2520"/>
      <c r="L568" s="2520"/>
      <c r="M568" s="2520"/>
      <c r="N568" s="2520"/>
      <c r="O568" s="2520"/>
      <c r="P568" s="2520"/>
      <c r="Q568" s="2520"/>
      <c r="R568" s="2520"/>
      <c r="S568" s="2520"/>
      <c r="T568" s="2520"/>
      <c r="U568" s="2520"/>
      <c r="V568" s="2520"/>
      <c r="W568" s="2520"/>
      <c r="X568" s="2520"/>
      <c r="Y568" s="2520"/>
      <c r="Z568" s="2520"/>
      <c r="AA568" s="2520"/>
      <c r="AB568" s="2520"/>
      <c r="AC568" s="2520"/>
      <c r="AD568" s="2520"/>
      <c r="AE568" s="2520"/>
      <c r="AF568" s="2520"/>
      <c r="AG568" s="2520"/>
      <c r="AH568" s="2520"/>
      <c r="AI568" s="2520"/>
      <c r="AJ568" s="2521"/>
      <c r="AK568" s="593"/>
      <c r="AL568" s="593"/>
      <c r="AM568" s="593"/>
      <c r="AN568" s="595"/>
    </row>
    <row r="569" spans="1:45" s="549" customFormat="1" ht="12.75" customHeight="1">
      <c r="A569" s="622"/>
      <c r="B569" s="2522"/>
      <c r="C569" s="2523"/>
      <c r="D569" s="2523"/>
      <c r="E569" s="2523"/>
      <c r="F569" s="2523"/>
      <c r="G569" s="2523"/>
      <c r="H569" s="2523"/>
      <c r="I569" s="2523"/>
      <c r="J569" s="2523"/>
      <c r="K569" s="2523"/>
      <c r="L569" s="2523"/>
      <c r="M569" s="2523"/>
      <c r="N569" s="2523"/>
      <c r="O569" s="2523"/>
      <c r="P569" s="2523"/>
      <c r="Q569" s="2523"/>
      <c r="R569" s="2523"/>
      <c r="S569" s="2523"/>
      <c r="T569" s="2523"/>
      <c r="U569" s="2523"/>
      <c r="V569" s="2523"/>
      <c r="W569" s="2523"/>
      <c r="X569" s="2523"/>
      <c r="Y569" s="2523"/>
      <c r="Z569" s="2523"/>
      <c r="AA569" s="2523"/>
      <c r="AB569" s="2523"/>
      <c r="AC569" s="2523"/>
      <c r="AD569" s="2523"/>
      <c r="AE569" s="2523"/>
      <c r="AF569" s="2523"/>
      <c r="AG569" s="2523"/>
      <c r="AH569" s="2523"/>
      <c r="AI569" s="2523"/>
      <c r="AJ569" s="2524"/>
      <c r="AK569" s="593"/>
      <c r="AL569" s="593"/>
      <c r="AM569" s="593"/>
      <c r="AN569" s="595"/>
      <c r="AP569" s="2441">
        <f>AP570-AP565-AP566</f>
        <v>50579200</v>
      </c>
      <c r="AQ569" s="2470"/>
      <c r="AR569" s="2470"/>
      <c r="AS569" s="549" t="s">
        <v>2129</v>
      </c>
    </row>
    <row r="570" spans="1:45" s="549" customFormat="1" ht="12.75" customHeight="1">
      <c r="A570" s="622"/>
      <c r="B570" s="2525"/>
      <c r="C570" s="2526"/>
      <c r="D570" s="2526"/>
      <c r="E570" s="2526"/>
      <c r="F570" s="2526"/>
      <c r="G570" s="2526"/>
      <c r="H570" s="2526"/>
      <c r="I570" s="2526"/>
      <c r="J570" s="2526"/>
      <c r="K570" s="2526"/>
      <c r="L570" s="2526"/>
      <c r="M570" s="2526"/>
      <c r="N570" s="2526"/>
      <c r="O570" s="2526"/>
      <c r="P570" s="2526"/>
      <c r="Q570" s="2526"/>
      <c r="R570" s="2526"/>
      <c r="S570" s="2526"/>
      <c r="T570" s="2526"/>
      <c r="U570" s="2526"/>
      <c r="V570" s="2526"/>
      <c r="W570" s="2526"/>
      <c r="X570" s="2526"/>
      <c r="Y570" s="2526"/>
      <c r="Z570" s="2526"/>
      <c r="AA570" s="2526"/>
      <c r="AB570" s="2526"/>
      <c r="AC570" s="2526"/>
      <c r="AD570" s="2526"/>
      <c r="AE570" s="2526"/>
      <c r="AF570" s="2526"/>
      <c r="AG570" s="2526"/>
      <c r="AH570" s="2526"/>
      <c r="AI570" s="2526"/>
      <c r="AJ570" s="2527"/>
      <c r="AK570" s="593"/>
      <c r="AL570" s="593"/>
      <c r="AM570" s="593"/>
      <c r="AN570" s="595"/>
      <c r="AP570" s="2441">
        <f>Application!AJ1062</f>
        <v>65752960</v>
      </c>
      <c r="AQ570" s="2441"/>
      <c r="AR570" s="2441"/>
      <c r="AS570" s="549" t="s">
        <v>2128</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2528">
        <f>IFERROR(IF(AND(C554="N/A",C557="N/A"),0,IF(AF566=0,0,IF((AF566*100)&gt;12,12,(AF566*100)))),0)</f>
        <v>12</v>
      </c>
      <c r="AL572" s="2528"/>
      <c r="AM572" s="2529"/>
      <c r="AN572" s="595"/>
      <c r="AP572" s="2430">
        <f>AP569+(AP563*AP567)</f>
        <v>65752960</v>
      </c>
      <c r="AQ572" s="2431"/>
      <c r="AR572" s="2432"/>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2573</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60" t="s">
        <v>1308</v>
      </c>
      <c r="AF575" s="2460"/>
      <c r="AG575" s="2460"/>
      <c r="AH575" s="2460"/>
      <c r="AI575" s="2460"/>
      <c r="AJ575" s="2460"/>
      <c r="AK575" s="2460"/>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00" t="s">
        <v>1985</v>
      </c>
      <c r="C577" s="2400"/>
      <c r="D577" s="2400"/>
      <c r="E577" s="2400"/>
      <c r="F577" s="2400"/>
      <c r="G577" s="2400"/>
      <c r="H577" s="2400"/>
      <c r="I577" s="2400"/>
      <c r="J577" s="2400"/>
      <c r="K577" s="2400"/>
      <c r="L577" s="2400"/>
      <c r="M577" s="2400"/>
      <c r="N577" s="2400"/>
      <c r="O577" s="2400"/>
      <c r="P577" s="2400"/>
      <c r="Q577" s="2400"/>
      <c r="R577" s="2400"/>
      <c r="S577" s="2400"/>
      <c r="T577" s="2400"/>
      <c r="U577" s="2400"/>
      <c r="V577" s="2400"/>
      <c r="W577" s="2400"/>
      <c r="X577" s="2400"/>
      <c r="Y577" s="2400"/>
      <c r="Z577" s="2400"/>
      <c r="AA577" s="2400"/>
      <c r="AB577" s="2400"/>
      <c r="AC577" s="2400"/>
      <c r="AD577" s="2400"/>
      <c r="AE577" s="2400"/>
      <c r="AF577" s="2400"/>
      <c r="AG577" s="2400"/>
      <c r="AH577" s="2400"/>
      <c r="AI577" s="2400"/>
      <c r="AJ577" s="2400"/>
      <c r="AK577" s="640"/>
      <c r="AL577" s="571"/>
      <c r="AM577" s="601"/>
      <c r="AN577" s="595"/>
    </row>
    <row r="578" spans="1:42" s="549" customFormat="1" ht="12.75" customHeight="1">
      <c r="A578" s="601"/>
      <c r="B578" s="2400"/>
      <c r="C578" s="2400"/>
      <c r="D578" s="2400"/>
      <c r="E578" s="2400"/>
      <c r="F578" s="2400"/>
      <c r="G578" s="2400"/>
      <c r="H578" s="2400"/>
      <c r="I578" s="2400"/>
      <c r="J578" s="2400"/>
      <c r="K578" s="2400"/>
      <c r="L578" s="2400"/>
      <c r="M578" s="2400"/>
      <c r="N578" s="2400"/>
      <c r="O578" s="2400"/>
      <c r="P578" s="2400"/>
      <c r="Q578" s="2400"/>
      <c r="R578" s="2400"/>
      <c r="S578" s="2400"/>
      <c r="T578" s="2400"/>
      <c r="U578" s="2400"/>
      <c r="V578" s="2400"/>
      <c r="W578" s="2400"/>
      <c r="X578" s="2400"/>
      <c r="Y578" s="2400"/>
      <c r="Z578" s="2400"/>
      <c r="AA578" s="2400"/>
      <c r="AB578" s="2400"/>
      <c r="AC578" s="2400"/>
      <c r="AD578" s="2400"/>
      <c r="AE578" s="2400"/>
      <c r="AF578" s="2400"/>
      <c r="AG578" s="2400"/>
      <c r="AH578" s="2400"/>
      <c r="AI578" s="2400"/>
      <c r="AJ578" s="2400"/>
      <c r="AK578" s="640"/>
      <c r="AL578" s="571"/>
      <c r="AM578" s="601"/>
      <c r="AN578" s="595"/>
    </row>
    <row r="579" spans="1:42" s="549" customFormat="1" ht="12.75" customHeight="1">
      <c r="A579" s="601"/>
      <c r="B579" s="2400"/>
      <c r="C579" s="2400"/>
      <c r="D579" s="2400"/>
      <c r="E579" s="2400"/>
      <c r="F579" s="2400"/>
      <c r="G579" s="2400"/>
      <c r="H579" s="2400"/>
      <c r="I579" s="2400"/>
      <c r="J579" s="2400"/>
      <c r="K579" s="2400"/>
      <c r="L579" s="2400"/>
      <c r="M579" s="2400"/>
      <c r="N579" s="2400"/>
      <c r="O579" s="2400"/>
      <c r="P579" s="2400"/>
      <c r="Q579" s="2400"/>
      <c r="R579" s="2400"/>
      <c r="S579" s="2400"/>
      <c r="T579" s="2400"/>
      <c r="U579" s="2400"/>
      <c r="V579" s="2400"/>
      <c r="W579" s="2400"/>
      <c r="X579" s="2400"/>
      <c r="Y579" s="2400"/>
      <c r="Z579" s="2400"/>
      <c r="AA579" s="2400"/>
      <c r="AB579" s="2400"/>
      <c r="AC579" s="2400"/>
      <c r="AD579" s="2400"/>
      <c r="AE579" s="2400"/>
      <c r="AF579" s="2400"/>
      <c r="AG579" s="2400"/>
      <c r="AH579" s="2400"/>
      <c r="AI579" s="2400"/>
      <c r="AJ579" s="2400"/>
      <c r="AK579" s="640"/>
      <c r="AL579" s="571"/>
      <c r="AM579" s="601"/>
      <c r="AN579" s="595"/>
    </row>
    <row r="580" spans="1:42" s="549" customFormat="1" ht="12.75" customHeight="1">
      <c r="A580" s="601"/>
      <c r="B580" s="2400"/>
      <c r="C580" s="2400"/>
      <c r="D580" s="2400"/>
      <c r="E580" s="2400"/>
      <c r="F580" s="2400"/>
      <c r="G580" s="2400"/>
      <c r="H580" s="2400"/>
      <c r="I580" s="2400"/>
      <c r="J580" s="2400"/>
      <c r="K580" s="2400"/>
      <c r="L580" s="2400"/>
      <c r="M580" s="2400"/>
      <c r="N580" s="2400"/>
      <c r="O580" s="2400"/>
      <c r="P580" s="2400"/>
      <c r="Q580" s="2400"/>
      <c r="R580" s="2400"/>
      <c r="S580" s="2400"/>
      <c r="T580" s="2400"/>
      <c r="U580" s="2400"/>
      <c r="V580" s="2400"/>
      <c r="W580" s="2400"/>
      <c r="X580" s="2400"/>
      <c r="Y580" s="2400"/>
      <c r="Z580" s="2400"/>
      <c r="AA580" s="2400"/>
      <c r="AB580" s="2400"/>
      <c r="AC580" s="2400"/>
      <c r="AD580" s="2400"/>
      <c r="AE580" s="2400"/>
      <c r="AF580" s="2400"/>
      <c r="AG580" s="2400"/>
      <c r="AH580" s="2400"/>
      <c r="AI580" s="2400"/>
      <c r="AJ580" s="2400"/>
      <c r="AK580" s="640"/>
      <c r="AL580" s="571"/>
      <c r="AM580" s="601"/>
      <c r="AN580" s="595"/>
    </row>
    <row r="581" spans="1:42" s="549" customFormat="1" ht="12.75" customHeight="1">
      <c r="A581" s="601"/>
      <c r="B581" s="2400"/>
      <c r="C581" s="2400"/>
      <c r="D581" s="2400"/>
      <c r="E581" s="2400"/>
      <c r="F581" s="2400"/>
      <c r="G581" s="2400"/>
      <c r="H581" s="2400"/>
      <c r="I581" s="2400"/>
      <c r="J581" s="2400"/>
      <c r="K581" s="2400"/>
      <c r="L581" s="2400"/>
      <c r="M581" s="2400"/>
      <c r="N581" s="2400"/>
      <c r="O581" s="2400"/>
      <c r="P581" s="2400"/>
      <c r="Q581" s="2400"/>
      <c r="R581" s="2400"/>
      <c r="S581" s="2400"/>
      <c r="T581" s="2400"/>
      <c r="U581" s="2400"/>
      <c r="V581" s="2400"/>
      <c r="W581" s="2400"/>
      <c r="X581" s="2400"/>
      <c r="Y581" s="2400"/>
      <c r="Z581" s="2400"/>
      <c r="AA581" s="2400"/>
      <c r="AB581" s="2400"/>
      <c r="AC581" s="2400"/>
      <c r="AD581" s="2400"/>
      <c r="AE581" s="2400"/>
      <c r="AF581" s="2400"/>
      <c r="AG581" s="2400"/>
      <c r="AH581" s="2400"/>
      <c r="AI581" s="2400"/>
      <c r="AJ581" s="2400"/>
      <c r="AK581" s="640"/>
      <c r="AL581" s="571"/>
      <c r="AM581" s="601"/>
      <c r="AN581" s="595"/>
    </row>
    <row r="582" spans="1:42" s="549" customFormat="1" ht="12.75" customHeight="1">
      <c r="A582" s="601"/>
      <c r="B582" s="2400"/>
      <c r="C582" s="2400"/>
      <c r="D582" s="2400"/>
      <c r="E582" s="2400"/>
      <c r="F582" s="2400"/>
      <c r="G582" s="2400"/>
      <c r="H582" s="2400"/>
      <c r="I582" s="2400"/>
      <c r="J582" s="2400"/>
      <c r="K582" s="2400"/>
      <c r="L582" s="2400"/>
      <c r="M582" s="2400"/>
      <c r="N582" s="2400"/>
      <c r="O582" s="2400"/>
      <c r="P582" s="2400"/>
      <c r="Q582" s="2400"/>
      <c r="R582" s="2400"/>
      <c r="S582" s="2400"/>
      <c r="T582" s="2400"/>
      <c r="U582" s="2400"/>
      <c r="V582" s="2400"/>
      <c r="W582" s="2400"/>
      <c r="X582" s="2400"/>
      <c r="Y582" s="2400"/>
      <c r="Z582" s="2400"/>
      <c r="AA582" s="2400"/>
      <c r="AB582" s="2400"/>
      <c r="AC582" s="2400"/>
      <c r="AD582" s="2400"/>
      <c r="AE582" s="2400"/>
      <c r="AF582" s="2400"/>
      <c r="AG582" s="2400"/>
      <c r="AH582" s="2400"/>
      <c r="AI582" s="2400"/>
      <c r="AJ582" s="2400"/>
      <c r="AK582" s="640"/>
      <c r="AL582" s="571"/>
      <c r="AM582" s="601"/>
      <c r="AN582" s="595"/>
    </row>
    <row r="583" spans="1:42" s="549" customFormat="1" ht="12.75" customHeight="1">
      <c r="A583" s="601"/>
      <c r="B583" s="2400"/>
      <c r="C583" s="2400"/>
      <c r="D583" s="2400"/>
      <c r="E583" s="2400"/>
      <c r="F583" s="2400"/>
      <c r="G583" s="2400"/>
      <c r="H583" s="2400"/>
      <c r="I583" s="2400"/>
      <c r="J583" s="2400"/>
      <c r="K583" s="2400"/>
      <c r="L583" s="2400"/>
      <c r="M583" s="2400"/>
      <c r="N583" s="2400"/>
      <c r="O583" s="2400"/>
      <c r="P583" s="2400"/>
      <c r="Q583" s="2400"/>
      <c r="R583" s="2400"/>
      <c r="S583" s="2400"/>
      <c r="T583" s="2400"/>
      <c r="U583" s="2400"/>
      <c r="V583" s="2400"/>
      <c r="W583" s="2400"/>
      <c r="X583" s="2400"/>
      <c r="Y583" s="2400"/>
      <c r="Z583" s="2400"/>
      <c r="AA583" s="2400"/>
      <c r="AB583" s="2400"/>
      <c r="AC583" s="2400"/>
      <c r="AD583" s="2400"/>
      <c r="AE583" s="2400"/>
      <c r="AF583" s="2400"/>
      <c r="AG583" s="2400"/>
      <c r="AH583" s="2400"/>
      <c r="AI583" s="2400"/>
      <c r="AJ583" s="2400"/>
      <c r="AK583" s="640"/>
      <c r="AL583" s="571"/>
      <c r="AM583" s="601"/>
      <c r="AN583" s="595"/>
    </row>
    <row r="584" spans="1:42" ht="12.75" customHeight="1">
      <c r="A584" s="601"/>
      <c r="B584" s="2400"/>
      <c r="C584" s="2400"/>
      <c r="D584" s="2400"/>
      <c r="E584" s="2400"/>
      <c r="F584" s="2400"/>
      <c r="G584" s="2400"/>
      <c r="H584" s="2400"/>
      <c r="I584" s="2400"/>
      <c r="J584" s="2400"/>
      <c r="K584" s="2400"/>
      <c r="L584" s="2400"/>
      <c r="M584" s="2400"/>
      <c r="N584" s="2400"/>
      <c r="O584" s="2400"/>
      <c r="P584" s="2400"/>
      <c r="Q584" s="2400"/>
      <c r="R584" s="2400"/>
      <c r="S584" s="2400"/>
      <c r="T584" s="2400"/>
      <c r="U584" s="2400"/>
      <c r="V584" s="2400"/>
      <c r="W584" s="2400"/>
      <c r="X584" s="2400"/>
      <c r="Y584" s="2400"/>
      <c r="Z584" s="2400"/>
      <c r="AA584" s="2400"/>
      <c r="AB584" s="2400"/>
      <c r="AC584" s="2400"/>
      <c r="AD584" s="2400"/>
      <c r="AE584" s="2400"/>
      <c r="AF584" s="2400"/>
      <c r="AG584" s="2400"/>
      <c r="AH584" s="2400"/>
      <c r="AI584" s="2400"/>
      <c r="AJ584" s="2400"/>
      <c r="AK584" s="640"/>
      <c r="AL584" s="571"/>
      <c r="AM584" s="601"/>
    </row>
    <row r="585" spans="1:42" s="549" customFormat="1" ht="12.75" customHeight="1">
      <c r="B585" s="2400"/>
      <c r="C585" s="2400"/>
      <c r="D585" s="2400"/>
      <c r="E585" s="2400"/>
      <c r="F585" s="2400"/>
      <c r="G585" s="2400"/>
      <c r="H585" s="2400"/>
      <c r="I585" s="2400"/>
      <c r="J585" s="2400"/>
      <c r="K585" s="2400"/>
      <c r="L585" s="2400"/>
      <c r="M585" s="2400"/>
      <c r="N585" s="2400"/>
      <c r="O585" s="2400"/>
      <c r="P585" s="2400"/>
      <c r="Q585" s="2400"/>
      <c r="R585" s="2400"/>
      <c r="S585" s="2400"/>
      <c r="T585" s="2400"/>
      <c r="U585" s="2400"/>
      <c r="V585" s="2400"/>
      <c r="W585" s="2400"/>
      <c r="X585" s="2400"/>
      <c r="Y585" s="2400"/>
      <c r="Z585" s="2400"/>
      <c r="AA585" s="2400"/>
      <c r="AB585" s="2400"/>
      <c r="AC585" s="2400"/>
      <c r="AD585" s="2400"/>
      <c r="AE585" s="2400"/>
      <c r="AF585" s="2400"/>
      <c r="AG585" s="2400"/>
      <c r="AH585" s="2400"/>
      <c r="AI585" s="2400"/>
      <c r="AJ585" s="2400"/>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01" t="s">
        <v>1332</v>
      </c>
      <c r="AG591" s="2401"/>
      <c r="AH591" s="2401"/>
      <c r="AI591" s="2401"/>
      <c r="AJ591" s="2401"/>
      <c r="AK591" s="2401"/>
      <c r="AL591" s="2401"/>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2130</v>
      </c>
      <c r="AP595" s="549" t="b">
        <f>IF(Application!AF427&gt;=25,TRUE,FALSE)</f>
        <v>0</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2131</v>
      </c>
      <c r="AP596" s="549" t="b">
        <f>Application!T199="Yes"</f>
        <v>1</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01" t="s">
        <v>1388</v>
      </c>
      <c r="AG598" s="2401"/>
      <c r="AH598" s="2401"/>
      <c r="AI598" s="2401"/>
      <c r="AJ598" s="2401"/>
      <c r="AK598" s="2401"/>
      <c r="AL598" s="2401"/>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0</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01" t="s">
        <v>1371</v>
      </c>
      <c r="AG604" s="2401"/>
      <c r="AH604" s="2401"/>
      <c r="AI604" s="2401"/>
      <c r="AJ604" s="2401"/>
      <c r="AK604" s="2401"/>
      <c r="AL604" s="2401"/>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2133</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2134</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2135</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01" t="s">
        <v>1391</v>
      </c>
      <c r="AG610" s="2401"/>
      <c r="AH610" s="2401"/>
      <c r="AI610" s="2401"/>
      <c r="AJ610" s="2401"/>
      <c r="AK610" s="2401"/>
      <c r="AL610" s="2401"/>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2136</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2137</v>
      </c>
    </row>
    <row r="614" spans="1:53" s="549" customFormat="1" ht="12.75" customHeight="1">
      <c r="B614" s="608"/>
      <c r="C614" s="927"/>
      <c r="D614" s="659"/>
      <c r="E614" s="536" t="s">
        <v>1840</v>
      </c>
      <c r="O614" s="2546" t="s">
        <v>1184</v>
      </c>
      <c r="P614" s="2546"/>
      <c r="Q614" s="2546"/>
      <c r="R614" s="2546"/>
      <c r="S614" s="2546"/>
      <c r="T614" s="2546"/>
      <c r="U614" s="2546"/>
      <c r="V614" s="2546"/>
      <c r="W614" s="2546"/>
      <c r="X614" s="2546"/>
      <c r="Y614" s="2546"/>
      <c r="Z614" s="2546"/>
      <c r="AA614" s="2546"/>
      <c r="AB614" s="2546"/>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01" t="s">
        <v>1346</v>
      </c>
      <c r="AG616" s="2401"/>
      <c r="AH616" s="2401"/>
      <c r="AI616" s="2401"/>
      <c r="AJ616" s="2401"/>
      <c r="AK616" s="2401"/>
      <c r="AL616" s="2401"/>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2402" t="s">
        <v>509</v>
      </c>
      <c r="I619" s="2402"/>
      <c r="J619" s="932"/>
      <c r="K619" s="932"/>
      <c r="L619" s="932"/>
      <c r="N619" s="22"/>
      <c r="O619" s="22"/>
      <c r="P619" s="22"/>
      <c r="Q619" s="1145" t="s">
        <v>2132</v>
      </c>
      <c r="R619" s="2547" t="s">
        <v>2133</v>
      </c>
      <c r="S619" s="2547"/>
      <c r="T619" s="2547"/>
      <c r="U619" s="2547"/>
      <c r="V619" s="2547"/>
      <c r="W619" s="2547"/>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48" t="str">
        <f>IF(AND(H619="(i)",NOT(AP595)),AO612,IF(AND(H619="(iv)",OR(R619=AO608,R619=AO607),NOT(AP596)),AO613,""))</f>
        <v/>
      </c>
      <c r="Z620" s="2548"/>
      <c r="AA620" s="2548"/>
      <c r="AB620" s="2548"/>
      <c r="AC620" s="2548"/>
      <c r="AD620" s="2548"/>
      <c r="AE620" s="2548"/>
      <c r="AF620" s="2548"/>
      <c r="AG620" s="2548"/>
      <c r="AH620" s="2548"/>
      <c r="AI620" s="2548"/>
      <c r="AJ620" s="2548"/>
      <c r="AK620" s="2548"/>
      <c r="AL620" s="2548"/>
      <c r="AM620" s="2549"/>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48"/>
      <c r="Z621" s="2548"/>
      <c r="AA621" s="2548"/>
      <c r="AB621" s="2548"/>
      <c r="AC621" s="2548"/>
      <c r="AD621" s="2548"/>
      <c r="AE621" s="2548"/>
      <c r="AF621" s="2548"/>
      <c r="AG621" s="2548"/>
      <c r="AH621" s="2548"/>
      <c r="AI621" s="2548"/>
      <c r="AJ621" s="2548"/>
      <c r="AK621" s="2548"/>
      <c r="AL621" s="2548"/>
      <c r="AM621" s="2549"/>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2545" t="s">
        <v>591</v>
      </c>
      <c r="J627" s="2545"/>
      <c r="K627" s="2545"/>
      <c r="L627" s="2545"/>
      <c r="M627" s="2545"/>
      <c r="N627" s="2545"/>
      <c r="O627" s="2545"/>
      <c r="P627" s="2545"/>
      <c r="Q627" s="2545"/>
      <c r="R627" s="2545"/>
      <c r="S627" s="2545"/>
      <c r="T627" s="2545"/>
      <c r="U627" s="2545"/>
      <c r="V627" s="2545"/>
      <c r="W627" s="2545"/>
      <c r="X627" s="2545"/>
      <c r="Y627" s="2545"/>
      <c r="Z627" s="2545"/>
      <c r="AA627" s="2545"/>
      <c r="AB627" s="2545"/>
      <c r="AC627" s="2545"/>
      <c r="AD627" s="2545"/>
      <c r="AE627" s="2545"/>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2408" t="s">
        <v>591</v>
      </c>
      <c r="C629" s="2408"/>
      <c r="D629" s="640"/>
      <c r="E629" s="2400" t="s">
        <v>1395</v>
      </c>
      <c r="F629" s="2400"/>
      <c r="G629" s="2400"/>
      <c r="H629" s="2400"/>
      <c r="I629" s="2400"/>
      <c r="J629" s="2400"/>
      <c r="K629" s="2400"/>
      <c r="L629" s="2400"/>
      <c r="M629" s="2400"/>
      <c r="N629" s="2400"/>
      <c r="O629" s="2400"/>
      <c r="P629" s="2400"/>
      <c r="Q629" s="2400"/>
      <c r="R629" s="2400"/>
      <c r="S629" s="2400"/>
      <c r="T629" s="2400"/>
      <c r="U629" s="2400"/>
      <c r="V629" s="2400"/>
      <c r="W629" s="2400"/>
      <c r="X629" s="2400"/>
      <c r="Y629" s="2400"/>
      <c r="Z629" s="2400"/>
      <c r="AA629" s="2400"/>
      <c r="AB629" s="2400"/>
      <c r="AC629" s="2400"/>
      <c r="AD629" s="2400"/>
      <c r="AE629" s="2400"/>
      <c r="AF629" s="2400"/>
      <c r="AG629" s="2400"/>
      <c r="AH629" s="640"/>
      <c r="AI629" s="640"/>
      <c r="AJ629" s="640"/>
      <c r="AK629" s="640"/>
      <c r="AL629" s="640"/>
      <c r="AN629" s="595"/>
    </row>
    <row r="630" spans="1:42" s="549" customFormat="1" ht="12.75" customHeight="1">
      <c r="B630" s="536"/>
      <c r="C630" s="929"/>
      <c r="D630" s="640"/>
      <c r="E630" s="2400"/>
      <c r="F630" s="2400"/>
      <c r="G630" s="2400"/>
      <c r="H630" s="2400"/>
      <c r="I630" s="2400"/>
      <c r="J630" s="2400"/>
      <c r="K630" s="2400"/>
      <c r="L630" s="2400"/>
      <c r="M630" s="2400"/>
      <c r="N630" s="2400"/>
      <c r="O630" s="2400"/>
      <c r="P630" s="2400"/>
      <c r="Q630" s="2400"/>
      <c r="R630" s="2400"/>
      <c r="S630" s="2400"/>
      <c r="T630" s="2400"/>
      <c r="U630" s="2400"/>
      <c r="V630" s="2400"/>
      <c r="W630" s="2400"/>
      <c r="X630" s="2400"/>
      <c r="Y630" s="2400"/>
      <c r="Z630" s="2400"/>
      <c r="AA630" s="2400"/>
      <c r="AB630" s="2400"/>
      <c r="AC630" s="2400"/>
      <c r="AD630" s="2400"/>
      <c r="AE630" s="2400"/>
      <c r="AF630" s="2400"/>
      <c r="AG630" s="2400"/>
      <c r="AH630" s="640"/>
      <c r="AI630" s="640"/>
      <c r="AJ630" s="640"/>
      <c r="AK630" s="640"/>
      <c r="AL630" s="640"/>
      <c r="AN630" s="595"/>
    </row>
    <row r="631" spans="1:42" s="549" customFormat="1" ht="12.75" customHeight="1">
      <c r="B631" s="536"/>
      <c r="C631" s="929"/>
      <c r="D631" s="640"/>
      <c r="E631" s="2400"/>
      <c r="F631" s="2400"/>
      <c r="G631" s="2400"/>
      <c r="H631" s="2400"/>
      <c r="I631" s="2400"/>
      <c r="J631" s="2400"/>
      <c r="K631" s="2400"/>
      <c r="L631" s="2400"/>
      <c r="M631" s="2400"/>
      <c r="N631" s="2400"/>
      <c r="O631" s="2400"/>
      <c r="P631" s="2400"/>
      <c r="Q631" s="2400"/>
      <c r="R631" s="2400"/>
      <c r="S631" s="2400"/>
      <c r="T631" s="2400"/>
      <c r="U631" s="2400"/>
      <c r="V631" s="2400"/>
      <c r="W631" s="2400"/>
      <c r="X631" s="2400"/>
      <c r="Y631" s="2400"/>
      <c r="Z631" s="2400"/>
      <c r="AA631" s="2400"/>
      <c r="AB631" s="2400"/>
      <c r="AC631" s="2400"/>
      <c r="AD631" s="2400"/>
      <c r="AE631" s="2400"/>
      <c r="AF631" s="2400"/>
      <c r="AG631" s="2400"/>
      <c r="AH631" s="640"/>
      <c r="AI631" s="640"/>
      <c r="AJ631" s="640"/>
      <c r="AK631" s="640"/>
      <c r="AL631" s="640"/>
      <c r="AN631" s="595"/>
    </row>
    <row r="632" spans="1:42" s="549" customFormat="1" ht="12.75" customHeight="1">
      <c r="B632" s="536"/>
      <c r="C632" s="929"/>
      <c r="D632" s="640"/>
      <c r="E632" s="2400"/>
      <c r="F632" s="2400"/>
      <c r="G632" s="2400"/>
      <c r="H632" s="2400"/>
      <c r="I632" s="2400"/>
      <c r="J632" s="2400"/>
      <c r="K632" s="2400"/>
      <c r="L632" s="2400"/>
      <c r="M632" s="2400"/>
      <c r="N632" s="2400"/>
      <c r="O632" s="2400"/>
      <c r="P632" s="2400"/>
      <c r="Q632" s="2400"/>
      <c r="R632" s="2400"/>
      <c r="S632" s="2400"/>
      <c r="T632" s="2400"/>
      <c r="U632" s="2400"/>
      <c r="V632" s="2400"/>
      <c r="W632" s="2400"/>
      <c r="X632" s="2400"/>
      <c r="Y632" s="2400"/>
      <c r="Z632" s="2400"/>
      <c r="AA632" s="2400"/>
      <c r="AB632" s="2400"/>
      <c r="AC632" s="2400"/>
      <c r="AD632" s="2400"/>
      <c r="AE632" s="2400"/>
      <c r="AF632" s="2400"/>
      <c r="AG632" s="2400"/>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2403">
        <f>VLOOKUP($H$619,$AO$599:$AP$604,2,FALSE)+IF(R619=AO607,0,VLOOKUP($I$627,$AO$626:$AP$628,2,FALSE))</f>
        <v>6</v>
      </c>
      <c r="AK634" s="2404"/>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44" t="s">
        <v>1683</v>
      </c>
      <c r="F638" s="2544"/>
      <c r="G638" s="2544"/>
      <c r="H638" s="2544"/>
      <c r="I638" s="2544"/>
      <c r="J638" s="2544"/>
      <c r="K638" s="2544"/>
      <c r="L638" s="2544"/>
      <c r="M638" s="2544"/>
      <c r="N638" s="2544"/>
      <c r="O638" s="2544"/>
      <c r="P638" s="2544"/>
      <c r="Q638" s="2544"/>
      <c r="R638" s="2544"/>
      <c r="S638" s="2544"/>
      <c r="T638" s="2544"/>
      <c r="U638" s="2544"/>
      <c r="V638" s="2544"/>
      <c r="W638" s="2544"/>
      <c r="X638" s="2544"/>
      <c r="Y638" s="2544"/>
      <c r="Z638" s="2544"/>
      <c r="AA638" s="2544"/>
      <c r="AB638" s="2544"/>
      <c r="AC638" s="2544"/>
      <c r="AD638" s="2544"/>
      <c r="AE638" s="539"/>
      <c r="AF638" s="2401" t="s">
        <v>1346</v>
      </c>
      <c r="AG638" s="2401"/>
      <c r="AH638" s="2401"/>
      <c r="AI638" s="2401"/>
      <c r="AJ638" s="2401"/>
      <c r="AK638" s="2401"/>
      <c r="AL638" s="2401"/>
      <c r="AM638" s="549"/>
      <c r="AN638" s="674"/>
    </row>
    <row r="639" spans="1:42" s="549" customFormat="1" ht="12.75" customHeight="1">
      <c r="A639" s="675"/>
      <c r="B639" s="536"/>
      <c r="C639" s="929"/>
      <c r="D639" s="659"/>
      <c r="E639" s="2544"/>
      <c r="F639" s="2544"/>
      <c r="G639" s="2544"/>
      <c r="H639" s="2544"/>
      <c r="I639" s="2544"/>
      <c r="J639" s="2544"/>
      <c r="K639" s="2544"/>
      <c r="L639" s="2544"/>
      <c r="M639" s="2544"/>
      <c r="N639" s="2544"/>
      <c r="O639" s="2544"/>
      <c r="P639" s="2544"/>
      <c r="Q639" s="2544"/>
      <c r="R639" s="2544"/>
      <c r="S639" s="2544"/>
      <c r="T639" s="2544"/>
      <c r="U639" s="2544"/>
      <c r="V639" s="2544"/>
      <c r="W639" s="2544"/>
      <c r="X639" s="2544"/>
      <c r="Y639" s="2544"/>
      <c r="Z639" s="2544"/>
      <c r="AA639" s="2544"/>
      <c r="AB639" s="2544"/>
      <c r="AC639" s="2544"/>
      <c r="AD639" s="2544"/>
      <c r="AE639" s="536"/>
      <c r="AF639" s="536"/>
      <c r="AG639" s="536"/>
      <c r="AH639" s="536"/>
      <c r="AI639" s="536"/>
      <c r="AJ639" s="536"/>
      <c r="AK639" s="536"/>
      <c r="AL639" s="536"/>
      <c r="AN639" s="595"/>
    </row>
    <row r="640" spans="1:42" s="549" customFormat="1" ht="12.75" customHeight="1">
      <c r="B640" s="536"/>
      <c r="C640" s="927"/>
      <c r="D640" s="659"/>
      <c r="E640" s="2544"/>
      <c r="F640" s="2544"/>
      <c r="G640" s="2544"/>
      <c r="H640" s="2544"/>
      <c r="I640" s="2544"/>
      <c r="J640" s="2544"/>
      <c r="K640" s="2544"/>
      <c r="L640" s="2544"/>
      <c r="M640" s="2544"/>
      <c r="N640" s="2544"/>
      <c r="O640" s="2544"/>
      <c r="P640" s="2544"/>
      <c r="Q640" s="2544"/>
      <c r="R640" s="2544"/>
      <c r="S640" s="2544"/>
      <c r="T640" s="2544"/>
      <c r="U640" s="2544"/>
      <c r="V640" s="2544"/>
      <c r="W640" s="2544"/>
      <c r="X640" s="2544"/>
      <c r="Y640" s="2544"/>
      <c r="Z640" s="2544"/>
      <c r="AA640" s="2544"/>
      <c r="AB640" s="2544"/>
      <c r="AC640" s="2544"/>
      <c r="AD640" s="2544"/>
      <c r="AE640" s="536"/>
      <c r="AF640" s="536"/>
      <c r="AG640" s="536"/>
      <c r="AH640" s="536"/>
      <c r="AI640" s="536"/>
      <c r="AJ640" s="536"/>
      <c r="AK640" s="536"/>
      <c r="AL640" s="536"/>
      <c r="AN640" s="595"/>
    </row>
    <row r="641" spans="1:42" s="549" customFormat="1" ht="12.75" customHeight="1">
      <c r="B641" s="536"/>
      <c r="C641" s="927"/>
      <c r="D641" s="659"/>
      <c r="E641" s="2544"/>
      <c r="F641" s="2544"/>
      <c r="G641" s="2544"/>
      <c r="H641" s="2544"/>
      <c r="I641" s="2544"/>
      <c r="J641" s="2544"/>
      <c r="K641" s="2544"/>
      <c r="L641" s="2544"/>
      <c r="M641" s="2544"/>
      <c r="N641" s="2544"/>
      <c r="O641" s="2544"/>
      <c r="P641" s="2544"/>
      <c r="Q641" s="2544"/>
      <c r="R641" s="2544"/>
      <c r="S641" s="2544"/>
      <c r="T641" s="2544"/>
      <c r="U641" s="2544"/>
      <c r="V641" s="2544"/>
      <c r="W641" s="2544"/>
      <c r="X641" s="2544"/>
      <c r="Y641" s="2544"/>
      <c r="Z641" s="2544"/>
      <c r="AA641" s="2544"/>
      <c r="AB641" s="2544"/>
      <c r="AC641" s="2544"/>
      <c r="AD641" s="2544"/>
      <c r="AE641" s="536"/>
      <c r="AF641" s="536"/>
      <c r="AG641" s="536"/>
      <c r="AH641" s="536"/>
      <c r="AI641" s="536"/>
      <c r="AJ641" s="536"/>
      <c r="AK641" s="536"/>
      <c r="AL641" s="536"/>
      <c r="AN641" s="595"/>
    </row>
    <row r="642" spans="1:42" s="549" customFormat="1" ht="12.75" customHeight="1">
      <c r="B642" s="536"/>
      <c r="C642" s="927"/>
      <c r="D642" s="659"/>
      <c r="E642" s="2544"/>
      <c r="F642" s="2544"/>
      <c r="G642" s="2544"/>
      <c r="H642" s="2544"/>
      <c r="I642" s="2544"/>
      <c r="J642" s="2544"/>
      <c r="K642" s="2544"/>
      <c r="L642" s="2544"/>
      <c r="M642" s="2544"/>
      <c r="N642" s="2544"/>
      <c r="O642" s="2544"/>
      <c r="P642" s="2544"/>
      <c r="Q642" s="2544"/>
      <c r="R642" s="2544"/>
      <c r="S642" s="2544"/>
      <c r="T642" s="2544"/>
      <c r="U642" s="2544"/>
      <c r="V642" s="2544"/>
      <c r="W642" s="2544"/>
      <c r="X642" s="2544"/>
      <c r="Y642" s="2544"/>
      <c r="Z642" s="2544"/>
      <c r="AA642" s="2544"/>
      <c r="AB642" s="2544"/>
      <c r="AC642" s="2544"/>
      <c r="AD642" s="2544"/>
      <c r="AE642" s="536"/>
      <c r="AF642" s="536"/>
      <c r="AG642" s="536"/>
      <c r="AH642" s="536"/>
      <c r="AI642" s="536"/>
      <c r="AJ642" s="536"/>
      <c r="AK642" s="536"/>
      <c r="AL642" s="536"/>
      <c r="AN642" s="595"/>
    </row>
    <row r="643" spans="1:42" s="549" customFormat="1" ht="12.75" customHeight="1">
      <c r="B643" s="536"/>
      <c r="C643" s="927"/>
      <c r="D643" s="659"/>
      <c r="E643" s="2544"/>
      <c r="F643" s="2544"/>
      <c r="G643" s="2544"/>
      <c r="H643" s="2544"/>
      <c r="I643" s="2544"/>
      <c r="J643" s="2544"/>
      <c r="K643" s="2544"/>
      <c r="L643" s="2544"/>
      <c r="M643" s="2544"/>
      <c r="N643" s="2544"/>
      <c r="O643" s="2544"/>
      <c r="P643" s="2544"/>
      <c r="Q643" s="2544"/>
      <c r="R643" s="2544"/>
      <c r="S643" s="2544"/>
      <c r="T643" s="2544"/>
      <c r="U643" s="2544"/>
      <c r="V643" s="2544"/>
      <c r="W643" s="2544"/>
      <c r="X643" s="2544"/>
      <c r="Y643" s="2544"/>
      <c r="Z643" s="2544"/>
      <c r="AA643" s="2544"/>
      <c r="AB643" s="2544"/>
      <c r="AC643" s="2544"/>
      <c r="AD643" s="2544"/>
      <c r="AE643" s="536"/>
      <c r="AF643" s="536"/>
      <c r="AG643" s="536"/>
      <c r="AH643" s="536"/>
      <c r="AI643" s="536"/>
      <c r="AJ643" s="536"/>
      <c r="AK643" s="536"/>
      <c r="AL643" s="536"/>
      <c r="AN643" s="595"/>
    </row>
    <row r="644" spans="1:42" s="549" customFormat="1" ht="12.75" customHeight="1">
      <c r="A644" s="635"/>
      <c r="B644" s="614"/>
      <c r="C644" s="936"/>
      <c r="D644" s="659"/>
      <c r="E644" s="2544"/>
      <c r="F644" s="2544"/>
      <c r="G644" s="2544"/>
      <c r="H644" s="2544"/>
      <c r="I644" s="2544"/>
      <c r="J644" s="2544"/>
      <c r="K644" s="2544"/>
      <c r="L644" s="2544"/>
      <c r="M644" s="2544"/>
      <c r="N644" s="2544"/>
      <c r="O644" s="2544"/>
      <c r="P644" s="2544"/>
      <c r="Q644" s="2544"/>
      <c r="R644" s="2544"/>
      <c r="S644" s="2544"/>
      <c r="T644" s="2544"/>
      <c r="U644" s="2544"/>
      <c r="V644" s="2544"/>
      <c r="W644" s="2544"/>
      <c r="X644" s="2544"/>
      <c r="Y644" s="2544"/>
      <c r="Z644" s="2544"/>
      <c r="AA644" s="2544"/>
      <c r="AB644" s="2544"/>
      <c r="AC644" s="2544"/>
      <c r="AD644" s="2544"/>
      <c r="AE644" s="614"/>
      <c r="AF644" s="614"/>
      <c r="AG644" s="614"/>
      <c r="AH644" s="614"/>
      <c r="AI644" s="614"/>
      <c r="AJ644" s="614"/>
      <c r="AK644" s="536"/>
      <c r="AL644" s="536"/>
      <c r="AN644" s="595"/>
    </row>
    <row r="645" spans="1:42" s="549" customFormat="1" ht="12.75" customHeight="1">
      <c r="B645" s="614"/>
      <c r="C645" s="936"/>
      <c r="D645" s="659"/>
      <c r="E645" s="2544"/>
      <c r="F645" s="2544"/>
      <c r="G645" s="2544"/>
      <c r="H645" s="2544"/>
      <c r="I645" s="2544"/>
      <c r="J645" s="2544"/>
      <c r="K645" s="2544"/>
      <c r="L645" s="2544"/>
      <c r="M645" s="2544"/>
      <c r="N645" s="2544"/>
      <c r="O645" s="2544"/>
      <c r="P645" s="2544"/>
      <c r="Q645" s="2544"/>
      <c r="R645" s="2544"/>
      <c r="S645" s="2544"/>
      <c r="T645" s="2544"/>
      <c r="U645" s="2544"/>
      <c r="V645" s="2544"/>
      <c r="W645" s="2544"/>
      <c r="X645" s="2544"/>
      <c r="Y645" s="2544"/>
      <c r="Z645" s="2544"/>
      <c r="AA645" s="2544"/>
      <c r="AB645" s="2544"/>
      <c r="AC645" s="2544"/>
      <c r="AD645" s="2544"/>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2408" t="s">
        <v>591</v>
      </c>
      <c r="Y647" s="2408"/>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01" t="s">
        <v>1400</v>
      </c>
      <c r="AG649" s="2401"/>
      <c r="AH649" s="2401"/>
      <c r="AI649" s="2401"/>
      <c r="AJ649" s="2401"/>
      <c r="AK649" s="2401"/>
      <c r="AL649" s="2401"/>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2402" t="s">
        <v>687</v>
      </c>
      <c r="I651" s="2402"/>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2403">
        <f>VLOOKUP($H$651,$AO$618:$AP$620,2,FALSE)</f>
        <v>3</v>
      </c>
      <c r="AK653" s="2404"/>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400" t="s">
        <v>2054</v>
      </c>
      <c r="F657" s="2400"/>
      <c r="G657" s="2400"/>
      <c r="H657" s="2400"/>
      <c r="I657" s="2400"/>
      <c r="J657" s="2400"/>
      <c r="K657" s="2400"/>
      <c r="L657" s="2400"/>
      <c r="M657" s="2400"/>
      <c r="N657" s="2400"/>
      <c r="O657" s="2400"/>
      <c r="P657" s="2400"/>
      <c r="Q657" s="2400"/>
      <c r="R657" s="2400"/>
      <c r="S657" s="2400"/>
      <c r="T657" s="2400"/>
      <c r="U657" s="2400"/>
      <c r="V657" s="2400"/>
      <c r="W657" s="2400"/>
      <c r="X657" s="2400"/>
      <c r="Y657" s="2400"/>
      <c r="Z657" s="2400"/>
      <c r="AA657" s="2400"/>
      <c r="AB657" s="2400"/>
      <c r="AC657" s="2400"/>
      <c r="AD657" s="2400"/>
      <c r="AE657" s="536"/>
      <c r="AF657" s="2401" t="s">
        <v>1346</v>
      </c>
      <c r="AG657" s="2401"/>
      <c r="AH657" s="2401"/>
      <c r="AI657" s="2401"/>
      <c r="AJ657" s="2401"/>
      <c r="AK657" s="2401"/>
      <c r="AL657" s="2401"/>
      <c r="AN657" s="595"/>
    </row>
    <row r="658" spans="1:42" s="549" customFormat="1" ht="12.75" customHeight="1">
      <c r="B658" s="536"/>
      <c r="C658" s="536"/>
      <c r="D658" s="659"/>
      <c r="E658" s="2400"/>
      <c r="F658" s="2400"/>
      <c r="G658" s="2400"/>
      <c r="H658" s="2400"/>
      <c r="I658" s="2400"/>
      <c r="J658" s="2400"/>
      <c r="K658" s="2400"/>
      <c r="L658" s="2400"/>
      <c r="M658" s="2400"/>
      <c r="N658" s="2400"/>
      <c r="O658" s="2400"/>
      <c r="P658" s="2400"/>
      <c r="Q658" s="2400"/>
      <c r="R658" s="2400"/>
      <c r="S658" s="2400"/>
      <c r="T658" s="2400"/>
      <c r="U658" s="2400"/>
      <c r="V658" s="2400"/>
      <c r="W658" s="2400"/>
      <c r="X658" s="2400"/>
      <c r="Y658" s="2400"/>
      <c r="Z658" s="2400"/>
      <c r="AA658" s="2400"/>
      <c r="AB658" s="2400"/>
      <c r="AC658" s="2400"/>
      <c r="AD658" s="2400"/>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01" t="s">
        <v>1400</v>
      </c>
      <c r="AG660" s="2401"/>
      <c r="AH660" s="2401"/>
      <c r="AI660" s="2401"/>
      <c r="AJ660" s="2401"/>
      <c r="AK660" s="2401"/>
      <c r="AL660" s="2401"/>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2402" t="s">
        <v>687</v>
      </c>
      <c r="I663" s="2402"/>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2403">
        <f>VLOOKUP(H663,AT618:AU620,2,FALSE)</f>
        <v>3</v>
      </c>
      <c r="AK665" s="2404"/>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400" t="s">
        <v>1410</v>
      </c>
      <c r="F670" s="2400"/>
      <c r="G670" s="2400"/>
      <c r="H670" s="2400"/>
      <c r="I670" s="2400"/>
      <c r="J670" s="2400"/>
      <c r="K670" s="2400"/>
      <c r="L670" s="2400"/>
      <c r="M670" s="2400"/>
      <c r="N670" s="2400"/>
      <c r="O670" s="2400"/>
      <c r="P670" s="2400"/>
      <c r="Q670" s="2400"/>
      <c r="R670" s="2400"/>
      <c r="S670" s="2400"/>
      <c r="T670" s="2400"/>
      <c r="U670" s="2400"/>
      <c r="V670" s="2400"/>
      <c r="W670" s="2400"/>
      <c r="X670" s="2400"/>
      <c r="Y670" s="2400"/>
      <c r="Z670" s="2400"/>
      <c r="AA670" s="2400"/>
      <c r="AB670" s="2400"/>
      <c r="AC670" s="2400"/>
      <c r="AD670" s="536"/>
      <c r="AE670" s="536"/>
      <c r="AF670" s="2401" t="s">
        <v>1371</v>
      </c>
      <c r="AG670" s="2401"/>
      <c r="AH670" s="2401"/>
      <c r="AI670" s="2401"/>
      <c r="AJ670" s="2401"/>
      <c r="AK670" s="2401"/>
      <c r="AL670" s="2401"/>
      <c r="AN670" s="595"/>
    </row>
    <row r="671" spans="1:42" s="549" customFormat="1" ht="12.75" customHeight="1">
      <c r="B671" s="536"/>
      <c r="C671" s="539"/>
      <c r="D671" s="536"/>
      <c r="E671" s="2400"/>
      <c r="F671" s="2400"/>
      <c r="G671" s="2400"/>
      <c r="H671" s="2400"/>
      <c r="I671" s="2400"/>
      <c r="J671" s="2400"/>
      <c r="K671" s="2400"/>
      <c r="L671" s="2400"/>
      <c r="M671" s="2400"/>
      <c r="N671" s="2400"/>
      <c r="O671" s="2400"/>
      <c r="P671" s="2400"/>
      <c r="Q671" s="2400"/>
      <c r="R671" s="2400"/>
      <c r="S671" s="2400"/>
      <c r="T671" s="2400"/>
      <c r="U671" s="2400"/>
      <c r="V671" s="2400"/>
      <c r="W671" s="2400"/>
      <c r="X671" s="2400"/>
      <c r="Y671" s="2400"/>
      <c r="Z671" s="2400"/>
      <c r="AA671" s="2400"/>
      <c r="AB671" s="2400"/>
      <c r="AC671" s="2400"/>
      <c r="AD671" s="536"/>
      <c r="AE671" s="536"/>
      <c r="AF671" s="536"/>
      <c r="AG671" s="536"/>
      <c r="AH671" s="536"/>
      <c r="AI671" s="536"/>
      <c r="AJ671" s="536"/>
      <c r="AK671" s="536"/>
      <c r="AL671" s="536"/>
      <c r="AN671" s="595"/>
    </row>
    <row r="672" spans="1:42" s="549" customFormat="1" ht="12.75" customHeight="1">
      <c r="B672" s="536"/>
      <c r="C672" s="539"/>
      <c r="D672" s="659"/>
      <c r="E672" s="2400"/>
      <c r="F672" s="2400"/>
      <c r="G672" s="2400"/>
      <c r="H672" s="2400"/>
      <c r="I672" s="2400"/>
      <c r="J672" s="2400"/>
      <c r="K672" s="2400"/>
      <c r="L672" s="2400"/>
      <c r="M672" s="2400"/>
      <c r="N672" s="2400"/>
      <c r="O672" s="2400"/>
      <c r="P672" s="2400"/>
      <c r="Q672" s="2400"/>
      <c r="R672" s="2400"/>
      <c r="S672" s="2400"/>
      <c r="T672" s="2400"/>
      <c r="U672" s="2400"/>
      <c r="V672" s="2400"/>
      <c r="W672" s="2400"/>
      <c r="X672" s="2400"/>
      <c r="Y672" s="2400"/>
      <c r="Z672" s="2400"/>
      <c r="AA672" s="2400"/>
      <c r="AB672" s="2400"/>
      <c r="AC672" s="2400"/>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400" t="s">
        <v>1411</v>
      </c>
      <c r="F674" s="2400"/>
      <c r="G674" s="2400"/>
      <c r="H674" s="2400"/>
      <c r="I674" s="2400"/>
      <c r="J674" s="2400"/>
      <c r="K674" s="2400"/>
      <c r="L674" s="2400"/>
      <c r="M674" s="2400"/>
      <c r="N674" s="2400"/>
      <c r="O674" s="2400"/>
      <c r="P674" s="2400"/>
      <c r="Q674" s="2400"/>
      <c r="R674" s="2400"/>
      <c r="S674" s="2400"/>
      <c r="T674" s="2400"/>
      <c r="U674" s="2400"/>
      <c r="V674" s="2400"/>
      <c r="W674" s="2400"/>
      <c r="X674" s="2400"/>
      <c r="Y674" s="2400"/>
      <c r="Z674" s="2400"/>
      <c r="AA674" s="2400"/>
      <c r="AB674" s="2400"/>
      <c r="AC674" s="2400"/>
      <c r="AD674" s="536"/>
      <c r="AE674" s="536"/>
      <c r="AF674" s="2401" t="s">
        <v>1391</v>
      </c>
      <c r="AG674" s="2401"/>
      <c r="AH674" s="2401"/>
      <c r="AI674" s="2401"/>
      <c r="AJ674" s="2401"/>
      <c r="AK674" s="2401"/>
      <c r="AL674" s="2401"/>
      <c r="AN674" s="595"/>
    </row>
    <row r="675" spans="1:42" s="549" customFormat="1" ht="12.75" customHeight="1">
      <c r="B675" s="536"/>
      <c r="C675" s="539"/>
      <c r="D675" s="536"/>
      <c r="E675" s="2400"/>
      <c r="F675" s="2400"/>
      <c r="G675" s="2400"/>
      <c r="H675" s="2400"/>
      <c r="I675" s="2400"/>
      <c r="J675" s="2400"/>
      <c r="K675" s="2400"/>
      <c r="L675" s="2400"/>
      <c r="M675" s="2400"/>
      <c r="N675" s="2400"/>
      <c r="O675" s="2400"/>
      <c r="P675" s="2400"/>
      <c r="Q675" s="2400"/>
      <c r="R675" s="2400"/>
      <c r="S675" s="2400"/>
      <c r="T675" s="2400"/>
      <c r="U675" s="2400"/>
      <c r="V675" s="2400"/>
      <c r="W675" s="2400"/>
      <c r="X675" s="2400"/>
      <c r="Y675" s="2400"/>
      <c r="Z675" s="2400"/>
      <c r="AA675" s="2400"/>
      <c r="AB675" s="2400"/>
      <c r="AC675" s="2400"/>
      <c r="AD675" s="536"/>
      <c r="AE675" s="536"/>
      <c r="AF675" s="536"/>
      <c r="AG675" s="536"/>
      <c r="AH675" s="536"/>
      <c r="AI675" s="536"/>
      <c r="AJ675" s="536"/>
      <c r="AK675" s="536"/>
      <c r="AL675" s="536"/>
      <c r="AN675" s="595"/>
    </row>
    <row r="676" spans="1:42" s="549" customFormat="1" ht="15" customHeight="1">
      <c r="B676" s="536"/>
      <c r="C676" s="539"/>
      <c r="D676" s="659"/>
      <c r="E676" s="2400"/>
      <c r="F676" s="2400"/>
      <c r="G676" s="2400"/>
      <c r="H676" s="2400"/>
      <c r="I676" s="2400"/>
      <c r="J676" s="2400"/>
      <c r="K676" s="2400"/>
      <c r="L676" s="2400"/>
      <c r="M676" s="2400"/>
      <c r="N676" s="2400"/>
      <c r="O676" s="2400"/>
      <c r="P676" s="2400"/>
      <c r="Q676" s="2400"/>
      <c r="R676" s="2400"/>
      <c r="S676" s="2400"/>
      <c r="T676" s="2400"/>
      <c r="U676" s="2400"/>
      <c r="V676" s="2400"/>
      <c r="W676" s="2400"/>
      <c r="X676" s="2400"/>
      <c r="Y676" s="2400"/>
      <c r="Z676" s="2400"/>
      <c r="AA676" s="2400"/>
      <c r="AB676" s="2400"/>
      <c r="AC676" s="2400"/>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400" t="s">
        <v>1412</v>
      </c>
      <c r="F678" s="2400"/>
      <c r="G678" s="2400"/>
      <c r="H678" s="2400"/>
      <c r="I678" s="2400"/>
      <c r="J678" s="2400"/>
      <c r="K678" s="2400"/>
      <c r="L678" s="2400"/>
      <c r="M678" s="2400"/>
      <c r="N678" s="2400"/>
      <c r="O678" s="2400"/>
      <c r="P678" s="2400"/>
      <c r="Q678" s="2400"/>
      <c r="R678" s="2400"/>
      <c r="S678" s="2400"/>
      <c r="T678" s="2400"/>
      <c r="U678" s="2400"/>
      <c r="V678" s="2400"/>
      <c r="W678" s="2400"/>
      <c r="X678" s="2400"/>
      <c r="Y678" s="2400"/>
      <c r="Z678" s="2400"/>
      <c r="AA678" s="2400"/>
      <c r="AB678" s="2400"/>
      <c r="AC678" s="2400"/>
      <c r="AD678" s="536"/>
      <c r="AE678" s="536"/>
      <c r="AF678" s="2401" t="s">
        <v>1346</v>
      </c>
      <c r="AG678" s="2401"/>
      <c r="AH678" s="2401"/>
      <c r="AI678" s="2401"/>
      <c r="AJ678" s="2401"/>
      <c r="AK678" s="2401"/>
      <c r="AL678" s="2401"/>
      <c r="AN678" s="595"/>
    </row>
    <row r="679" spans="1:42" s="549" customFormat="1" ht="12.75" customHeight="1">
      <c r="B679" s="536"/>
      <c r="C679" s="927"/>
      <c r="D679" s="536"/>
      <c r="E679" s="2400"/>
      <c r="F679" s="2400"/>
      <c r="G679" s="2400"/>
      <c r="H679" s="2400"/>
      <c r="I679" s="2400"/>
      <c r="J679" s="2400"/>
      <c r="K679" s="2400"/>
      <c r="L679" s="2400"/>
      <c r="M679" s="2400"/>
      <c r="N679" s="2400"/>
      <c r="O679" s="2400"/>
      <c r="P679" s="2400"/>
      <c r="Q679" s="2400"/>
      <c r="R679" s="2400"/>
      <c r="S679" s="2400"/>
      <c r="T679" s="2400"/>
      <c r="U679" s="2400"/>
      <c r="V679" s="2400"/>
      <c r="W679" s="2400"/>
      <c r="X679" s="2400"/>
      <c r="Y679" s="2400"/>
      <c r="Z679" s="2400"/>
      <c r="AA679" s="2400"/>
      <c r="AB679" s="2400"/>
      <c r="AC679" s="2400"/>
      <c r="AD679" s="536"/>
      <c r="AE679" s="2401"/>
      <c r="AF679" s="2401"/>
      <c r="AG679" s="2401"/>
      <c r="AH679" s="2401"/>
      <c r="AI679" s="2401"/>
      <c r="AJ679" s="2401"/>
      <c r="AK679" s="2401"/>
      <c r="AL679" s="592"/>
      <c r="AN679" s="595"/>
      <c r="AO679" s="549" t="s">
        <v>591</v>
      </c>
      <c r="AP679" s="669">
        <v>0</v>
      </c>
    </row>
    <row r="680" spans="1:42" s="549" customFormat="1" ht="12.75" customHeight="1">
      <c r="A680" s="675"/>
      <c r="B680" s="536"/>
      <c r="C680" s="536"/>
      <c r="D680" s="659"/>
      <c r="E680" s="2400"/>
      <c r="F680" s="2400"/>
      <c r="G680" s="2400"/>
      <c r="H680" s="2400"/>
      <c r="I680" s="2400"/>
      <c r="J680" s="2400"/>
      <c r="K680" s="2400"/>
      <c r="L680" s="2400"/>
      <c r="M680" s="2400"/>
      <c r="N680" s="2400"/>
      <c r="O680" s="2400"/>
      <c r="P680" s="2400"/>
      <c r="Q680" s="2400"/>
      <c r="R680" s="2400"/>
      <c r="S680" s="2400"/>
      <c r="T680" s="2400"/>
      <c r="U680" s="2400"/>
      <c r="V680" s="2400"/>
      <c r="W680" s="2400"/>
      <c r="X680" s="2400"/>
      <c r="Y680" s="2400"/>
      <c r="Z680" s="2400"/>
      <c r="AA680" s="2400"/>
      <c r="AB680" s="2400"/>
      <c r="AC680" s="2400"/>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2400" t="s">
        <v>1413</v>
      </c>
      <c r="F682" s="2400"/>
      <c r="G682" s="2400"/>
      <c r="H682" s="2400"/>
      <c r="I682" s="2400"/>
      <c r="J682" s="2400"/>
      <c r="K682" s="2400"/>
      <c r="L682" s="2400"/>
      <c r="M682" s="2400"/>
      <c r="N682" s="2400"/>
      <c r="O682" s="2400"/>
      <c r="P682" s="2400"/>
      <c r="Q682" s="2400"/>
      <c r="R682" s="2400"/>
      <c r="S682" s="2400"/>
      <c r="T682" s="2400"/>
      <c r="U682" s="2400"/>
      <c r="V682" s="2400"/>
      <c r="W682" s="2400"/>
      <c r="X682" s="2400"/>
      <c r="Y682" s="2400"/>
      <c r="Z682" s="2400"/>
      <c r="AA682" s="2400"/>
      <c r="AB682" s="2400"/>
      <c r="AC682" s="2400"/>
      <c r="AD682" s="536"/>
      <c r="AE682" s="536"/>
      <c r="AF682" s="2401" t="s">
        <v>1391</v>
      </c>
      <c r="AG682" s="2401"/>
      <c r="AH682" s="2401"/>
      <c r="AI682" s="2401"/>
      <c r="AJ682" s="2401"/>
      <c r="AK682" s="2401"/>
      <c r="AL682" s="2401"/>
      <c r="AN682" s="595"/>
    </row>
    <row r="683" spans="1:42" s="549" customFormat="1" ht="12.75" customHeight="1">
      <c r="A683" s="666"/>
      <c r="B683" s="536"/>
      <c r="C683" s="943"/>
      <c r="D683" s="659"/>
      <c r="E683" s="2400"/>
      <c r="F683" s="2400"/>
      <c r="G683" s="2400"/>
      <c r="H683" s="2400"/>
      <c r="I683" s="2400"/>
      <c r="J683" s="2400"/>
      <c r="K683" s="2400"/>
      <c r="L683" s="2400"/>
      <c r="M683" s="2400"/>
      <c r="N683" s="2400"/>
      <c r="O683" s="2400"/>
      <c r="P683" s="2400"/>
      <c r="Q683" s="2400"/>
      <c r="R683" s="2400"/>
      <c r="S683" s="2400"/>
      <c r="T683" s="2400"/>
      <c r="U683" s="2400"/>
      <c r="V683" s="2400"/>
      <c r="W683" s="2400"/>
      <c r="X683" s="2400"/>
      <c r="Y683" s="2400"/>
      <c r="Z683" s="2400"/>
      <c r="AA683" s="2400"/>
      <c r="AB683" s="2400"/>
      <c r="AC683" s="2400"/>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00"/>
      <c r="F684" s="2400"/>
      <c r="G684" s="2400"/>
      <c r="H684" s="2400"/>
      <c r="I684" s="2400"/>
      <c r="J684" s="2400"/>
      <c r="K684" s="2400"/>
      <c r="L684" s="2400"/>
      <c r="M684" s="2400"/>
      <c r="N684" s="2400"/>
      <c r="O684" s="2400"/>
      <c r="P684" s="2400"/>
      <c r="Q684" s="2400"/>
      <c r="R684" s="2400"/>
      <c r="S684" s="2400"/>
      <c r="T684" s="2400"/>
      <c r="U684" s="2400"/>
      <c r="V684" s="2400"/>
      <c r="W684" s="2400"/>
      <c r="X684" s="2400"/>
      <c r="Y684" s="2400"/>
      <c r="Z684" s="2400"/>
      <c r="AA684" s="2400"/>
      <c r="AB684" s="2400"/>
      <c r="AC684" s="2400"/>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2400" t="s">
        <v>1414</v>
      </c>
      <c r="F686" s="2400"/>
      <c r="G686" s="2400"/>
      <c r="H686" s="2400"/>
      <c r="I686" s="2400"/>
      <c r="J686" s="2400"/>
      <c r="K686" s="2400"/>
      <c r="L686" s="2400"/>
      <c r="M686" s="2400"/>
      <c r="N686" s="2400"/>
      <c r="O686" s="2400"/>
      <c r="P686" s="2400"/>
      <c r="Q686" s="2400"/>
      <c r="R686" s="2400"/>
      <c r="S686" s="2400"/>
      <c r="T686" s="2400"/>
      <c r="U686" s="2400"/>
      <c r="V686" s="2400"/>
      <c r="W686" s="2400"/>
      <c r="X686" s="2400"/>
      <c r="Y686" s="2400"/>
      <c r="Z686" s="2400"/>
      <c r="AA686" s="2400"/>
      <c r="AB686" s="2400"/>
      <c r="AC686" s="2400"/>
      <c r="AD686" s="536"/>
      <c r="AE686" s="536"/>
      <c r="AF686" s="2401" t="s">
        <v>1346</v>
      </c>
      <c r="AG686" s="2401"/>
      <c r="AH686" s="2401"/>
      <c r="AI686" s="2401"/>
      <c r="AJ686" s="2401"/>
      <c r="AK686" s="2401"/>
      <c r="AL686" s="2401"/>
      <c r="AM686" s="594"/>
      <c r="AN686" s="595"/>
    </row>
    <row r="687" spans="1:42" s="549" customFormat="1" ht="12.75" customHeight="1">
      <c r="B687" s="536"/>
      <c r="C687" s="927"/>
      <c r="D687" s="659"/>
      <c r="E687" s="2400"/>
      <c r="F687" s="2400"/>
      <c r="G687" s="2400"/>
      <c r="H687" s="2400"/>
      <c r="I687" s="2400"/>
      <c r="J687" s="2400"/>
      <c r="K687" s="2400"/>
      <c r="L687" s="2400"/>
      <c r="M687" s="2400"/>
      <c r="N687" s="2400"/>
      <c r="O687" s="2400"/>
      <c r="P687" s="2400"/>
      <c r="Q687" s="2400"/>
      <c r="R687" s="2400"/>
      <c r="S687" s="2400"/>
      <c r="T687" s="2400"/>
      <c r="U687" s="2400"/>
      <c r="V687" s="2400"/>
      <c r="W687" s="2400"/>
      <c r="X687" s="2400"/>
      <c r="Y687" s="2400"/>
      <c r="Z687" s="2400"/>
      <c r="AA687" s="2400"/>
      <c r="AB687" s="2400"/>
      <c r="AC687" s="2400"/>
      <c r="AD687" s="536"/>
      <c r="AE687" s="536"/>
      <c r="AF687" s="536"/>
      <c r="AG687" s="536"/>
      <c r="AH687" s="536"/>
      <c r="AI687" s="536"/>
      <c r="AJ687" s="536"/>
      <c r="AK687" s="536"/>
      <c r="AL687" s="536"/>
      <c r="AM687" s="594"/>
      <c r="AN687" s="595"/>
    </row>
    <row r="688" spans="1:42" s="549" customFormat="1" ht="12.75" customHeight="1">
      <c r="B688" s="536"/>
      <c r="C688" s="927"/>
      <c r="D688" s="659"/>
      <c r="E688" s="2400"/>
      <c r="F688" s="2400"/>
      <c r="G688" s="2400"/>
      <c r="H688" s="2400"/>
      <c r="I688" s="2400"/>
      <c r="J688" s="2400"/>
      <c r="K688" s="2400"/>
      <c r="L688" s="2400"/>
      <c r="M688" s="2400"/>
      <c r="N688" s="2400"/>
      <c r="O688" s="2400"/>
      <c r="P688" s="2400"/>
      <c r="Q688" s="2400"/>
      <c r="R688" s="2400"/>
      <c r="S688" s="2400"/>
      <c r="T688" s="2400"/>
      <c r="U688" s="2400"/>
      <c r="V688" s="2400"/>
      <c r="W688" s="2400"/>
      <c r="X688" s="2400"/>
      <c r="Y688" s="2400"/>
      <c r="Z688" s="2400"/>
      <c r="AA688" s="2400"/>
      <c r="AB688" s="2400"/>
      <c r="AC688" s="2400"/>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2400" t="s">
        <v>1415</v>
      </c>
      <c r="F690" s="2400"/>
      <c r="G690" s="2400"/>
      <c r="H690" s="2400"/>
      <c r="I690" s="2400"/>
      <c r="J690" s="2400"/>
      <c r="K690" s="2400"/>
      <c r="L690" s="2400"/>
      <c r="M690" s="2400"/>
      <c r="N690" s="2400"/>
      <c r="O690" s="2400"/>
      <c r="P690" s="2400"/>
      <c r="Q690" s="2400"/>
      <c r="R690" s="2400"/>
      <c r="S690" s="2400"/>
      <c r="T690" s="2400"/>
      <c r="U690" s="2400"/>
      <c r="V690" s="2400"/>
      <c r="W690" s="2400"/>
      <c r="X690" s="2400"/>
      <c r="Y690" s="2400"/>
      <c r="Z690" s="2400"/>
      <c r="AA690" s="2400"/>
      <c r="AB690" s="2400"/>
      <c r="AC690" s="2400"/>
      <c r="AD690" s="536"/>
      <c r="AE690" s="536"/>
      <c r="AF690" s="2401" t="s">
        <v>1400</v>
      </c>
      <c r="AG690" s="2401"/>
      <c r="AH690" s="2401"/>
      <c r="AI690" s="2401"/>
      <c r="AJ690" s="2401"/>
      <c r="AK690" s="2401"/>
      <c r="AL690" s="2401"/>
      <c r="AM690" s="594"/>
      <c r="AN690" s="595"/>
    </row>
    <row r="691" spans="1:50" s="549" customFormat="1" ht="12.75" customHeight="1">
      <c r="A691" s="675"/>
      <c r="B691" s="536"/>
      <c r="C691" s="927"/>
      <c r="D691" s="659"/>
      <c r="E691" s="2400"/>
      <c r="F691" s="2400"/>
      <c r="G691" s="2400"/>
      <c r="H691" s="2400"/>
      <c r="I691" s="2400"/>
      <c r="J691" s="2400"/>
      <c r="K691" s="2400"/>
      <c r="L691" s="2400"/>
      <c r="M691" s="2400"/>
      <c r="N691" s="2400"/>
      <c r="O691" s="2400"/>
      <c r="P691" s="2400"/>
      <c r="Q691" s="2400"/>
      <c r="R691" s="2400"/>
      <c r="S691" s="2400"/>
      <c r="T691" s="2400"/>
      <c r="U691" s="2400"/>
      <c r="V691" s="2400"/>
      <c r="W691" s="2400"/>
      <c r="X691" s="2400"/>
      <c r="Y691" s="2400"/>
      <c r="Z691" s="2400"/>
      <c r="AA691" s="2400"/>
      <c r="AB691" s="2400"/>
      <c r="AC691" s="2400"/>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00"/>
      <c r="F692" s="2400"/>
      <c r="G692" s="2400"/>
      <c r="H692" s="2400"/>
      <c r="I692" s="2400"/>
      <c r="J692" s="2400"/>
      <c r="K692" s="2400"/>
      <c r="L692" s="2400"/>
      <c r="M692" s="2400"/>
      <c r="N692" s="2400"/>
      <c r="O692" s="2400"/>
      <c r="P692" s="2400"/>
      <c r="Q692" s="2400"/>
      <c r="R692" s="2400"/>
      <c r="S692" s="2400"/>
      <c r="T692" s="2400"/>
      <c r="U692" s="2400"/>
      <c r="V692" s="2400"/>
      <c r="W692" s="2400"/>
      <c r="X692" s="2400"/>
      <c r="Y692" s="2400"/>
      <c r="Z692" s="2400"/>
      <c r="AA692" s="2400"/>
      <c r="AB692" s="2400"/>
      <c r="AC692" s="2400"/>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2400" t="s">
        <v>1416</v>
      </c>
      <c r="F694" s="2400"/>
      <c r="G694" s="2400"/>
      <c r="H694" s="2400"/>
      <c r="I694" s="2400"/>
      <c r="J694" s="2400"/>
      <c r="K694" s="2400"/>
      <c r="L694" s="2400"/>
      <c r="M694" s="2400"/>
      <c r="N694" s="2400"/>
      <c r="O694" s="2400"/>
      <c r="P694" s="2400"/>
      <c r="Q694" s="2400"/>
      <c r="R694" s="2400"/>
      <c r="S694" s="2400"/>
      <c r="T694" s="2400"/>
      <c r="U694" s="2400"/>
      <c r="V694" s="2400"/>
      <c r="W694" s="2400"/>
      <c r="X694" s="2400"/>
      <c r="Y694" s="2400"/>
      <c r="Z694" s="2400"/>
      <c r="AA694" s="2400"/>
      <c r="AB694" s="2400"/>
      <c r="AC694" s="2400"/>
      <c r="AD694" s="536"/>
      <c r="AE694" s="536"/>
      <c r="AF694" s="2401" t="s">
        <v>1417</v>
      </c>
      <c r="AG694" s="2401"/>
      <c r="AH694" s="2401"/>
      <c r="AI694" s="2401"/>
      <c r="AJ694" s="2401"/>
      <c r="AK694" s="2401"/>
      <c r="AL694" s="2401"/>
      <c r="AM694" s="594"/>
      <c r="AN694" s="595"/>
      <c r="AO694" s="609" t="s">
        <v>687</v>
      </c>
      <c r="AP694" s="549">
        <v>3</v>
      </c>
    </row>
    <row r="695" spans="1:50" s="549" customFormat="1" ht="12.75" customHeight="1">
      <c r="A695" s="675"/>
      <c r="B695" s="536"/>
      <c r="C695" s="927"/>
      <c r="D695" s="659"/>
      <c r="E695" s="2400"/>
      <c r="F695" s="2400"/>
      <c r="G695" s="2400"/>
      <c r="H695" s="2400"/>
      <c r="I695" s="2400"/>
      <c r="J695" s="2400"/>
      <c r="K695" s="2400"/>
      <c r="L695" s="2400"/>
      <c r="M695" s="2400"/>
      <c r="N695" s="2400"/>
      <c r="O695" s="2400"/>
      <c r="P695" s="2400"/>
      <c r="Q695" s="2400"/>
      <c r="R695" s="2400"/>
      <c r="S695" s="2400"/>
      <c r="T695" s="2400"/>
      <c r="U695" s="2400"/>
      <c r="V695" s="2400"/>
      <c r="W695" s="2400"/>
      <c r="X695" s="2400"/>
      <c r="Y695" s="2400"/>
      <c r="Z695" s="2400"/>
      <c r="AA695" s="2400"/>
      <c r="AB695" s="2400"/>
      <c r="AC695" s="2400"/>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400"/>
      <c r="F696" s="2400"/>
      <c r="G696" s="2400"/>
      <c r="H696" s="2400"/>
      <c r="I696" s="2400"/>
      <c r="J696" s="2400"/>
      <c r="K696" s="2400"/>
      <c r="L696" s="2400"/>
      <c r="M696" s="2400"/>
      <c r="N696" s="2400"/>
      <c r="O696" s="2400"/>
      <c r="P696" s="2400"/>
      <c r="Q696" s="2400"/>
      <c r="R696" s="2400"/>
      <c r="S696" s="2400"/>
      <c r="T696" s="2400"/>
      <c r="U696" s="2400"/>
      <c r="V696" s="2400"/>
      <c r="W696" s="2400"/>
      <c r="X696" s="2400"/>
      <c r="Y696" s="2400"/>
      <c r="Z696" s="2400"/>
      <c r="AA696" s="2400"/>
      <c r="AB696" s="2400"/>
      <c r="AC696" s="2400"/>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2402" t="s">
        <v>687</v>
      </c>
      <c r="I698" s="2402"/>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2403">
        <f>VLOOKUP($H$698,$AO$646:$AP$653,2,FALSE)</f>
        <v>5</v>
      </c>
      <c r="AK700" s="2404"/>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2092</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2138</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2139</v>
      </c>
      <c r="AX703" s="1146">
        <f>Application!G761</f>
        <v>77</v>
      </c>
    </row>
    <row r="704" spans="1:50" s="549" customFormat="1" ht="12.75" customHeight="1">
      <c r="A704" s="675"/>
      <c r="B704" s="536"/>
      <c r="C704" s="944"/>
      <c r="D704" s="659" t="s">
        <v>687</v>
      </c>
      <c r="E704" s="2406" t="s">
        <v>2145</v>
      </c>
      <c r="F704" s="2406"/>
      <c r="G704" s="2406"/>
      <c r="H704" s="2406"/>
      <c r="I704" s="2406"/>
      <c r="J704" s="2406"/>
      <c r="K704" s="2406"/>
      <c r="L704" s="2406"/>
      <c r="M704" s="2406"/>
      <c r="N704" s="2406"/>
      <c r="O704" s="2406"/>
      <c r="P704" s="2406"/>
      <c r="Q704" s="2406"/>
      <c r="R704" s="2406"/>
      <c r="S704" s="2406"/>
      <c r="T704" s="2406"/>
      <c r="U704" s="2406"/>
      <c r="V704" s="2406"/>
      <c r="W704" s="2406"/>
      <c r="X704" s="2406"/>
      <c r="Y704" s="2406"/>
      <c r="Z704" s="2406"/>
      <c r="AA704" s="2406"/>
      <c r="AB704" s="2406"/>
      <c r="AC704" s="536"/>
      <c r="AD704" s="536"/>
      <c r="AE704" s="536"/>
      <c r="AF704" s="2401" t="s">
        <v>1346</v>
      </c>
      <c r="AG704" s="2401"/>
      <c r="AH704" s="2401"/>
      <c r="AI704" s="2401"/>
      <c r="AJ704" s="2401"/>
      <c r="AK704" s="2401"/>
      <c r="AL704" s="2401"/>
      <c r="AN704" s="595"/>
      <c r="AW704" s="22" t="s">
        <v>2140</v>
      </c>
      <c r="AX704" s="549">
        <f>Application!DE761</f>
        <v>44</v>
      </c>
    </row>
    <row r="705" spans="1:51" s="549" customFormat="1" ht="12.75" customHeight="1">
      <c r="A705" s="675"/>
      <c r="B705" s="536"/>
      <c r="C705" s="944"/>
      <c r="D705" s="659"/>
      <c r="E705" s="2406"/>
      <c r="F705" s="2406"/>
      <c r="G705" s="2406"/>
      <c r="H705" s="2406"/>
      <c r="I705" s="2406"/>
      <c r="J705" s="2406"/>
      <c r="K705" s="2406"/>
      <c r="L705" s="2406"/>
      <c r="M705" s="2406"/>
      <c r="N705" s="2406"/>
      <c r="O705" s="2406"/>
      <c r="P705" s="2406"/>
      <c r="Q705" s="2406"/>
      <c r="R705" s="2406"/>
      <c r="S705" s="2406"/>
      <c r="T705" s="2406"/>
      <c r="U705" s="2406"/>
      <c r="V705" s="2406"/>
      <c r="W705" s="2406"/>
      <c r="X705" s="2406"/>
      <c r="Y705" s="2406"/>
      <c r="Z705" s="2406"/>
      <c r="AA705" s="2406"/>
      <c r="AB705" s="2406"/>
      <c r="AC705" s="536"/>
      <c r="AD705" s="536"/>
      <c r="AE705" s="536"/>
      <c r="AF705" s="536"/>
      <c r="AG705" s="536"/>
      <c r="AH705" s="536"/>
      <c r="AI705" s="536"/>
      <c r="AJ705" s="536"/>
      <c r="AK705" s="536"/>
      <c r="AL705" s="536"/>
      <c r="AN705" s="595"/>
      <c r="AW705" s="22" t="s">
        <v>2141</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2142</v>
      </c>
      <c r="AX706" s="549">
        <f>Application!DO761</f>
        <v>0</v>
      </c>
    </row>
    <row r="707" spans="1:51" s="549" customFormat="1" ht="12.75" customHeight="1">
      <c r="B707" s="536"/>
      <c r="C707" s="927"/>
      <c r="D707" s="659" t="s">
        <v>509</v>
      </c>
      <c r="E707" s="2400" t="s">
        <v>2090</v>
      </c>
      <c r="F707" s="2400"/>
      <c r="G707" s="2400"/>
      <c r="H707" s="2400"/>
      <c r="I707" s="2400"/>
      <c r="J707" s="2400"/>
      <c r="K707" s="2400"/>
      <c r="L707" s="2400"/>
      <c r="M707" s="2400"/>
      <c r="N707" s="2400"/>
      <c r="O707" s="2400"/>
      <c r="P707" s="2400"/>
      <c r="Q707" s="2400"/>
      <c r="R707" s="2400"/>
      <c r="S707" s="2400"/>
      <c r="T707" s="2400"/>
      <c r="U707" s="2400"/>
      <c r="V707" s="2400"/>
      <c r="W707" s="2400"/>
      <c r="X707" s="2400"/>
      <c r="Y707" s="2400"/>
      <c r="Z707" s="2400"/>
      <c r="AA707" s="2400"/>
      <c r="AB707" s="2400"/>
      <c r="AC707" s="536"/>
      <c r="AD707" s="536"/>
      <c r="AE707" s="536"/>
      <c r="AF707" s="2401" t="s">
        <v>1346</v>
      </c>
      <c r="AG707" s="2401"/>
      <c r="AH707" s="2401"/>
      <c r="AI707" s="2401"/>
      <c r="AJ707" s="2401"/>
      <c r="AK707" s="2401"/>
      <c r="AL707" s="2401"/>
      <c r="AN707" s="595"/>
      <c r="AW707" s="22" t="s">
        <v>2143</v>
      </c>
      <c r="AX707" s="549">
        <f>AX704+AX705+AX706</f>
        <v>44</v>
      </c>
    </row>
    <row r="708" spans="1:51" s="549" customFormat="1" ht="12.75" customHeight="1">
      <c r="B708" s="536"/>
      <c r="C708" s="936"/>
      <c r="D708" s="659"/>
      <c r="E708" s="2400"/>
      <c r="F708" s="2400"/>
      <c r="G708" s="2400"/>
      <c r="H708" s="2400"/>
      <c r="I708" s="2400"/>
      <c r="J708" s="2400"/>
      <c r="K708" s="2400"/>
      <c r="L708" s="2400"/>
      <c r="M708" s="2400"/>
      <c r="N708" s="2400"/>
      <c r="O708" s="2400"/>
      <c r="P708" s="2400"/>
      <c r="Q708" s="2400"/>
      <c r="R708" s="2400"/>
      <c r="S708" s="2400"/>
      <c r="T708" s="2400"/>
      <c r="U708" s="2400"/>
      <c r="V708" s="2400"/>
      <c r="W708" s="2400"/>
      <c r="X708" s="2400"/>
      <c r="Y708" s="2400"/>
      <c r="Z708" s="2400"/>
      <c r="AA708" s="2400"/>
      <c r="AB708" s="2400"/>
      <c r="AC708" s="536"/>
      <c r="AD708" s="536"/>
      <c r="AE708" s="614"/>
      <c r="AF708" s="536"/>
      <c r="AG708" s="536"/>
      <c r="AH708" s="536"/>
      <c r="AI708" s="536"/>
      <c r="AJ708" s="536"/>
      <c r="AK708" s="536"/>
      <c r="AL708" s="536"/>
      <c r="AN708" s="595"/>
      <c r="AO708" s="2470" t="b">
        <f>IF(Application!D211="Special Needs",IF(AY708&gt;=0.25,TRUE,FALSE),IF(AX708&gt;=0.25,TRUE,FALSE))</f>
        <v>1</v>
      </c>
      <c r="AP708" s="2470"/>
      <c r="AW708" s="22" t="s">
        <v>2144</v>
      </c>
      <c r="AX708" s="549">
        <f>IFERROR(AX707/AX703,0)</f>
        <v>0.5714285714285714</v>
      </c>
      <c r="AY708" s="549">
        <f>IFERROR(AX707/(AX703-AX702),0)</f>
        <v>0.5714285714285714</v>
      </c>
    </row>
    <row r="709" spans="1:51" s="549" customFormat="1" ht="12.75" customHeight="1">
      <c r="B709" s="536"/>
      <c r="C709" s="936"/>
      <c r="E709" s="2400"/>
      <c r="F709" s="2400"/>
      <c r="G709" s="2400"/>
      <c r="H709" s="2400"/>
      <c r="I709" s="2400"/>
      <c r="J709" s="2400"/>
      <c r="K709" s="2400"/>
      <c r="L709" s="2400"/>
      <c r="M709" s="2400"/>
      <c r="N709" s="2400"/>
      <c r="O709" s="2400"/>
      <c r="P709" s="2400"/>
      <c r="Q709" s="2400"/>
      <c r="R709" s="2400"/>
      <c r="S709" s="2400"/>
      <c r="T709" s="2400"/>
      <c r="U709" s="2400"/>
      <c r="V709" s="2400"/>
      <c r="W709" s="2400"/>
      <c r="X709" s="2400"/>
      <c r="Y709" s="2400"/>
      <c r="Z709" s="2400"/>
      <c r="AA709" s="2400"/>
      <c r="AB709" s="2400"/>
      <c r="AC709" s="536"/>
      <c r="AD709" s="536"/>
      <c r="AE709" s="614"/>
      <c r="AF709" s="614"/>
      <c r="AG709" s="614"/>
      <c r="AH709" s="614"/>
      <c r="AI709" s="614"/>
      <c r="AJ709" s="614"/>
      <c r="AK709" s="614"/>
      <c r="AL709" s="614"/>
      <c r="AN709" s="595"/>
      <c r="AW709" s="14"/>
    </row>
    <row r="710" spans="1:51" s="549" customFormat="1" ht="28.5" customHeight="1">
      <c r="B710" s="536"/>
      <c r="C710" s="936"/>
      <c r="D710" s="536"/>
      <c r="E710" s="2400"/>
      <c r="F710" s="2400"/>
      <c r="G710" s="2400"/>
      <c r="H710" s="2400"/>
      <c r="I710" s="2400"/>
      <c r="J710" s="2400"/>
      <c r="K710" s="2400"/>
      <c r="L710" s="2400"/>
      <c r="M710" s="2400"/>
      <c r="N710" s="2400"/>
      <c r="O710" s="2400"/>
      <c r="P710" s="2400"/>
      <c r="Q710" s="2400"/>
      <c r="R710" s="2400"/>
      <c r="S710" s="2400"/>
      <c r="T710" s="2400"/>
      <c r="U710" s="2400"/>
      <c r="V710" s="2400"/>
      <c r="W710" s="2400"/>
      <c r="X710" s="2400"/>
      <c r="Y710" s="2400"/>
      <c r="Z710" s="2400"/>
      <c r="AA710" s="2400"/>
      <c r="AB710" s="2400"/>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400" t="s">
        <v>2091</v>
      </c>
      <c r="F712" s="2400"/>
      <c r="G712" s="2400"/>
      <c r="H712" s="2400"/>
      <c r="I712" s="2400"/>
      <c r="J712" s="2400"/>
      <c r="K712" s="2400"/>
      <c r="L712" s="2400"/>
      <c r="M712" s="2400"/>
      <c r="N712" s="2400"/>
      <c r="O712" s="2400"/>
      <c r="P712" s="2400"/>
      <c r="Q712" s="2400"/>
      <c r="R712" s="2400"/>
      <c r="S712" s="2400"/>
      <c r="T712" s="2400"/>
      <c r="U712" s="2400"/>
      <c r="V712" s="2400"/>
      <c r="W712" s="2400"/>
      <c r="X712" s="2400"/>
      <c r="Y712" s="2400"/>
      <c r="Z712" s="2400"/>
      <c r="AA712" s="2400"/>
      <c r="AB712" s="2400"/>
      <c r="AC712" s="536"/>
      <c r="AD712" s="536"/>
      <c r="AE712" s="536"/>
      <c r="AF712" s="2401" t="s">
        <v>1400</v>
      </c>
      <c r="AG712" s="2401"/>
      <c r="AH712" s="2401"/>
      <c r="AI712" s="2401"/>
      <c r="AJ712" s="2401"/>
      <c r="AK712" s="2401"/>
      <c r="AL712" s="2401"/>
      <c r="AN712" s="595"/>
      <c r="AO712" s="609" t="s">
        <v>509</v>
      </c>
      <c r="AP712" s="549">
        <v>1</v>
      </c>
    </row>
    <row r="713" spans="1:51" s="549" customFormat="1" ht="12" customHeight="1">
      <c r="B713" s="536"/>
      <c r="C713" s="927"/>
      <c r="E713" s="2400"/>
      <c r="F713" s="2400"/>
      <c r="G713" s="2400"/>
      <c r="H713" s="2400"/>
      <c r="I713" s="2400"/>
      <c r="J713" s="2400"/>
      <c r="K713" s="2400"/>
      <c r="L713" s="2400"/>
      <c r="M713" s="2400"/>
      <c r="N713" s="2400"/>
      <c r="O713" s="2400"/>
      <c r="P713" s="2400"/>
      <c r="Q713" s="2400"/>
      <c r="R713" s="2400"/>
      <c r="S713" s="2400"/>
      <c r="T713" s="2400"/>
      <c r="U713" s="2400"/>
      <c r="V713" s="2400"/>
      <c r="W713" s="2400"/>
      <c r="X713" s="2400"/>
      <c r="Y713" s="2400"/>
      <c r="Z713" s="2400"/>
      <c r="AA713" s="2400"/>
      <c r="AB713" s="2400"/>
      <c r="AC713" s="536"/>
      <c r="AD713" s="536"/>
      <c r="AE713" s="614"/>
      <c r="AF713" s="536"/>
      <c r="AG713" s="536"/>
      <c r="AH713" s="536"/>
      <c r="AI713" s="536"/>
      <c r="AJ713" s="536"/>
      <c r="AK713" s="536"/>
      <c r="AL713" s="536"/>
      <c r="AN713" s="595"/>
    </row>
    <row r="714" spans="1:51" s="549" customFormat="1" ht="12" customHeight="1">
      <c r="B714" s="536"/>
      <c r="C714" s="927"/>
      <c r="D714" s="536"/>
      <c r="E714" s="2400"/>
      <c r="F714" s="2400"/>
      <c r="G714" s="2400"/>
      <c r="H714" s="2400"/>
      <c r="I714" s="2400"/>
      <c r="J714" s="2400"/>
      <c r="K714" s="2400"/>
      <c r="L714" s="2400"/>
      <c r="M714" s="2400"/>
      <c r="N714" s="2400"/>
      <c r="O714" s="2400"/>
      <c r="P714" s="2400"/>
      <c r="Q714" s="2400"/>
      <c r="R714" s="2400"/>
      <c r="S714" s="2400"/>
      <c r="T714" s="2400"/>
      <c r="U714" s="2400"/>
      <c r="V714" s="2400"/>
      <c r="W714" s="2400"/>
      <c r="X714" s="2400"/>
      <c r="Y714" s="2400"/>
      <c r="Z714" s="2400"/>
      <c r="AA714" s="2400"/>
      <c r="AB714" s="2400"/>
      <c r="AC714" s="536"/>
      <c r="AD714" s="536"/>
      <c r="AE714" s="614"/>
      <c r="AF714" s="536"/>
      <c r="AG714" s="536"/>
      <c r="AH714" s="536"/>
      <c r="AI714" s="536"/>
      <c r="AJ714" s="536"/>
      <c r="AK714" s="536"/>
      <c r="AL714" s="536"/>
      <c r="AN714" s="595"/>
    </row>
    <row r="715" spans="1:51" s="549" customFormat="1" ht="12" customHeight="1">
      <c r="B715" s="536"/>
      <c r="C715" s="927"/>
      <c r="D715" s="536"/>
      <c r="E715" s="2400"/>
      <c r="F715" s="2400"/>
      <c r="G715" s="2400"/>
      <c r="H715" s="2400"/>
      <c r="I715" s="2400"/>
      <c r="J715" s="2400"/>
      <c r="K715" s="2400"/>
      <c r="L715" s="2400"/>
      <c r="M715" s="2400"/>
      <c r="N715" s="2400"/>
      <c r="O715" s="2400"/>
      <c r="P715" s="2400"/>
      <c r="Q715" s="2400"/>
      <c r="R715" s="2400"/>
      <c r="S715" s="2400"/>
      <c r="T715" s="2400"/>
      <c r="U715" s="2400"/>
      <c r="V715" s="2400"/>
      <c r="W715" s="2400"/>
      <c r="X715" s="2400"/>
      <c r="Y715" s="2400"/>
      <c r="Z715" s="2400"/>
      <c r="AA715" s="2400"/>
      <c r="AB715" s="2400"/>
      <c r="AC715" s="536"/>
      <c r="AD715" s="536"/>
      <c r="AE715" s="614"/>
      <c r="AF715" s="536"/>
      <c r="AG715" s="536"/>
      <c r="AH715" s="536"/>
      <c r="AI715" s="536"/>
      <c r="AJ715" s="536"/>
      <c r="AK715" s="536"/>
      <c r="AL715" s="536"/>
      <c r="AN715" s="595"/>
    </row>
    <row r="716" spans="1:51" s="568" customFormat="1" ht="12.95" customHeight="1">
      <c r="A716" s="549"/>
      <c r="B716" s="536"/>
      <c r="C716" s="927"/>
      <c r="D716" s="536"/>
      <c r="E716" s="2400"/>
      <c r="F716" s="2400"/>
      <c r="G716" s="2400"/>
      <c r="H716" s="2400"/>
      <c r="I716" s="2400"/>
      <c r="J716" s="2400"/>
      <c r="K716" s="2400"/>
      <c r="L716" s="2400"/>
      <c r="M716" s="2400"/>
      <c r="N716" s="2400"/>
      <c r="O716" s="2400"/>
      <c r="P716" s="2400"/>
      <c r="Q716" s="2400"/>
      <c r="R716" s="2400"/>
      <c r="S716" s="2400"/>
      <c r="T716" s="2400"/>
      <c r="U716" s="2400"/>
      <c r="V716" s="2400"/>
      <c r="W716" s="2400"/>
      <c r="X716" s="2400"/>
      <c r="Y716" s="2400"/>
      <c r="Z716" s="2400"/>
      <c r="AA716" s="2400"/>
      <c r="AB716" s="2400"/>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400" t="s">
        <v>1682</v>
      </c>
      <c r="F718" s="2400"/>
      <c r="G718" s="2400"/>
      <c r="H718" s="2400"/>
      <c r="I718" s="2400"/>
      <c r="J718" s="2400"/>
      <c r="K718" s="2400"/>
      <c r="L718" s="2400"/>
      <c r="M718" s="2400"/>
      <c r="N718" s="2400"/>
      <c r="O718" s="2400"/>
      <c r="P718" s="2400"/>
      <c r="Q718" s="2400"/>
      <c r="R718" s="2400"/>
      <c r="S718" s="2400"/>
      <c r="T718" s="2400"/>
      <c r="U718" s="2400"/>
      <c r="V718" s="2400"/>
      <c r="W718" s="2400"/>
      <c r="X718" s="2400"/>
      <c r="Y718" s="2400"/>
      <c r="Z718" s="2400"/>
      <c r="AA718" s="2400"/>
      <c r="AB718" s="2400"/>
      <c r="AC718" s="536"/>
      <c r="AD718" s="536"/>
      <c r="AE718" s="614"/>
      <c r="AF718" s="614"/>
      <c r="AG718" s="614"/>
      <c r="AH718" s="614"/>
      <c r="AI718" s="614"/>
      <c r="AJ718" s="536"/>
      <c r="AK718" s="536"/>
      <c r="AL718" s="536"/>
      <c r="AM718" s="549"/>
      <c r="AN718" s="680"/>
      <c r="AO718" s="609" t="s">
        <v>509</v>
      </c>
      <c r="AP718" s="549">
        <f>3*$AO$708</f>
        <v>3</v>
      </c>
    </row>
    <row r="719" spans="1:51" s="568" customFormat="1" ht="12.75" customHeight="1">
      <c r="A719" s="549"/>
      <c r="B719" s="536"/>
      <c r="C719" s="927"/>
      <c r="D719" s="536"/>
      <c r="E719" s="2400"/>
      <c r="F719" s="2400"/>
      <c r="G719" s="2400"/>
      <c r="H719" s="2400"/>
      <c r="I719" s="2400"/>
      <c r="J719" s="2400"/>
      <c r="K719" s="2400"/>
      <c r="L719" s="2400"/>
      <c r="M719" s="2400"/>
      <c r="N719" s="2400"/>
      <c r="O719" s="2400"/>
      <c r="P719" s="2400"/>
      <c r="Q719" s="2400"/>
      <c r="R719" s="2400"/>
      <c r="S719" s="2400"/>
      <c r="T719" s="2400"/>
      <c r="U719" s="2400"/>
      <c r="V719" s="2400"/>
      <c r="W719" s="2400"/>
      <c r="X719" s="2400"/>
      <c r="Y719" s="2400"/>
      <c r="Z719" s="2400"/>
      <c r="AA719" s="2400"/>
      <c r="AB719" s="2400"/>
      <c r="AC719" s="536"/>
      <c r="AD719" s="536"/>
      <c r="AE719" s="614"/>
      <c r="AF719" s="614"/>
      <c r="AG719" s="614"/>
      <c r="AH719" s="614"/>
      <c r="AI719" s="614"/>
      <c r="AJ719" s="536"/>
      <c r="AK719" s="536"/>
      <c r="AL719" s="536"/>
      <c r="AM719" s="549"/>
      <c r="AN719" s="680"/>
      <c r="AO719" s="609" t="s">
        <v>278</v>
      </c>
      <c r="AP719" s="549">
        <f>2*$AO$708</f>
        <v>2</v>
      </c>
    </row>
    <row r="720" spans="1:51" s="568" customFormat="1" ht="12.75" customHeight="1">
      <c r="A720" s="549"/>
      <c r="B720" s="536"/>
      <c r="C720" s="927"/>
      <c r="D720" s="536"/>
      <c r="E720" s="2400"/>
      <c r="F720" s="2400"/>
      <c r="G720" s="2400"/>
      <c r="H720" s="2400"/>
      <c r="I720" s="2400"/>
      <c r="J720" s="2400"/>
      <c r="K720" s="2400"/>
      <c r="L720" s="2400"/>
      <c r="M720" s="2400"/>
      <c r="N720" s="2400"/>
      <c r="O720" s="2400"/>
      <c r="P720" s="2400"/>
      <c r="Q720" s="2400"/>
      <c r="R720" s="2400"/>
      <c r="S720" s="2400"/>
      <c r="T720" s="2400"/>
      <c r="U720" s="2400"/>
      <c r="V720" s="2400"/>
      <c r="W720" s="2400"/>
      <c r="X720" s="2400"/>
      <c r="Y720" s="2400"/>
      <c r="Z720" s="2400"/>
      <c r="AA720" s="2400"/>
      <c r="AB720" s="2400"/>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2402" t="s">
        <v>509</v>
      </c>
      <c r="I722" s="2402"/>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2093</v>
      </c>
      <c r="AJ724" s="2403">
        <f>VLOOKUP($H$722,$AO$716:$AP$719,2,FALSE)</f>
        <v>3</v>
      </c>
      <c r="AK724" s="2404"/>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2542" t="s">
        <v>1684</v>
      </c>
      <c r="F728" s="2542"/>
      <c r="G728" s="2542"/>
      <c r="H728" s="2542"/>
      <c r="I728" s="2542"/>
      <c r="J728" s="2542"/>
      <c r="K728" s="2542"/>
      <c r="L728" s="2542"/>
      <c r="M728" s="2542"/>
      <c r="N728" s="2542"/>
      <c r="O728" s="2542"/>
      <c r="P728" s="2542"/>
      <c r="Q728" s="2542"/>
      <c r="R728" s="2542"/>
      <c r="S728" s="2542"/>
      <c r="T728" s="2542"/>
      <c r="U728" s="2542"/>
      <c r="V728" s="2542"/>
      <c r="W728" s="2542"/>
      <c r="X728" s="2542"/>
      <c r="Y728" s="2542"/>
      <c r="Z728" s="2542"/>
      <c r="AA728" s="2542"/>
      <c r="AB728" s="2542"/>
      <c r="AC728" s="536"/>
      <c r="AD728" s="536"/>
      <c r="AE728" s="536"/>
      <c r="AF728" s="2401" t="s">
        <v>1346</v>
      </c>
      <c r="AG728" s="2401"/>
      <c r="AH728" s="2401"/>
      <c r="AI728" s="2401"/>
      <c r="AJ728" s="2401"/>
      <c r="AK728" s="2401"/>
      <c r="AL728" s="2401"/>
      <c r="AM728" s="549"/>
      <c r="AN728" s="680"/>
      <c r="AP728" s="568" t="s">
        <v>1424</v>
      </c>
    </row>
    <row r="729" spans="1:43" s="568" customFormat="1" ht="11.85" customHeight="1">
      <c r="A729" s="549"/>
      <c r="B729" s="536"/>
      <c r="C729" s="929"/>
      <c r="D729" s="659"/>
      <c r="E729" s="2542"/>
      <c r="F729" s="2542"/>
      <c r="G729" s="2542"/>
      <c r="H729" s="2542"/>
      <c r="I729" s="2542"/>
      <c r="J729" s="2542"/>
      <c r="K729" s="2542"/>
      <c r="L729" s="2542"/>
      <c r="M729" s="2542"/>
      <c r="N729" s="2542"/>
      <c r="O729" s="2542"/>
      <c r="P729" s="2542"/>
      <c r="Q729" s="2542"/>
      <c r="R729" s="2542"/>
      <c r="S729" s="2542"/>
      <c r="T729" s="2542"/>
      <c r="U729" s="2542"/>
      <c r="V729" s="2542"/>
      <c r="W729" s="2542"/>
      <c r="X729" s="2542"/>
      <c r="Y729" s="2542"/>
      <c r="Z729" s="2542"/>
      <c r="AA729" s="2542"/>
      <c r="AB729" s="2542"/>
      <c r="AC729" s="536"/>
      <c r="AD729" s="536"/>
      <c r="AE729" s="536"/>
      <c r="AF729" s="536"/>
      <c r="AG729" s="536"/>
      <c r="AH729" s="536"/>
      <c r="AI729" s="536"/>
      <c r="AJ729" s="536"/>
      <c r="AK729" s="536"/>
      <c r="AL729" s="536"/>
      <c r="AM729" s="549"/>
      <c r="AN729" s="680"/>
      <c r="AP729" s="568" t="s">
        <v>1425</v>
      </c>
    </row>
    <row r="730" spans="1:43" s="568" customFormat="1" ht="13.9" customHeight="1">
      <c r="A730" s="549"/>
      <c r="B730" s="608"/>
      <c r="C730" s="927"/>
      <c r="D730" s="659"/>
      <c r="E730" s="2542"/>
      <c r="F730" s="2542"/>
      <c r="G730" s="2542"/>
      <c r="H730" s="2542"/>
      <c r="I730" s="2542"/>
      <c r="J730" s="2542"/>
      <c r="K730" s="2542"/>
      <c r="L730" s="2542"/>
      <c r="M730" s="2542"/>
      <c r="N730" s="2542"/>
      <c r="O730" s="2542"/>
      <c r="P730" s="2542"/>
      <c r="Q730" s="2542"/>
      <c r="R730" s="2542"/>
      <c r="S730" s="2542"/>
      <c r="T730" s="2542"/>
      <c r="U730" s="2542"/>
      <c r="V730" s="2542"/>
      <c r="W730" s="2542"/>
      <c r="X730" s="2542"/>
      <c r="Y730" s="2542"/>
      <c r="Z730" s="2542"/>
      <c r="AA730" s="2542"/>
      <c r="AB730" s="2542"/>
      <c r="AC730" s="536"/>
      <c r="AD730" s="536"/>
      <c r="AE730" s="614"/>
      <c r="AF730" s="536"/>
      <c r="AG730" s="536"/>
      <c r="AH730" s="536"/>
      <c r="AI730" s="536"/>
      <c r="AJ730" s="536"/>
      <c r="AK730" s="536"/>
      <c r="AL730" s="536"/>
      <c r="AM730" s="549"/>
      <c r="AN730" s="680"/>
      <c r="AP730" s="568" t="s">
        <v>1426</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3.9" customHeight="1">
      <c r="A732" s="549"/>
      <c r="B732" s="536"/>
      <c r="C732" s="927"/>
      <c r="D732" s="659" t="s">
        <v>509</v>
      </c>
      <c r="E732" s="2543" t="s">
        <v>1427</v>
      </c>
      <c r="F732" s="2543"/>
      <c r="G732" s="2543"/>
      <c r="H732" s="2543"/>
      <c r="I732" s="2543"/>
      <c r="J732" s="2543"/>
      <c r="K732" s="2543"/>
      <c r="L732" s="2543"/>
      <c r="M732" s="2543"/>
      <c r="N732" s="2543"/>
      <c r="O732" s="2543"/>
      <c r="P732" s="2543"/>
      <c r="Q732" s="2543"/>
      <c r="R732" s="2543"/>
      <c r="S732" s="2543"/>
      <c r="T732" s="2543"/>
      <c r="U732" s="2543"/>
      <c r="V732" s="2543"/>
      <c r="W732" s="2543"/>
      <c r="X732" s="2543"/>
      <c r="Y732" s="2543"/>
      <c r="Z732" s="2543"/>
      <c r="AA732" s="2543"/>
      <c r="AB732" s="2543"/>
      <c r="AC732" s="536"/>
      <c r="AD732" s="536"/>
      <c r="AE732" s="536"/>
      <c r="AF732" s="2401" t="s">
        <v>1400</v>
      </c>
      <c r="AG732" s="2401"/>
      <c r="AH732" s="2401"/>
      <c r="AI732" s="2401"/>
      <c r="AJ732" s="2401"/>
      <c r="AK732" s="2401"/>
      <c r="AL732" s="2401"/>
      <c r="AM732" s="549"/>
      <c r="AN732" s="681"/>
    </row>
    <row r="733" spans="1:43" s="568" customFormat="1" ht="12.75" customHeight="1">
      <c r="A733" s="549"/>
      <c r="B733" s="536"/>
      <c r="C733" s="929"/>
      <c r="D733" s="536"/>
      <c r="E733" s="2543"/>
      <c r="F733" s="2543"/>
      <c r="G733" s="2543"/>
      <c r="H733" s="2543"/>
      <c r="I733" s="2543"/>
      <c r="J733" s="2543"/>
      <c r="K733" s="2543"/>
      <c r="L733" s="2543"/>
      <c r="M733" s="2543"/>
      <c r="N733" s="2543"/>
      <c r="O733" s="2543"/>
      <c r="P733" s="2543"/>
      <c r="Q733" s="2543"/>
      <c r="R733" s="2543"/>
      <c r="S733" s="2543"/>
      <c r="T733" s="2543"/>
      <c r="U733" s="2543"/>
      <c r="V733" s="2543"/>
      <c r="W733" s="2543"/>
      <c r="X733" s="2543"/>
      <c r="Y733" s="2543"/>
      <c r="Z733" s="2543"/>
      <c r="AA733" s="2543"/>
      <c r="AB733" s="2543"/>
      <c r="AC733" s="536"/>
      <c r="AD733" s="536"/>
      <c r="AE733" s="536"/>
      <c r="AF733" s="536"/>
      <c r="AG733" s="536"/>
      <c r="AH733" s="536"/>
      <c r="AI733" s="536"/>
      <c r="AJ733" s="536"/>
      <c r="AK733" s="536"/>
      <c r="AL733" s="536"/>
      <c r="AM733" s="549"/>
      <c r="AN733" s="680"/>
      <c r="AP733" s="549" t="s">
        <v>591</v>
      </c>
      <c r="AQ733" s="669">
        <v>0</v>
      </c>
    </row>
    <row r="734" spans="1:43" s="568" customFormat="1" ht="13.9" customHeight="1">
      <c r="A734" s="549"/>
      <c r="B734" s="536"/>
      <c r="C734" s="929"/>
      <c r="D734" s="536"/>
      <c r="E734" s="2543"/>
      <c r="F734" s="2543"/>
      <c r="G734" s="2543"/>
      <c r="H734" s="2543"/>
      <c r="I734" s="2543"/>
      <c r="J734" s="2543"/>
      <c r="K734" s="2543"/>
      <c r="L734" s="2543"/>
      <c r="M734" s="2543"/>
      <c r="N734" s="2543"/>
      <c r="O734" s="2543"/>
      <c r="P734" s="2543"/>
      <c r="Q734" s="2543"/>
      <c r="R734" s="2543"/>
      <c r="S734" s="2543"/>
      <c r="T734" s="2543"/>
      <c r="U734" s="2543"/>
      <c r="V734" s="2543"/>
      <c r="W734" s="2543"/>
      <c r="X734" s="2543"/>
      <c r="Y734" s="2543"/>
      <c r="Z734" s="2543"/>
      <c r="AA734" s="2543"/>
      <c r="AB734" s="2543"/>
      <c r="AC734" s="536"/>
      <c r="AD734" s="536"/>
      <c r="AE734" s="536"/>
      <c r="AF734" s="536"/>
      <c r="AG734" s="536"/>
      <c r="AH734" s="536"/>
      <c r="AI734" s="536"/>
      <c r="AJ734" s="536"/>
      <c r="AK734" s="536"/>
      <c r="AL734" s="536"/>
      <c r="AM734" s="549"/>
      <c r="AN734" s="680"/>
      <c r="AP734" s="609" t="s">
        <v>687</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3.9" customHeight="1">
      <c r="A736" s="549"/>
      <c r="B736" s="536"/>
      <c r="C736" s="929"/>
      <c r="D736" s="536" t="s">
        <v>1392</v>
      </c>
      <c r="E736" s="932"/>
      <c r="F736" s="932"/>
      <c r="G736" s="932"/>
      <c r="H736" s="2402" t="s">
        <v>591</v>
      </c>
      <c r="I736" s="2402"/>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2403">
        <f>VLOOKUP($H$736,$AP$733:$AQ$735,2,FALSE)</f>
        <v>0</v>
      </c>
      <c r="AK738" s="2404"/>
      <c r="AL738" s="593"/>
      <c r="AM738" s="549"/>
      <c r="AN738" s="680"/>
      <c r="AP738" s="2403"/>
      <c r="AQ738" s="2404"/>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400" t="s">
        <v>1685</v>
      </c>
      <c r="F742" s="2400"/>
      <c r="G742" s="2400"/>
      <c r="H742" s="2400"/>
      <c r="I742" s="2400"/>
      <c r="J742" s="2400"/>
      <c r="K742" s="2400"/>
      <c r="L742" s="2400"/>
      <c r="M742" s="2400"/>
      <c r="N742" s="2400"/>
      <c r="O742" s="2400"/>
      <c r="P742" s="2400"/>
      <c r="Q742" s="2400"/>
      <c r="R742" s="2400"/>
      <c r="S742" s="2400"/>
      <c r="T742" s="2400"/>
      <c r="U742" s="2400"/>
      <c r="V742" s="2400"/>
      <c r="W742" s="2400"/>
      <c r="X742" s="2400"/>
      <c r="Y742" s="2400"/>
      <c r="Z742" s="2400"/>
      <c r="AA742" s="2400"/>
      <c r="AB742" s="2400"/>
      <c r="AC742" s="536"/>
      <c r="AD742" s="536"/>
      <c r="AE742" s="536"/>
      <c r="AF742" s="2401" t="s">
        <v>1346</v>
      </c>
      <c r="AG742" s="2401"/>
      <c r="AH742" s="2401"/>
      <c r="AI742" s="2401"/>
      <c r="AJ742" s="2401"/>
      <c r="AK742" s="2401"/>
      <c r="AL742" s="2401"/>
      <c r="AM742" s="549"/>
      <c r="AN742" s="680"/>
      <c r="AT742" s="14"/>
      <c r="AU742" s="14"/>
      <c r="AV742" s="14"/>
      <c r="AW742" s="14"/>
      <c r="AX742" s="14"/>
      <c r="AY742" s="14"/>
      <c r="AZ742" s="14"/>
    </row>
    <row r="743" spans="1:81" s="568" customFormat="1">
      <c r="A743" s="549"/>
      <c r="B743" s="536"/>
      <c r="C743" s="929"/>
      <c r="D743" s="659"/>
      <c r="E743" s="2400"/>
      <c r="F743" s="2400"/>
      <c r="G743" s="2400"/>
      <c r="H743" s="2400"/>
      <c r="I743" s="2400"/>
      <c r="J743" s="2400"/>
      <c r="K743" s="2400"/>
      <c r="L743" s="2400"/>
      <c r="M743" s="2400"/>
      <c r="N743" s="2400"/>
      <c r="O743" s="2400"/>
      <c r="P743" s="2400"/>
      <c r="Q743" s="2400"/>
      <c r="R743" s="2400"/>
      <c r="S743" s="2400"/>
      <c r="T743" s="2400"/>
      <c r="U743" s="2400"/>
      <c r="V743" s="2400"/>
      <c r="W743" s="2400"/>
      <c r="X743" s="2400"/>
      <c r="Y743" s="2400"/>
      <c r="Z743" s="2400"/>
      <c r="AA743" s="2400"/>
      <c r="AB743" s="2400"/>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400" t="s">
        <v>1431</v>
      </c>
      <c r="F745" s="2400"/>
      <c r="G745" s="2400"/>
      <c r="H745" s="2400"/>
      <c r="I745" s="2400"/>
      <c r="J745" s="2400"/>
      <c r="K745" s="2400"/>
      <c r="L745" s="2400"/>
      <c r="M745" s="2400"/>
      <c r="N745" s="2400"/>
      <c r="O745" s="2400"/>
      <c r="P745" s="2400"/>
      <c r="Q745" s="2400"/>
      <c r="R745" s="2400"/>
      <c r="S745" s="2400"/>
      <c r="T745" s="2400"/>
      <c r="U745" s="2400"/>
      <c r="V745" s="2400"/>
      <c r="W745" s="2400"/>
      <c r="X745" s="2400"/>
      <c r="Y745" s="2400"/>
      <c r="Z745" s="2400"/>
      <c r="AA745" s="2400"/>
      <c r="AB745" s="2400"/>
      <c r="AC745" s="536"/>
      <c r="AD745" s="536"/>
      <c r="AE745" s="536"/>
      <c r="AF745" s="2401" t="s">
        <v>1400</v>
      </c>
      <c r="AG745" s="2401"/>
      <c r="AH745" s="2401"/>
      <c r="AI745" s="2401"/>
      <c r="AJ745" s="2401"/>
      <c r="AK745" s="2401"/>
      <c r="AL745" s="2401"/>
      <c r="AM745" s="549"/>
      <c r="AN745" s="680"/>
      <c r="AT745" s="14"/>
      <c r="AU745" s="14"/>
      <c r="AV745" s="14"/>
      <c r="AW745" s="14"/>
      <c r="AX745" s="14"/>
      <c r="AY745" s="14"/>
      <c r="AZ745" s="14"/>
    </row>
    <row r="746" spans="1:81" s="568" customFormat="1">
      <c r="A746" s="549"/>
      <c r="B746" s="536"/>
      <c r="C746" s="929"/>
      <c r="D746" s="536"/>
      <c r="E746" s="2400"/>
      <c r="F746" s="2400"/>
      <c r="G746" s="2400"/>
      <c r="H746" s="2400"/>
      <c r="I746" s="2400"/>
      <c r="J746" s="2400"/>
      <c r="K746" s="2400"/>
      <c r="L746" s="2400"/>
      <c r="M746" s="2400"/>
      <c r="N746" s="2400"/>
      <c r="O746" s="2400"/>
      <c r="P746" s="2400"/>
      <c r="Q746" s="2400"/>
      <c r="R746" s="2400"/>
      <c r="S746" s="2400"/>
      <c r="T746" s="2400"/>
      <c r="U746" s="2400"/>
      <c r="V746" s="2400"/>
      <c r="W746" s="2400"/>
      <c r="X746" s="2400"/>
      <c r="Y746" s="2400"/>
      <c r="Z746" s="2400"/>
      <c r="AA746" s="2400"/>
      <c r="AB746" s="2400"/>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2402" t="s">
        <v>591</v>
      </c>
      <c r="I748" s="2402"/>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2403">
        <f>VLOOKUP($H$748,$AO$679:$AP$681,2,FALSE)</f>
        <v>0</v>
      </c>
      <c r="AK750" s="2404"/>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400" t="s">
        <v>1434</v>
      </c>
      <c r="F754" s="2400"/>
      <c r="G754" s="2400"/>
      <c r="H754" s="2400"/>
      <c r="I754" s="2400"/>
      <c r="J754" s="2400"/>
      <c r="K754" s="2400"/>
      <c r="L754" s="2400"/>
      <c r="M754" s="2400"/>
      <c r="N754" s="2400"/>
      <c r="O754" s="2400"/>
      <c r="P754" s="2400"/>
      <c r="Q754" s="2400"/>
      <c r="R754" s="2400"/>
      <c r="S754" s="2400"/>
      <c r="T754" s="2400"/>
      <c r="U754" s="2400"/>
      <c r="V754" s="2400"/>
      <c r="W754" s="2400"/>
      <c r="X754" s="2400"/>
      <c r="Y754" s="2400"/>
      <c r="Z754" s="2400"/>
      <c r="AA754" s="2400"/>
      <c r="AB754" s="2400"/>
      <c r="AC754" s="536"/>
      <c r="AD754" s="536"/>
      <c r="AE754" s="536"/>
      <c r="AF754" s="2401" t="s">
        <v>1346</v>
      </c>
      <c r="AG754" s="2401"/>
      <c r="AH754" s="2401"/>
      <c r="AI754" s="2401"/>
      <c r="AJ754" s="2401"/>
      <c r="AK754" s="2401"/>
      <c r="AL754" s="2401"/>
      <c r="AM754" s="549"/>
      <c r="AN754" s="680"/>
      <c r="AT754" s="14"/>
      <c r="AU754" s="14"/>
      <c r="AV754" s="14"/>
      <c r="AW754" s="14"/>
      <c r="AX754" s="14"/>
      <c r="AY754" s="14"/>
      <c r="AZ754" s="14"/>
    </row>
    <row r="755" spans="1:81" s="568" customFormat="1">
      <c r="A755" s="549"/>
      <c r="B755" s="536"/>
      <c r="C755" s="927"/>
      <c r="D755" s="659"/>
      <c r="E755" s="2400"/>
      <c r="F755" s="2400"/>
      <c r="G755" s="2400"/>
      <c r="H755" s="2400"/>
      <c r="I755" s="2400"/>
      <c r="J755" s="2400"/>
      <c r="K755" s="2400"/>
      <c r="L755" s="2400"/>
      <c r="M755" s="2400"/>
      <c r="N755" s="2400"/>
      <c r="O755" s="2400"/>
      <c r="P755" s="2400"/>
      <c r="Q755" s="2400"/>
      <c r="R755" s="2400"/>
      <c r="S755" s="2400"/>
      <c r="T755" s="2400"/>
      <c r="U755" s="2400"/>
      <c r="V755" s="2400"/>
      <c r="W755" s="2400"/>
      <c r="X755" s="2400"/>
      <c r="Y755" s="2400"/>
      <c r="Z755" s="2400"/>
      <c r="AA755" s="2400"/>
      <c r="AB755" s="2400"/>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400"/>
      <c r="F756" s="2400"/>
      <c r="G756" s="2400"/>
      <c r="H756" s="2400"/>
      <c r="I756" s="2400"/>
      <c r="J756" s="2400"/>
      <c r="K756" s="2400"/>
      <c r="L756" s="2400"/>
      <c r="M756" s="2400"/>
      <c r="N756" s="2400"/>
      <c r="O756" s="2400"/>
      <c r="P756" s="2400"/>
      <c r="Q756" s="2400"/>
      <c r="R756" s="2400"/>
      <c r="S756" s="2400"/>
      <c r="T756" s="2400"/>
      <c r="U756" s="2400"/>
      <c r="V756" s="2400"/>
      <c r="W756" s="2400"/>
      <c r="X756" s="2400"/>
      <c r="Y756" s="2400"/>
      <c r="Z756" s="2400"/>
      <c r="AA756" s="2400"/>
      <c r="AB756" s="2400"/>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00"/>
      <c r="F757" s="2400"/>
      <c r="G757" s="2400"/>
      <c r="H757" s="2400"/>
      <c r="I757" s="2400"/>
      <c r="J757" s="2400"/>
      <c r="K757" s="2400"/>
      <c r="L757" s="2400"/>
      <c r="M757" s="2400"/>
      <c r="N757" s="2400"/>
      <c r="O757" s="2400"/>
      <c r="P757" s="2400"/>
      <c r="Q757" s="2400"/>
      <c r="R757" s="2400"/>
      <c r="S757" s="2400"/>
      <c r="T757" s="2400"/>
      <c r="U757" s="2400"/>
      <c r="V757" s="2400"/>
      <c r="W757" s="2400"/>
      <c r="X757" s="2400"/>
      <c r="Y757" s="2400"/>
      <c r="Z757" s="2400"/>
      <c r="AA757" s="2400"/>
      <c r="AB757" s="2400"/>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400" t="s">
        <v>1435</v>
      </c>
      <c r="F759" s="2400"/>
      <c r="G759" s="2400"/>
      <c r="H759" s="2400"/>
      <c r="I759" s="2400"/>
      <c r="J759" s="2400"/>
      <c r="K759" s="2400"/>
      <c r="L759" s="2400"/>
      <c r="M759" s="2400"/>
      <c r="N759" s="2400"/>
      <c r="O759" s="2400"/>
      <c r="P759" s="2400"/>
      <c r="Q759" s="2400"/>
      <c r="R759" s="2400"/>
      <c r="S759" s="2400"/>
      <c r="T759" s="2400"/>
      <c r="U759" s="2400"/>
      <c r="V759" s="2400"/>
      <c r="W759" s="2400"/>
      <c r="X759" s="2400"/>
      <c r="Y759" s="2400"/>
      <c r="Z759" s="2400"/>
      <c r="AA759" s="2400"/>
      <c r="AB759" s="573"/>
      <c r="AC759" s="536"/>
      <c r="AD759" s="536"/>
      <c r="AE759" s="536"/>
      <c r="AF759" s="2401" t="s">
        <v>1400</v>
      </c>
      <c r="AG759" s="2401"/>
      <c r="AH759" s="2401"/>
      <c r="AI759" s="2401"/>
      <c r="AJ759" s="2401"/>
      <c r="AK759" s="2401"/>
      <c r="AL759" s="2401"/>
      <c r="AM759" s="549"/>
      <c r="AN759" s="680"/>
      <c r="AO759" s="30"/>
      <c r="AP759" s="14"/>
    </row>
    <row r="760" spans="1:81" s="568" customFormat="1">
      <c r="A760" s="549"/>
      <c r="B760" s="536"/>
      <c r="C760" s="927"/>
      <c r="D760" s="659"/>
      <c r="E760" s="2400"/>
      <c r="F760" s="2400"/>
      <c r="G760" s="2400"/>
      <c r="H760" s="2400"/>
      <c r="I760" s="2400"/>
      <c r="J760" s="2400"/>
      <c r="K760" s="2400"/>
      <c r="L760" s="2400"/>
      <c r="M760" s="2400"/>
      <c r="N760" s="2400"/>
      <c r="O760" s="2400"/>
      <c r="P760" s="2400"/>
      <c r="Q760" s="2400"/>
      <c r="R760" s="2400"/>
      <c r="S760" s="2400"/>
      <c r="T760" s="2400"/>
      <c r="U760" s="2400"/>
      <c r="V760" s="2400"/>
      <c r="W760" s="2400"/>
      <c r="X760" s="2400"/>
      <c r="Y760" s="2400"/>
      <c r="Z760" s="2400"/>
      <c r="AA760" s="2400"/>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400"/>
      <c r="F761" s="2400"/>
      <c r="G761" s="2400"/>
      <c r="H761" s="2400"/>
      <c r="I761" s="2400"/>
      <c r="J761" s="2400"/>
      <c r="K761" s="2400"/>
      <c r="L761" s="2400"/>
      <c r="M761" s="2400"/>
      <c r="N761" s="2400"/>
      <c r="O761" s="2400"/>
      <c r="P761" s="2400"/>
      <c r="Q761" s="2400"/>
      <c r="R761" s="2400"/>
      <c r="S761" s="2400"/>
      <c r="T761" s="2400"/>
      <c r="U761" s="2400"/>
      <c r="V761" s="2400"/>
      <c r="W761" s="2400"/>
      <c r="X761" s="2400"/>
      <c r="Y761" s="2400"/>
      <c r="Z761" s="2400"/>
      <c r="AA761" s="2400"/>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400"/>
      <c r="F762" s="2400"/>
      <c r="G762" s="2400"/>
      <c r="H762" s="2400"/>
      <c r="I762" s="2400"/>
      <c r="J762" s="2400"/>
      <c r="K762" s="2400"/>
      <c r="L762" s="2400"/>
      <c r="M762" s="2400"/>
      <c r="N762" s="2400"/>
      <c r="O762" s="2400"/>
      <c r="P762" s="2400"/>
      <c r="Q762" s="2400"/>
      <c r="R762" s="2400"/>
      <c r="S762" s="2400"/>
      <c r="T762" s="2400"/>
      <c r="U762" s="2400"/>
      <c r="V762" s="2400"/>
      <c r="W762" s="2400"/>
      <c r="X762" s="2400"/>
      <c r="Y762" s="2400"/>
      <c r="Z762" s="2400"/>
      <c r="AA762" s="2400"/>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2402" t="s">
        <v>687</v>
      </c>
      <c r="I764" s="2402"/>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2403">
        <f>VLOOKUP($H$764,$AO$693:$AP$695,2,FALSE)</f>
        <v>3</v>
      </c>
      <c r="AK766" s="2404"/>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400" t="s">
        <v>1437</v>
      </c>
      <c r="F770" s="2400"/>
      <c r="G770" s="2400"/>
      <c r="H770" s="2400"/>
      <c r="I770" s="2400"/>
      <c r="J770" s="2400"/>
      <c r="K770" s="2400"/>
      <c r="L770" s="2400"/>
      <c r="M770" s="2400"/>
      <c r="N770" s="2400"/>
      <c r="O770" s="2400"/>
      <c r="P770" s="2400"/>
      <c r="Q770" s="2400"/>
      <c r="R770" s="2400"/>
      <c r="S770" s="2400"/>
      <c r="T770" s="2400"/>
      <c r="U770" s="2400"/>
      <c r="V770" s="2400"/>
      <c r="W770" s="2400"/>
      <c r="X770" s="2400"/>
      <c r="Y770" s="2400"/>
      <c r="Z770" s="2400"/>
      <c r="AA770" s="2400"/>
      <c r="AB770" s="2400"/>
      <c r="AC770" s="536"/>
      <c r="AD770" s="536"/>
      <c r="AE770" s="536"/>
      <c r="AF770" s="2401" t="s">
        <v>1400</v>
      </c>
      <c r="AG770" s="2401"/>
      <c r="AH770" s="2401"/>
      <c r="AI770" s="2401"/>
      <c r="AJ770" s="2401"/>
      <c r="AK770" s="2401"/>
      <c r="AL770" s="2401"/>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400"/>
      <c r="F771" s="2400"/>
      <c r="G771" s="2400"/>
      <c r="H771" s="2400"/>
      <c r="I771" s="2400"/>
      <c r="J771" s="2400"/>
      <c r="K771" s="2400"/>
      <c r="L771" s="2400"/>
      <c r="M771" s="2400"/>
      <c r="N771" s="2400"/>
      <c r="O771" s="2400"/>
      <c r="P771" s="2400"/>
      <c r="Q771" s="2400"/>
      <c r="R771" s="2400"/>
      <c r="S771" s="2400"/>
      <c r="T771" s="2400"/>
      <c r="U771" s="2400"/>
      <c r="V771" s="2400"/>
      <c r="W771" s="2400"/>
      <c r="X771" s="2400"/>
      <c r="Y771" s="2400"/>
      <c r="Z771" s="2400"/>
      <c r="AA771" s="2400"/>
      <c r="AB771" s="2400"/>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400" t="s">
        <v>1438</v>
      </c>
      <c r="F773" s="2400"/>
      <c r="G773" s="2400"/>
      <c r="H773" s="2400"/>
      <c r="I773" s="2400"/>
      <c r="J773" s="2400"/>
      <c r="K773" s="2400"/>
      <c r="L773" s="2400"/>
      <c r="M773" s="2400"/>
      <c r="N773" s="2400"/>
      <c r="O773" s="2400"/>
      <c r="P773" s="2400"/>
      <c r="Q773" s="2400"/>
      <c r="R773" s="2400"/>
      <c r="S773" s="2400"/>
      <c r="T773" s="2400"/>
      <c r="U773" s="2400"/>
      <c r="V773" s="2400"/>
      <c r="W773" s="2400"/>
      <c r="X773" s="2400"/>
      <c r="Y773" s="2400"/>
      <c r="Z773" s="2400"/>
      <c r="AA773" s="2400"/>
      <c r="AB773" s="2400"/>
      <c r="AC773" s="536"/>
      <c r="AD773" s="536"/>
      <c r="AE773" s="536"/>
      <c r="AF773" s="2401" t="s">
        <v>1417</v>
      </c>
      <c r="AG773" s="2401"/>
      <c r="AH773" s="2401"/>
      <c r="AI773" s="2401"/>
      <c r="AJ773" s="2401"/>
      <c r="AK773" s="2401"/>
      <c r="AL773" s="2401"/>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00"/>
      <c r="F774" s="2400"/>
      <c r="G774" s="2400"/>
      <c r="H774" s="2400"/>
      <c r="I774" s="2400"/>
      <c r="J774" s="2400"/>
      <c r="K774" s="2400"/>
      <c r="L774" s="2400"/>
      <c r="M774" s="2400"/>
      <c r="N774" s="2400"/>
      <c r="O774" s="2400"/>
      <c r="P774" s="2400"/>
      <c r="Q774" s="2400"/>
      <c r="R774" s="2400"/>
      <c r="S774" s="2400"/>
      <c r="T774" s="2400"/>
      <c r="U774" s="2400"/>
      <c r="V774" s="2400"/>
      <c r="W774" s="2400"/>
      <c r="X774" s="2400"/>
      <c r="Y774" s="2400"/>
      <c r="Z774" s="2400"/>
      <c r="AA774" s="2400"/>
      <c r="AB774" s="2400"/>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2402" t="s">
        <v>687</v>
      </c>
      <c r="I776" s="2402"/>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2403">
        <f>VLOOKUP($H$776,$AO$710:$AP$712,2,FALSE)</f>
        <v>2</v>
      </c>
      <c r="AK778" s="2404"/>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687</v>
      </c>
      <c r="E782" s="2400" t="s">
        <v>1681</v>
      </c>
      <c r="F782" s="2400"/>
      <c r="G782" s="2400"/>
      <c r="H782" s="2400"/>
      <c r="I782" s="2400"/>
      <c r="J782" s="2400"/>
      <c r="K782" s="2400"/>
      <c r="L782" s="2400"/>
      <c r="M782" s="2400"/>
      <c r="N782" s="2400"/>
      <c r="O782" s="2400"/>
      <c r="P782" s="2400"/>
      <c r="Q782" s="2400"/>
      <c r="R782" s="2400"/>
      <c r="S782" s="2400"/>
      <c r="T782" s="2400"/>
      <c r="U782" s="2400"/>
      <c r="V782" s="2400"/>
      <c r="W782" s="2400"/>
      <c r="X782" s="2400"/>
      <c r="Y782" s="2400"/>
      <c r="Z782" s="2400"/>
      <c r="AA782" s="2400"/>
      <c r="AB782" s="2400"/>
      <c r="AC782" s="2400"/>
      <c r="AD782" s="2400"/>
      <c r="AE782" s="536"/>
      <c r="AF782" s="2401" t="s">
        <v>1400</v>
      </c>
      <c r="AG782" s="2401"/>
      <c r="AH782" s="2401"/>
      <c r="AI782" s="2401"/>
      <c r="AJ782" s="2401"/>
      <c r="AK782" s="2401"/>
      <c r="AL782" s="2401"/>
      <c r="AM782" s="611"/>
      <c r="AN782" s="680"/>
      <c r="AO782" s="549" t="s">
        <v>591</v>
      </c>
      <c r="AP782" s="669">
        <v>0</v>
      </c>
    </row>
    <row r="783" spans="1:74" s="568" customFormat="1" ht="13.7" customHeight="1">
      <c r="A783" s="549"/>
      <c r="B783" s="614"/>
      <c r="C783" s="936"/>
      <c r="D783" s="659"/>
      <c r="E783" s="2400"/>
      <c r="F783" s="2400"/>
      <c r="G783" s="2400"/>
      <c r="H783" s="2400"/>
      <c r="I783" s="2400"/>
      <c r="J783" s="2400"/>
      <c r="K783" s="2400"/>
      <c r="L783" s="2400"/>
      <c r="M783" s="2400"/>
      <c r="N783" s="2400"/>
      <c r="O783" s="2400"/>
      <c r="P783" s="2400"/>
      <c r="Q783" s="2400"/>
      <c r="R783" s="2400"/>
      <c r="S783" s="2400"/>
      <c r="T783" s="2400"/>
      <c r="U783" s="2400"/>
      <c r="V783" s="2400"/>
      <c r="W783" s="2400"/>
      <c r="X783" s="2400"/>
      <c r="Y783" s="2400"/>
      <c r="Z783" s="2400"/>
      <c r="AA783" s="2400"/>
      <c r="AB783" s="2400"/>
      <c r="AC783" s="2400"/>
      <c r="AD783" s="2400"/>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400"/>
      <c r="F784" s="2400"/>
      <c r="G784" s="2400"/>
      <c r="H784" s="2400"/>
      <c r="I784" s="2400"/>
      <c r="J784" s="2400"/>
      <c r="K784" s="2400"/>
      <c r="L784" s="2400"/>
      <c r="M784" s="2400"/>
      <c r="N784" s="2400"/>
      <c r="O784" s="2400"/>
      <c r="P784" s="2400"/>
      <c r="Q784" s="2400"/>
      <c r="R784" s="2400"/>
      <c r="S784" s="2400"/>
      <c r="T784" s="2400"/>
      <c r="U784" s="2400"/>
      <c r="V784" s="2400"/>
      <c r="W784" s="2400"/>
      <c r="X784" s="2400"/>
      <c r="Y784" s="2400"/>
      <c r="Z784" s="2400"/>
      <c r="AA784" s="2400"/>
      <c r="AB784" s="2400"/>
      <c r="AC784" s="2400"/>
      <c r="AD784" s="2400"/>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400"/>
      <c r="F785" s="2400"/>
      <c r="G785" s="2400"/>
      <c r="H785" s="2400"/>
      <c r="I785" s="2400"/>
      <c r="J785" s="2400"/>
      <c r="K785" s="2400"/>
      <c r="L785" s="2400"/>
      <c r="M785" s="2400"/>
      <c r="N785" s="2400"/>
      <c r="O785" s="2400"/>
      <c r="P785" s="2400"/>
      <c r="Q785" s="2400"/>
      <c r="R785" s="2400"/>
      <c r="S785" s="2400"/>
      <c r="T785" s="2400"/>
      <c r="U785" s="2400"/>
      <c r="V785" s="2400"/>
      <c r="W785" s="2400"/>
      <c r="X785" s="2400"/>
      <c r="Y785" s="2400"/>
      <c r="Z785" s="2400"/>
      <c r="AA785" s="2400"/>
      <c r="AB785" s="2400"/>
      <c r="AC785" s="2400"/>
      <c r="AD785" s="2400"/>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41" t="s">
        <v>1686</v>
      </c>
      <c r="F787" s="2541"/>
      <c r="G787" s="2541"/>
      <c r="H787" s="2541"/>
      <c r="I787" s="2541"/>
      <c r="J787" s="2541"/>
      <c r="K787" s="2541"/>
      <c r="L787" s="2541"/>
      <c r="M787" s="2541"/>
      <c r="N787" s="2541"/>
      <c r="O787" s="2541"/>
      <c r="P787" s="2541"/>
      <c r="Q787" s="2541"/>
      <c r="R787" s="2541"/>
      <c r="S787" s="2541"/>
      <c r="T787" s="2541"/>
      <c r="U787" s="2541"/>
      <c r="V787" s="2541"/>
      <c r="W787" s="2541"/>
      <c r="X787" s="2541"/>
      <c r="Y787" s="2541"/>
      <c r="Z787" s="2541"/>
      <c r="AA787" s="2541"/>
      <c r="AB787" s="2541"/>
      <c r="AC787" s="2541"/>
      <c r="AD787" s="2541"/>
      <c r="AE787" s="536"/>
      <c r="AF787" s="2401" t="s">
        <v>1346</v>
      </c>
      <c r="AG787" s="2401"/>
      <c r="AH787" s="2401"/>
      <c r="AI787" s="2401"/>
      <c r="AJ787" s="2401"/>
      <c r="AK787" s="2401"/>
      <c r="AL787" s="2401"/>
      <c r="AM787" s="611"/>
      <c r="AN787" s="595"/>
    </row>
    <row r="788" spans="1:81" s="549" customFormat="1" ht="12.75" customHeight="1">
      <c r="B788" s="614"/>
      <c r="C788" s="936"/>
      <c r="D788" s="659"/>
      <c r="E788" s="2541"/>
      <c r="F788" s="2541"/>
      <c r="G788" s="2541"/>
      <c r="H788" s="2541"/>
      <c r="I788" s="2541"/>
      <c r="J788" s="2541"/>
      <c r="K788" s="2541"/>
      <c r="L788" s="2541"/>
      <c r="M788" s="2541"/>
      <c r="N788" s="2541"/>
      <c r="O788" s="2541"/>
      <c r="P788" s="2541"/>
      <c r="Q788" s="2541"/>
      <c r="R788" s="2541"/>
      <c r="S788" s="2541"/>
      <c r="T788" s="2541"/>
      <c r="U788" s="2541"/>
      <c r="V788" s="2541"/>
      <c r="W788" s="2541"/>
      <c r="X788" s="2541"/>
      <c r="Y788" s="2541"/>
      <c r="Z788" s="2541"/>
      <c r="AA788" s="2541"/>
      <c r="AB788" s="2541"/>
      <c r="AC788" s="2541"/>
      <c r="AD788" s="2541"/>
      <c r="AE788" s="592"/>
      <c r="AF788" s="592"/>
      <c r="AG788" s="592"/>
      <c r="AH788" s="592"/>
      <c r="AI788" s="592"/>
      <c r="AJ788" s="592"/>
      <c r="AK788" s="592"/>
      <c r="AL788" s="592"/>
      <c r="AM788" s="611"/>
      <c r="AN788" s="595"/>
    </row>
    <row r="789" spans="1:81" s="549" customFormat="1" ht="12.75" customHeight="1">
      <c r="B789" s="614"/>
      <c r="C789" s="936"/>
      <c r="D789" s="659"/>
      <c r="E789" s="2541"/>
      <c r="F789" s="2541"/>
      <c r="G789" s="2541"/>
      <c r="H789" s="2541"/>
      <c r="I789" s="2541"/>
      <c r="J789" s="2541"/>
      <c r="K789" s="2541"/>
      <c r="L789" s="2541"/>
      <c r="M789" s="2541"/>
      <c r="N789" s="2541"/>
      <c r="O789" s="2541"/>
      <c r="P789" s="2541"/>
      <c r="Q789" s="2541"/>
      <c r="R789" s="2541"/>
      <c r="S789" s="2541"/>
      <c r="T789" s="2541"/>
      <c r="U789" s="2541"/>
      <c r="V789" s="2541"/>
      <c r="W789" s="2541"/>
      <c r="X789" s="2541"/>
      <c r="Y789" s="2541"/>
      <c r="Z789" s="2541"/>
      <c r="AA789" s="2541"/>
      <c r="AB789" s="2541"/>
      <c r="AC789" s="2541"/>
      <c r="AD789" s="2541"/>
      <c r="AE789" s="592"/>
      <c r="AF789" s="592"/>
      <c r="AG789" s="592"/>
      <c r="AH789" s="592"/>
      <c r="AI789" s="592"/>
      <c r="AJ789" s="592"/>
      <c r="AK789" s="592"/>
      <c r="AL789" s="592"/>
      <c r="AM789" s="611"/>
      <c r="AN789" s="595"/>
    </row>
    <row r="790" spans="1:81" s="549" customFormat="1" ht="12.75" customHeight="1">
      <c r="B790" s="614"/>
      <c r="C790" s="936"/>
      <c r="D790" s="659"/>
      <c r="E790" s="2541"/>
      <c r="F790" s="2541"/>
      <c r="G790" s="2541"/>
      <c r="H790" s="2541"/>
      <c r="I790" s="2541"/>
      <c r="J790" s="2541"/>
      <c r="K790" s="2541"/>
      <c r="L790" s="2541"/>
      <c r="M790" s="2541"/>
      <c r="N790" s="2541"/>
      <c r="O790" s="2541"/>
      <c r="P790" s="2541"/>
      <c r="Q790" s="2541"/>
      <c r="R790" s="2541"/>
      <c r="S790" s="2541"/>
      <c r="T790" s="2541"/>
      <c r="U790" s="2541"/>
      <c r="V790" s="2541"/>
      <c r="W790" s="2541"/>
      <c r="X790" s="2541"/>
      <c r="Y790" s="2541"/>
      <c r="Z790" s="2541"/>
      <c r="AA790" s="2541"/>
      <c r="AB790" s="2541"/>
      <c r="AC790" s="2541"/>
      <c r="AD790" s="2541"/>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2402" t="s">
        <v>591</v>
      </c>
      <c r="I792" s="2402"/>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2403">
        <f>VLOOKUP($H$792,$AO$782:$AP$784,2,FALSE)</f>
        <v>0</v>
      </c>
      <c r="AK794" s="2404"/>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687</v>
      </c>
      <c r="E798" s="2400" t="s">
        <v>2640</v>
      </c>
      <c r="F798" s="2400"/>
      <c r="G798" s="2400"/>
      <c r="H798" s="2400"/>
      <c r="I798" s="2400"/>
      <c r="J798" s="2400"/>
      <c r="K798" s="2400"/>
      <c r="L798" s="2400"/>
      <c r="M798" s="2400"/>
      <c r="N798" s="2400"/>
      <c r="O798" s="2400"/>
      <c r="P798" s="2400"/>
      <c r="Q798" s="2400"/>
      <c r="R798" s="2400"/>
      <c r="S798" s="2400"/>
      <c r="T798" s="2400"/>
      <c r="U798" s="2400"/>
      <c r="V798" s="2400"/>
      <c r="W798" s="2400"/>
      <c r="X798" s="2400"/>
      <c r="Y798" s="2400"/>
      <c r="Z798" s="2400"/>
      <c r="AA798" s="2400"/>
      <c r="AB798" s="2400"/>
      <c r="AC798" s="2400"/>
      <c r="AD798" s="2400"/>
      <c r="AE798" s="536"/>
      <c r="AF798" s="2401" t="s">
        <v>1346</v>
      </c>
      <c r="AG798" s="2401"/>
      <c r="AH798" s="2401"/>
      <c r="AI798" s="2401"/>
      <c r="AJ798" s="2401"/>
      <c r="AK798" s="2401"/>
      <c r="AL798" s="2401"/>
      <c r="AM798" s="611"/>
      <c r="AN798" s="680"/>
      <c r="AO798" s="609" t="s">
        <v>545</v>
      </c>
      <c r="AP798" s="549">
        <v>3</v>
      </c>
      <c r="AT798" s="670"/>
      <c r="AU798" s="670"/>
      <c r="AV798" s="670"/>
      <c r="AW798" s="670"/>
      <c r="AX798" s="670"/>
      <c r="AY798" s="670"/>
      <c r="AZ798" s="670"/>
    </row>
    <row r="799" spans="1:81" s="568" customFormat="1" ht="13.7" customHeight="1">
      <c r="A799" s="549"/>
      <c r="B799" s="614"/>
      <c r="C799" s="936"/>
      <c r="D799" s="659"/>
      <c r="E799" s="2400"/>
      <c r="F799" s="2400"/>
      <c r="G799" s="2400"/>
      <c r="H799" s="2400"/>
      <c r="I799" s="2400"/>
      <c r="J799" s="2400"/>
      <c r="K799" s="2400"/>
      <c r="L799" s="2400"/>
      <c r="M799" s="2400"/>
      <c r="N799" s="2400"/>
      <c r="O799" s="2400"/>
      <c r="P799" s="2400"/>
      <c r="Q799" s="2400"/>
      <c r="R799" s="2400"/>
      <c r="S799" s="2400"/>
      <c r="T799" s="2400"/>
      <c r="U799" s="2400"/>
      <c r="V799" s="2400"/>
      <c r="W799" s="2400"/>
      <c r="X799" s="2400"/>
      <c r="Y799" s="2400"/>
      <c r="Z799" s="2400"/>
      <c r="AA799" s="2400"/>
      <c r="AB799" s="2400"/>
      <c r="AC799" s="2400"/>
      <c r="AD799" s="2400"/>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400"/>
      <c r="F800" s="2400"/>
      <c r="G800" s="2400"/>
      <c r="H800" s="2400"/>
      <c r="I800" s="2400"/>
      <c r="J800" s="2400"/>
      <c r="K800" s="2400"/>
      <c r="L800" s="2400"/>
      <c r="M800" s="2400"/>
      <c r="N800" s="2400"/>
      <c r="O800" s="2400"/>
      <c r="P800" s="2400"/>
      <c r="Q800" s="2400"/>
      <c r="R800" s="2400"/>
      <c r="S800" s="2400"/>
      <c r="T800" s="2400"/>
      <c r="U800" s="2400"/>
      <c r="V800" s="2400"/>
      <c r="W800" s="2400"/>
      <c r="X800" s="2400"/>
      <c r="Y800" s="2400"/>
      <c r="Z800" s="2400"/>
      <c r="AA800" s="2400"/>
      <c r="AB800" s="2400"/>
      <c r="AC800" s="2400"/>
      <c r="AD800" s="2400"/>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400"/>
      <c r="F801" s="2400"/>
      <c r="G801" s="2400"/>
      <c r="H801" s="2400"/>
      <c r="I801" s="2400"/>
      <c r="J801" s="2400"/>
      <c r="K801" s="2400"/>
      <c r="L801" s="2400"/>
      <c r="M801" s="2400"/>
      <c r="N801" s="2400"/>
      <c r="O801" s="2400"/>
      <c r="P801" s="2400"/>
      <c r="Q801" s="2400"/>
      <c r="R801" s="2400"/>
      <c r="S801" s="2400"/>
      <c r="T801" s="2400"/>
      <c r="U801" s="2400"/>
      <c r="V801" s="2400"/>
      <c r="W801" s="2400"/>
      <c r="X801" s="2400"/>
      <c r="Y801" s="2400"/>
      <c r="Z801" s="2400"/>
      <c r="AA801" s="2400"/>
      <c r="AB801" s="2400"/>
      <c r="AC801" s="2400"/>
      <c r="AD801" s="2400"/>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1392</v>
      </c>
      <c r="E803" s="932"/>
      <c r="F803" s="932"/>
      <c r="G803" s="932"/>
      <c r="H803" s="2402" t="s">
        <v>591</v>
      </c>
      <c r="I803" s="2402"/>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2403">
        <f>VLOOKUP($H$803,$AO$797:$AP$798,2,FALSE)</f>
        <v>0</v>
      </c>
      <c r="AK805" s="2404"/>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2601</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400" t="s">
        <v>2602</v>
      </c>
      <c r="F809" s="2400"/>
      <c r="G809" s="2400"/>
      <c r="H809" s="2400"/>
      <c r="I809" s="2400"/>
      <c r="J809" s="2400"/>
      <c r="K809" s="2400"/>
      <c r="L809" s="2400"/>
      <c r="M809" s="2400"/>
      <c r="N809" s="2400"/>
      <c r="O809" s="2400"/>
      <c r="P809" s="2400"/>
      <c r="Q809" s="2400"/>
      <c r="R809" s="2400"/>
      <c r="S809" s="2400"/>
      <c r="T809" s="2400"/>
      <c r="U809" s="2400"/>
      <c r="V809" s="2400"/>
      <c r="W809" s="2400"/>
      <c r="X809" s="2400"/>
      <c r="Y809" s="2400"/>
      <c r="Z809" s="2400"/>
      <c r="AA809" s="2400"/>
      <c r="AB809" s="2400"/>
      <c r="AC809" s="2400"/>
      <c r="AD809" s="2400"/>
      <c r="AE809" s="550"/>
      <c r="AF809" s="2401" t="s">
        <v>1371</v>
      </c>
      <c r="AG809" s="2401"/>
      <c r="AH809" s="2401"/>
      <c r="AI809" s="2401"/>
      <c r="AJ809" s="2401"/>
      <c r="AK809" s="2401"/>
      <c r="AL809" s="2401"/>
      <c r="AN809" s="595"/>
    </row>
    <row r="810" spans="1:81" s="549" customFormat="1" ht="12.75" customHeight="1">
      <c r="B810" s="614"/>
      <c r="C810" s="684"/>
      <c r="D810" s="659"/>
      <c r="E810" s="2400"/>
      <c r="F810" s="2400"/>
      <c r="G810" s="2400"/>
      <c r="H810" s="2400"/>
      <c r="I810" s="2400"/>
      <c r="J810" s="2400"/>
      <c r="K810" s="2400"/>
      <c r="L810" s="2400"/>
      <c r="M810" s="2400"/>
      <c r="N810" s="2400"/>
      <c r="O810" s="2400"/>
      <c r="P810" s="2400"/>
      <c r="Q810" s="2400"/>
      <c r="R810" s="2400"/>
      <c r="S810" s="2400"/>
      <c r="T810" s="2400"/>
      <c r="U810" s="2400"/>
      <c r="V810" s="2400"/>
      <c r="W810" s="2400"/>
      <c r="X810" s="2400"/>
      <c r="Y810" s="2400"/>
      <c r="Z810" s="2400"/>
      <c r="AA810" s="2400"/>
      <c r="AB810" s="2400"/>
      <c r="AC810" s="2400"/>
      <c r="AD810" s="2400"/>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1392</v>
      </c>
      <c r="E812" s="932"/>
      <c r="F812" s="932"/>
      <c r="G812" s="932"/>
      <c r="H812" s="2402" t="s">
        <v>591</v>
      </c>
      <c r="I812" s="2402"/>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2603</v>
      </c>
      <c r="AJ814" s="2403">
        <f>IF(H812="Yes",5,0)</f>
        <v>0</v>
      </c>
      <c r="AK814" s="2404"/>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2403">
        <f>IF(($AJ$634+$AJ$653+$AJ$665+$AJ$700+$AJ$724+$AJ$738+$AJ$750+$AJ$766+$AJ$778+$AJ$794+AJ805+AJ814)&gt;10,10,($AJ$634+$AJ$653+$AJ$665+$AJ$700+$AJ$724+$AJ$738+$AJ$750+$AJ$766+$AJ$778+$AJ$794+AJ805+AJ814))</f>
        <v>10</v>
      </c>
      <c r="AL816" s="2449"/>
      <c r="AM816" s="2404"/>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30" t="s">
        <v>1558</v>
      </c>
      <c r="B819" s="2531"/>
      <c r="C819" s="2531"/>
      <c r="D819" s="2531"/>
      <c r="E819" s="2531"/>
      <c r="F819" s="2531"/>
      <c r="G819" s="2531"/>
      <c r="H819" s="2531"/>
      <c r="I819" s="2531"/>
      <c r="J819" s="2531"/>
      <c r="K819" s="2531"/>
      <c r="L819" s="2531"/>
      <c r="M819" s="2531"/>
      <c r="N819" s="2531"/>
      <c r="O819" s="2531"/>
      <c r="P819" s="2531"/>
      <c r="Q819" s="2531"/>
      <c r="R819" s="2531"/>
      <c r="S819" s="2531"/>
      <c r="T819" s="2531"/>
      <c r="U819" s="2531"/>
      <c r="V819" s="2531"/>
      <c r="W819" s="2531"/>
      <c r="X819" s="2531"/>
      <c r="Y819" s="2531"/>
      <c r="Z819" s="2531"/>
      <c r="AA819" s="2531"/>
      <c r="AB819" s="2531"/>
      <c r="AC819" s="2531"/>
      <c r="AD819" s="2531"/>
      <c r="AE819" s="2531"/>
      <c r="AF819" s="2531"/>
      <c r="AG819" s="2531"/>
      <c r="AH819" s="2531"/>
      <c r="AI819" s="2531"/>
      <c r="AJ819" s="2531"/>
      <c r="AK819" s="2531"/>
      <c r="AL819" s="2531"/>
      <c r="AM819" s="2531"/>
    </row>
    <row r="820" spans="1:43">
      <c r="A820" s="2532"/>
      <c r="B820" s="2532"/>
      <c r="C820" s="2532"/>
      <c r="D820" s="2532"/>
      <c r="E820" s="2532"/>
      <c r="F820" s="2532"/>
      <c r="G820" s="2532"/>
      <c r="H820" s="2532"/>
      <c r="I820" s="2532"/>
      <c r="J820" s="2532"/>
      <c r="K820" s="2532"/>
      <c r="L820" s="2532"/>
      <c r="M820" s="2532"/>
      <c r="N820" s="2532"/>
      <c r="O820" s="2532"/>
      <c r="P820" s="2532"/>
      <c r="Q820" s="2532"/>
      <c r="R820" s="2532"/>
      <c r="S820" s="2532"/>
      <c r="T820" s="2532"/>
      <c r="U820" s="2532"/>
      <c r="V820" s="2532"/>
      <c r="W820" s="2532"/>
      <c r="X820" s="2532"/>
      <c r="Y820" s="2532"/>
      <c r="Z820" s="2532"/>
      <c r="AA820" s="2532"/>
      <c r="AB820" s="2532"/>
      <c r="AC820" s="2532"/>
      <c r="AD820" s="2532"/>
      <c r="AE820" s="2532"/>
      <c r="AF820" s="2532"/>
      <c r="AG820" s="2532"/>
      <c r="AH820" s="2532"/>
      <c r="AI820" s="2532"/>
      <c r="AJ820" s="2532"/>
      <c r="AK820" s="2532"/>
      <c r="AL820" s="2532"/>
      <c r="AM820" s="2532"/>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76"/>
      <c r="B822" s="2476"/>
      <c r="C822" s="2476"/>
      <c r="D822" s="2476"/>
      <c r="E822" s="2476"/>
      <c r="F822" s="2476"/>
      <c r="G822" s="2476"/>
      <c r="H822" s="2476"/>
      <c r="I822" s="2476"/>
      <c r="J822" s="2476"/>
      <c r="K822" s="2476"/>
      <c r="L822" s="2476"/>
      <c r="M822" s="2476"/>
      <c r="N822" s="2476"/>
      <c r="O822" s="2476"/>
      <c r="P822" s="2476"/>
      <c r="Q822" s="2476"/>
      <c r="R822" s="2476"/>
      <c r="S822" s="2476"/>
      <c r="T822" s="2476"/>
      <c r="U822" s="2476"/>
      <c r="V822" s="2476"/>
      <c r="W822" s="2476"/>
      <c r="X822" s="2476"/>
      <c r="Y822" s="2476"/>
      <c r="Z822" s="2476"/>
      <c r="AA822" s="2476"/>
      <c r="AB822" s="2476"/>
      <c r="AC822" s="2476"/>
      <c r="AD822" s="2476"/>
      <c r="AE822" s="2476"/>
      <c r="AF822" s="2476"/>
      <c r="AG822" s="2476"/>
      <c r="AH822" s="2476"/>
      <c r="AI822" s="2476"/>
      <c r="AJ822" s="2476"/>
      <c r="AK822" s="2476"/>
      <c r="AL822" s="2476"/>
      <c r="AM822" s="2476"/>
      <c r="AP822" s="812"/>
      <c r="AQ822" s="812"/>
    </row>
    <row r="823" spans="1:43">
      <c r="A823" s="2476"/>
      <c r="B823" s="2476"/>
      <c r="C823" s="2476"/>
      <c r="D823" s="2476"/>
      <c r="E823" s="2476"/>
      <c r="F823" s="2476"/>
      <c r="G823" s="2476"/>
      <c r="H823" s="2476"/>
      <c r="I823" s="2476"/>
      <c r="J823" s="2476"/>
      <c r="K823" s="2476"/>
      <c r="L823" s="2476"/>
      <c r="M823" s="2476"/>
      <c r="N823" s="2476"/>
      <c r="O823" s="2476"/>
      <c r="P823" s="2476"/>
      <c r="Q823" s="2476"/>
      <c r="R823" s="2476"/>
      <c r="S823" s="2476"/>
      <c r="T823" s="2476"/>
      <c r="U823" s="2476"/>
      <c r="V823" s="2476"/>
      <c r="W823" s="2476"/>
      <c r="X823" s="2476"/>
      <c r="Y823" s="2476"/>
      <c r="Z823" s="2476"/>
      <c r="AA823" s="2476"/>
      <c r="AB823" s="2476"/>
      <c r="AC823" s="2476"/>
      <c r="AD823" s="2476"/>
      <c r="AE823" s="2476"/>
      <c r="AF823" s="2476"/>
      <c r="AG823" s="2476"/>
      <c r="AH823" s="2476"/>
      <c r="AI823" s="2476"/>
      <c r="AJ823" s="2476"/>
      <c r="AK823" s="2476"/>
      <c r="AL823" s="2476"/>
      <c r="AM823" s="2476"/>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33" t="s">
        <v>1559</v>
      </c>
      <c r="U824" s="2534"/>
      <c r="V824" s="2534"/>
      <c r="W824" s="2534"/>
      <c r="X824" s="2534"/>
      <c r="Y824" s="2535"/>
      <c r="Z824" s="2533" t="s">
        <v>1560</v>
      </c>
      <c r="AA824" s="2534"/>
      <c r="AB824" s="2534"/>
      <c r="AC824" s="2534"/>
      <c r="AD824" s="2534"/>
      <c r="AE824" s="2535"/>
      <c r="AF824" s="2533" t="s">
        <v>1561</v>
      </c>
      <c r="AG824" s="2534"/>
      <c r="AH824" s="2534"/>
      <c r="AI824" s="2534"/>
      <c r="AJ824" s="2534"/>
      <c r="AK824" s="2535"/>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36"/>
      <c r="U825" s="2537"/>
      <c r="V825" s="2537"/>
      <c r="W825" s="2537"/>
      <c r="X825" s="2537"/>
      <c r="Y825" s="2538"/>
      <c r="Z825" s="2536"/>
      <c r="AA825" s="2537"/>
      <c r="AB825" s="2537"/>
      <c r="AC825" s="2537"/>
      <c r="AD825" s="2537"/>
      <c r="AE825" s="2538"/>
      <c r="AF825" s="2536"/>
      <c r="AG825" s="2537"/>
      <c r="AH825" s="2537"/>
      <c r="AI825" s="2537"/>
      <c r="AJ825" s="2537"/>
      <c r="AK825" s="2538"/>
      <c r="AL825" s="814"/>
      <c r="AM825" s="594"/>
      <c r="AO825" s="812"/>
      <c r="AP825" s="812"/>
      <c r="AQ825" s="812"/>
    </row>
    <row r="826" spans="1:43">
      <c r="A826" s="815" t="s">
        <v>757</v>
      </c>
      <c r="B826" s="2491" t="str">
        <f>B7</f>
        <v xml:space="preserve">Acquisition/Rehabilitation Project Priorities </v>
      </c>
      <c r="C826" s="2491"/>
      <c r="D826" s="2491"/>
      <c r="E826" s="2491"/>
      <c r="F826" s="2491"/>
      <c r="G826" s="2491"/>
      <c r="H826" s="2491"/>
      <c r="I826" s="2491"/>
      <c r="J826" s="2491"/>
      <c r="K826" s="2491"/>
      <c r="L826" s="2491"/>
      <c r="M826" s="2491"/>
      <c r="N826" s="2491"/>
      <c r="O826" s="2491"/>
      <c r="P826" s="2491"/>
      <c r="Q826" s="2491"/>
      <c r="R826" s="2491"/>
      <c r="S826" s="2492"/>
      <c r="T826" s="2518">
        <f>AK61</f>
        <v>18</v>
      </c>
      <c r="U826" s="2495"/>
      <c r="V826" s="2495"/>
      <c r="W826" s="2495"/>
      <c r="X826" s="2495"/>
      <c r="Y826" s="2496"/>
      <c r="Z826" s="2494">
        <v>20</v>
      </c>
      <c r="AA826" s="2495"/>
      <c r="AB826" s="2495"/>
      <c r="AC826" s="2495"/>
      <c r="AD826" s="2495"/>
      <c r="AE826" s="2496"/>
      <c r="AF826" s="2474">
        <f>IF(T826&gt;Z826,Z826,T826)</f>
        <v>18</v>
      </c>
      <c r="AG826" s="2474"/>
      <c r="AH826" s="2474"/>
      <c r="AI826" s="2474"/>
      <c r="AJ826" s="2474"/>
      <c r="AK826" s="2474"/>
      <c r="AL826" s="814"/>
      <c r="AM826" s="594"/>
      <c r="AO826" s="812"/>
      <c r="AP826" s="812"/>
      <c r="AQ826" s="812"/>
    </row>
    <row r="827" spans="1:43">
      <c r="A827" s="815" t="s">
        <v>1532</v>
      </c>
      <c r="B827" s="2491" t="s">
        <v>1307</v>
      </c>
      <c r="C827" s="2491"/>
      <c r="D827" s="2491"/>
      <c r="E827" s="2491"/>
      <c r="F827" s="2491"/>
      <c r="G827" s="2491"/>
      <c r="H827" s="2491"/>
      <c r="I827" s="2491"/>
      <c r="J827" s="2491"/>
      <c r="K827" s="2491"/>
      <c r="L827" s="2491"/>
      <c r="M827" s="2491"/>
      <c r="N827" s="2491"/>
      <c r="O827" s="2491"/>
      <c r="P827" s="2491"/>
      <c r="Q827" s="2491"/>
      <c r="R827" s="2491"/>
      <c r="S827" s="2492"/>
      <c r="T827" s="2518">
        <f>AK83</f>
        <v>0</v>
      </c>
      <c r="U827" s="2495"/>
      <c r="V827" s="2495"/>
      <c r="W827" s="2495"/>
      <c r="X827" s="2495"/>
      <c r="Y827" s="2496"/>
      <c r="Z827" s="2494">
        <v>10</v>
      </c>
      <c r="AA827" s="2495"/>
      <c r="AB827" s="2495"/>
      <c r="AC827" s="2495"/>
      <c r="AD827" s="2495"/>
      <c r="AE827" s="2496"/>
      <c r="AF827" s="2474">
        <f>IF(T827&gt;Z827,Z827,T827)</f>
        <v>0</v>
      </c>
      <c r="AG827" s="2474"/>
      <c r="AH827" s="2474"/>
      <c r="AI827" s="2474"/>
      <c r="AJ827" s="2474"/>
      <c r="AK827" s="2474"/>
      <c r="AL827" s="814"/>
      <c r="AM827" s="594"/>
      <c r="AO827" s="812"/>
      <c r="AP827" s="812"/>
      <c r="AQ827" s="812"/>
    </row>
    <row r="828" spans="1:43">
      <c r="A828" s="815" t="s">
        <v>1541</v>
      </c>
      <c r="B828" s="2491" t="s">
        <v>1317</v>
      </c>
      <c r="C828" s="2491"/>
      <c r="D828" s="2491"/>
      <c r="E828" s="2491"/>
      <c r="F828" s="2491"/>
      <c r="G828" s="2491"/>
      <c r="H828" s="2491"/>
      <c r="I828" s="2491"/>
      <c r="J828" s="2491"/>
      <c r="K828" s="2491"/>
      <c r="L828" s="2491"/>
      <c r="M828" s="2491"/>
      <c r="N828" s="2491"/>
      <c r="O828" s="2491"/>
      <c r="P828" s="2491"/>
      <c r="Q828" s="2491"/>
      <c r="R828" s="2491"/>
      <c r="S828" s="2492"/>
      <c r="T828" s="2518">
        <f ca="1">AK108</f>
        <v>20</v>
      </c>
      <c r="U828" s="2495"/>
      <c r="V828" s="2495"/>
      <c r="W828" s="2495"/>
      <c r="X828" s="2495"/>
      <c r="Y828" s="2496"/>
      <c r="Z828" s="2494">
        <v>20</v>
      </c>
      <c r="AA828" s="2495"/>
      <c r="AB828" s="2495"/>
      <c r="AC828" s="2495"/>
      <c r="AD828" s="2495"/>
      <c r="AE828" s="2496"/>
      <c r="AF828" s="2474">
        <f ca="1">IF(T828&gt;Z828,Z828,T828)</f>
        <v>20</v>
      </c>
      <c r="AG828" s="2474"/>
      <c r="AH828" s="2474"/>
      <c r="AI828" s="2474"/>
      <c r="AJ828" s="2474"/>
      <c r="AK828" s="2474"/>
      <c r="AL828" s="814"/>
      <c r="AM828" s="594"/>
      <c r="AO828" s="812"/>
      <c r="AP828" s="812"/>
      <c r="AQ828" s="812"/>
    </row>
    <row r="829" spans="1:43">
      <c r="A829" s="815" t="s">
        <v>1562</v>
      </c>
      <c r="B829" s="2491" t="s">
        <v>1327</v>
      </c>
      <c r="C829" s="2491"/>
      <c r="D829" s="2491"/>
      <c r="E829" s="2491"/>
      <c r="F829" s="2491"/>
      <c r="G829" s="2491"/>
      <c r="H829" s="2491"/>
      <c r="I829" s="2491"/>
      <c r="J829" s="2491"/>
      <c r="K829" s="2491"/>
      <c r="L829" s="2491"/>
      <c r="M829" s="2491"/>
      <c r="N829" s="2491"/>
      <c r="O829" s="2491"/>
      <c r="P829" s="2491"/>
      <c r="Q829" s="2491"/>
      <c r="R829" s="2491"/>
      <c r="S829" s="2492"/>
      <c r="T829" s="2518">
        <f>AK142</f>
        <v>10</v>
      </c>
      <c r="U829" s="2495"/>
      <c r="V829" s="2495"/>
      <c r="W829" s="2495"/>
      <c r="X829" s="2495"/>
      <c r="Y829" s="2496"/>
      <c r="Z829" s="2494">
        <v>10</v>
      </c>
      <c r="AA829" s="2495"/>
      <c r="AB829" s="2495"/>
      <c r="AC829" s="2495"/>
      <c r="AD829" s="2495"/>
      <c r="AE829" s="2496"/>
      <c r="AF829" s="2474">
        <f>IF(T829&gt;Z829,Z829,T829)</f>
        <v>10</v>
      </c>
      <c r="AG829" s="2474"/>
      <c r="AH829" s="2474"/>
      <c r="AI829" s="2474"/>
      <c r="AJ829" s="2474"/>
      <c r="AK829" s="2474"/>
      <c r="AL829" s="814"/>
      <c r="AM829" s="594"/>
      <c r="AO829" s="812"/>
      <c r="AP829" s="812"/>
      <c r="AQ829" s="812"/>
    </row>
    <row r="830" spans="1:43">
      <c r="A830" s="816" t="s">
        <v>1563</v>
      </c>
      <c r="B830" s="2491" t="s">
        <v>1564</v>
      </c>
      <c r="C830" s="2491"/>
      <c r="D830" s="2491"/>
      <c r="E830" s="2491"/>
      <c r="F830" s="2491"/>
      <c r="G830" s="2491"/>
      <c r="H830" s="2491"/>
      <c r="I830" s="2491"/>
      <c r="J830" s="2491"/>
      <c r="K830" s="2491"/>
      <c r="L830" s="2491"/>
      <c r="M830" s="2491"/>
      <c r="N830" s="2491"/>
      <c r="O830" s="2491"/>
      <c r="P830" s="2491"/>
      <c r="Q830" s="2491"/>
      <c r="R830" s="2491"/>
      <c r="S830" s="2492"/>
      <c r="T830" s="2493">
        <f>SUM(T831:Y832)</f>
        <v>10</v>
      </c>
      <c r="U830" s="2493"/>
      <c r="V830" s="2493"/>
      <c r="W830" s="2493"/>
      <c r="X830" s="2493"/>
      <c r="Y830" s="2493"/>
      <c r="Z830" s="2474">
        <v>10</v>
      </c>
      <c r="AA830" s="2474"/>
      <c r="AB830" s="2474"/>
      <c r="AC830" s="2474"/>
      <c r="AD830" s="2474"/>
      <c r="AE830" s="2474"/>
      <c r="AF830" s="2474">
        <f>IF(T830&gt;Z830,Z830,T830)</f>
        <v>10</v>
      </c>
      <c r="AG830" s="2474"/>
      <c r="AH830" s="2474"/>
      <c r="AI830" s="2474"/>
      <c r="AJ830" s="2474"/>
      <c r="AK830" s="2474"/>
      <c r="AL830" s="814"/>
      <c r="AM830" s="594"/>
    </row>
    <row r="831" spans="1:43">
      <c r="A831" s="535"/>
      <c r="B831" s="599"/>
      <c r="C831" s="2497" t="s">
        <v>1565</v>
      </c>
      <c r="D831" s="2497"/>
      <c r="E831" s="2497"/>
      <c r="F831" s="2497"/>
      <c r="G831" s="2497"/>
      <c r="H831" s="2497"/>
      <c r="I831" s="2497"/>
      <c r="J831" s="2497"/>
      <c r="K831" s="2497"/>
      <c r="L831" s="2497"/>
      <c r="M831" s="2497"/>
      <c r="N831" s="2497"/>
      <c r="O831" s="2497"/>
      <c r="P831" s="2497"/>
      <c r="Q831" s="2497"/>
      <c r="R831" s="2497"/>
      <c r="S831" s="2498"/>
      <c r="T831" s="2499">
        <f>AJ165</f>
        <v>7</v>
      </c>
      <c r="U831" s="2499"/>
      <c r="V831" s="2499"/>
      <c r="W831" s="2499"/>
      <c r="X831" s="2499"/>
      <c r="Y831" s="2499"/>
      <c r="Z831" s="2500">
        <v>7</v>
      </c>
      <c r="AA831" s="2500"/>
      <c r="AB831" s="2500"/>
      <c r="AC831" s="2500"/>
      <c r="AD831" s="2500"/>
      <c r="AE831" s="2500"/>
      <c r="AF831" s="2501"/>
      <c r="AG831" s="2501"/>
      <c r="AH831" s="2501"/>
      <c r="AI831" s="2501"/>
      <c r="AJ831" s="2501"/>
      <c r="AK831" s="2501"/>
      <c r="AL831" s="814"/>
      <c r="AM831" s="594"/>
    </row>
    <row r="832" spans="1:43">
      <c r="A832" s="598"/>
      <c r="B832" s="599"/>
      <c r="C832" s="2497" t="s">
        <v>1566</v>
      </c>
      <c r="D832" s="2497"/>
      <c r="E832" s="2497"/>
      <c r="F832" s="2497"/>
      <c r="G832" s="2497"/>
      <c r="H832" s="2497"/>
      <c r="I832" s="2497"/>
      <c r="J832" s="2497"/>
      <c r="K832" s="2497"/>
      <c r="L832" s="2497"/>
      <c r="M832" s="2497"/>
      <c r="N832" s="2497"/>
      <c r="O832" s="2497"/>
      <c r="P832" s="2497"/>
      <c r="Q832" s="2497"/>
      <c r="R832" s="2497"/>
      <c r="S832" s="2498"/>
      <c r="T832" s="2499">
        <f>AJ179</f>
        <v>3</v>
      </c>
      <c r="U832" s="2499"/>
      <c r="V832" s="2499"/>
      <c r="W832" s="2499"/>
      <c r="X832" s="2499"/>
      <c r="Y832" s="2499"/>
      <c r="Z832" s="2500">
        <v>3</v>
      </c>
      <c r="AA832" s="2500"/>
      <c r="AB832" s="2500"/>
      <c r="AC832" s="2500"/>
      <c r="AD832" s="2500"/>
      <c r="AE832" s="2500"/>
      <c r="AF832" s="2501"/>
      <c r="AG832" s="2501"/>
      <c r="AH832" s="2501"/>
      <c r="AI832" s="2501"/>
      <c r="AJ832" s="2501"/>
      <c r="AK832" s="2501"/>
      <c r="AL832" s="814"/>
      <c r="AM832" s="594"/>
      <c r="AO832" s="549"/>
    </row>
    <row r="833" spans="1:81">
      <c r="A833" s="816" t="s">
        <v>1355</v>
      </c>
      <c r="B833" s="2491" t="s">
        <v>1567</v>
      </c>
      <c r="C833" s="2491"/>
      <c r="D833" s="2491"/>
      <c r="E833" s="2491"/>
      <c r="F833" s="2491"/>
      <c r="G833" s="2491"/>
      <c r="H833" s="2491"/>
      <c r="I833" s="2491"/>
      <c r="J833" s="2491"/>
      <c r="K833" s="2491"/>
      <c r="L833" s="2491"/>
      <c r="M833" s="2491"/>
      <c r="N833" s="2491"/>
      <c r="O833" s="2491"/>
      <c r="P833" s="2491"/>
      <c r="Q833" s="2491"/>
      <c r="R833" s="2491"/>
      <c r="S833" s="2492"/>
      <c r="T833" s="2493">
        <f>AK190</f>
        <v>0</v>
      </c>
      <c r="U833" s="2493"/>
      <c r="V833" s="2493"/>
      <c r="W833" s="2493"/>
      <c r="X833" s="2493"/>
      <c r="Y833" s="2493"/>
      <c r="Z833" s="2474">
        <v>10</v>
      </c>
      <c r="AA833" s="2474"/>
      <c r="AB833" s="2474"/>
      <c r="AC833" s="2474"/>
      <c r="AD833" s="2474"/>
      <c r="AE833" s="2474"/>
      <c r="AF833" s="2474">
        <f>IF(T833&gt;Z833,Z833,T833)</f>
        <v>0</v>
      </c>
      <c r="AG833" s="2474"/>
      <c r="AH833" s="2474"/>
      <c r="AI833" s="2474"/>
      <c r="AJ833" s="2474"/>
      <c r="AK833" s="2474"/>
      <c r="AL833" s="814"/>
      <c r="AM833" s="594"/>
    </row>
    <row r="834" spans="1:81" hidden="1">
      <c r="A834" s="815" t="s">
        <v>1363</v>
      </c>
      <c r="B834" s="2491" t="s">
        <v>1364</v>
      </c>
      <c r="C834" s="2491"/>
      <c r="D834" s="2491"/>
      <c r="E834" s="2491"/>
      <c r="F834" s="2491"/>
      <c r="G834" s="2491"/>
      <c r="H834" s="2491"/>
      <c r="I834" s="2491"/>
      <c r="J834" s="2491"/>
      <c r="K834" s="2491"/>
      <c r="L834" s="2491"/>
      <c r="M834" s="2491"/>
      <c r="N834" s="2491"/>
      <c r="O834" s="2491"/>
      <c r="P834" s="2491"/>
      <c r="Q834" s="2491"/>
      <c r="R834" s="2491"/>
      <c r="S834" s="2492"/>
      <c r="T834" s="2493">
        <f>AK272</f>
        <v>0</v>
      </c>
      <c r="U834" s="2493"/>
      <c r="V834" s="2493"/>
      <c r="W834" s="2493"/>
      <c r="X834" s="2493"/>
      <c r="Y834" s="2493"/>
      <c r="Z834" s="2494">
        <v>8</v>
      </c>
      <c r="AA834" s="2495"/>
      <c r="AB834" s="2495"/>
      <c r="AC834" s="2495"/>
      <c r="AD834" s="2495"/>
      <c r="AE834" s="2496"/>
      <c r="AF834" s="2474"/>
      <c r="AG834" s="2474"/>
      <c r="AH834" s="2474"/>
      <c r="AI834" s="2474"/>
      <c r="AJ834" s="2474"/>
      <c r="AK834" s="2474"/>
      <c r="AL834" s="814"/>
      <c r="AM834" s="594"/>
    </row>
    <row r="835" spans="1:81" s="534" customFormat="1" hidden="1">
      <c r="A835" s="816" t="s">
        <v>589</v>
      </c>
      <c r="B835" s="2491" t="s">
        <v>1568</v>
      </c>
      <c r="C835" s="2491"/>
      <c r="D835" s="2491"/>
      <c r="E835" s="2491"/>
      <c r="F835" s="2491"/>
      <c r="G835" s="2491"/>
      <c r="H835" s="2491"/>
      <c r="I835" s="2491"/>
      <c r="J835" s="2491"/>
      <c r="K835" s="2491"/>
      <c r="L835" s="2491"/>
      <c r="M835" s="2491"/>
      <c r="N835" s="2491"/>
      <c r="O835" s="2491"/>
      <c r="P835" s="2491"/>
      <c r="Q835" s="2491"/>
      <c r="R835" s="2491"/>
      <c r="S835" s="2492"/>
      <c r="T835" s="2493">
        <f>IF(AK548&gt;5,5,AK548)</f>
        <v>0</v>
      </c>
      <c r="U835" s="2493"/>
      <c r="V835" s="2493"/>
      <c r="W835" s="2493"/>
      <c r="X835" s="2493"/>
      <c r="Y835" s="2493"/>
      <c r="Z835" s="2474">
        <v>5</v>
      </c>
      <c r="AA835" s="2474"/>
      <c r="AB835" s="2474"/>
      <c r="AC835" s="2474"/>
      <c r="AD835" s="2474"/>
      <c r="AE835" s="2474"/>
      <c r="AF835" s="2474"/>
      <c r="AG835" s="2474"/>
      <c r="AH835" s="2474"/>
      <c r="AI835" s="2474"/>
      <c r="AJ835" s="2474"/>
      <c r="AK835" s="2474"/>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91" t="str">
        <f>B275</f>
        <v>Readiness to Proceed</v>
      </c>
      <c r="C836" s="2491"/>
      <c r="D836" s="2491"/>
      <c r="E836" s="2491"/>
      <c r="F836" s="2491"/>
      <c r="G836" s="2491"/>
      <c r="H836" s="2491"/>
      <c r="I836" s="2491"/>
      <c r="J836" s="2491"/>
      <c r="K836" s="2491"/>
      <c r="L836" s="2491"/>
      <c r="M836" s="2491"/>
      <c r="N836" s="2491"/>
      <c r="O836" s="2491"/>
      <c r="P836" s="2491"/>
      <c r="Q836" s="2491"/>
      <c r="R836" s="2491"/>
      <c r="S836" s="2492"/>
      <c r="T836" s="2493">
        <f>AK298</f>
        <v>10</v>
      </c>
      <c r="U836" s="2493"/>
      <c r="V836" s="2493"/>
      <c r="W836" s="2493"/>
      <c r="X836" s="2493"/>
      <c r="Y836" s="2493"/>
      <c r="Z836" s="2474">
        <v>10</v>
      </c>
      <c r="AA836" s="2474"/>
      <c r="AB836" s="2474"/>
      <c r="AC836" s="2474"/>
      <c r="AD836" s="2474"/>
      <c r="AE836" s="2474"/>
      <c r="AF836" s="2502">
        <f>IF(T836&gt;Z836,Z836,T836)</f>
        <v>10</v>
      </c>
      <c r="AG836" s="2503"/>
      <c r="AH836" s="2503"/>
      <c r="AI836" s="2503"/>
      <c r="AJ836" s="2503"/>
      <c r="AK836" s="2504"/>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91" t="str">
        <f>B301</f>
        <v>Access to Opportunity</v>
      </c>
      <c r="C837" s="2491"/>
      <c r="D837" s="2491"/>
      <c r="E837" s="2491"/>
      <c r="F837" s="2491"/>
      <c r="G837" s="2491"/>
      <c r="H837" s="2491"/>
      <c r="I837" s="2491"/>
      <c r="J837" s="2491"/>
      <c r="K837" s="2491"/>
      <c r="L837" s="2491"/>
      <c r="M837" s="2491"/>
      <c r="N837" s="2491"/>
      <c r="O837" s="2491"/>
      <c r="P837" s="2491"/>
      <c r="Q837" s="2491"/>
      <c r="R837" s="2491"/>
      <c r="S837" s="2492"/>
      <c r="T837" s="2493">
        <f>AK351</f>
        <v>0</v>
      </c>
      <c r="U837" s="2493"/>
      <c r="V837" s="2493"/>
      <c r="W837" s="2493"/>
      <c r="X837" s="2493"/>
      <c r="Y837" s="2493"/>
      <c r="Z837" s="2502">
        <v>10</v>
      </c>
      <c r="AA837" s="2503"/>
      <c r="AB837" s="2503"/>
      <c r="AC837" s="2503"/>
      <c r="AD837" s="2503"/>
      <c r="AE837" s="2504"/>
      <c r="AF837" s="2502">
        <f>IF(T837&gt;Z837,Z837,T837)</f>
        <v>0</v>
      </c>
      <c r="AG837" s="2503"/>
      <c r="AH837" s="2503"/>
      <c r="AI837" s="2503"/>
      <c r="AJ837" s="2503"/>
      <c r="AK837" s="2504"/>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1569</v>
      </c>
      <c r="D838" s="819"/>
      <c r="E838" s="819"/>
      <c r="F838" s="819"/>
      <c r="G838" s="819"/>
      <c r="H838" s="819"/>
      <c r="I838" s="819"/>
      <c r="J838" s="819"/>
      <c r="K838" s="819"/>
      <c r="L838" s="819"/>
      <c r="M838" s="819"/>
      <c r="N838" s="819"/>
      <c r="O838" s="819"/>
      <c r="P838" s="819"/>
      <c r="Q838" s="819"/>
      <c r="R838" s="817"/>
      <c r="S838" s="820"/>
      <c r="T838" s="2499">
        <f>AK351</f>
        <v>0</v>
      </c>
      <c r="U838" s="2499"/>
      <c r="V838" s="2499"/>
      <c r="W838" s="2499"/>
      <c r="X838" s="2499"/>
      <c r="Y838" s="2499"/>
      <c r="Z838" s="2403">
        <v>20</v>
      </c>
      <c r="AA838" s="2449"/>
      <c r="AB838" s="2449"/>
      <c r="AC838" s="2449"/>
      <c r="AD838" s="2449"/>
      <c r="AE838" s="2404"/>
      <c r="AF838" s="2501"/>
      <c r="AG838" s="2501"/>
      <c r="AH838" s="2501"/>
      <c r="AI838" s="2501"/>
      <c r="AJ838" s="2501"/>
      <c r="AK838" s="2501"/>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91" t="s">
        <v>845</v>
      </c>
      <c r="C839" s="2491"/>
      <c r="D839" s="2491"/>
      <c r="E839" s="2491"/>
      <c r="F839" s="2491"/>
      <c r="G839" s="2491"/>
      <c r="H839" s="2491"/>
      <c r="I839" s="2491"/>
      <c r="J839" s="2491"/>
      <c r="K839" s="2491"/>
      <c r="L839" s="2491"/>
      <c r="M839" s="2491"/>
      <c r="N839" s="2491"/>
      <c r="O839" s="2491"/>
      <c r="P839" s="2491"/>
      <c r="Q839" s="2491"/>
      <c r="R839" s="2491"/>
      <c r="S839" s="2492"/>
      <c r="T839" s="2493">
        <f>AK482</f>
        <v>10</v>
      </c>
      <c r="U839" s="2493"/>
      <c r="V839" s="2493"/>
      <c r="W839" s="2493"/>
      <c r="X839" s="2493"/>
      <c r="Y839" s="2493"/>
      <c r="Z839" s="2502">
        <v>10</v>
      </c>
      <c r="AA839" s="2503"/>
      <c r="AB839" s="2503"/>
      <c r="AC839" s="2503"/>
      <c r="AD839" s="2503"/>
      <c r="AE839" s="2504"/>
      <c r="AF839" s="2474">
        <f>IF(T839&gt;Z839,Z839,T839)</f>
        <v>10</v>
      </c>
      <c r="AG839" s="2474"/>
      <c r="AH839" s="2474"/>
      <c r="AI839" s="2474"/>
      <c r="AJ839" s="2474"/>
      <c r="AK839" s="2474"/>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91" t="s">
        <v>1550</v>
      </c>
      <c r="C840" s="2491"/>
      <c r="D840" s="2491"/>
      <c r="E840" s="2491"/>
      <c r="F840" s="2491"/>
      <c r="G840" s="2491"/>
      <c r="H840" s="2491"/>
      <c r="I840" s="2491"/>
      <c r="J840" s="2491"/>
      <c r="K840" s="2491"/>
      <c r="L840" s="2491"/>
      <c r="M840" s="2491"/>
      <c r="N840" s="2491"/>
      <c r="O840" s="2491"/>
      <c r="P840" s="2491"/>
      <c r="Q840" s="2491"/>
      <c r="R840" s="2491"/>
      <c r="S840" s="2492"/>
      <c r="T840" s="2493">
        <f>AK572</f>
        <v>12</v>
      </c>
      <c r="U840" s="2493"/>
      <c r="V840" s="2493"/>
      <c r="W840" s="2493"/>
      <c r="X840" s="2493"/>
      <c r="Y840" s="2493"/>
      <c r="Z840" s="2502">
        <v>12</v>
      </c>
      <c r="AA840" s="2503"/>
      <c r="AB840" s="2503"/>
      <c r="AC840" s="2503"/>
      <c r="AD840" s="2503"/>
      <c r="AE840" s="2504"/>
      <c r="AF840" s="2474">
        <f>IF(T840&gt;Z840,Z840,T840)</f>
        <v>12</v>
      </c>
      <c r="AG840" s="2474"/>
      <c r="AH840" s="2474"/>
      <c r="AI840" s="2474"/>
      <c r="AJ840" s="2474"/>
      <c r="AK840" s="2474"/>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91" t="s">
        <v>1570</v>
      </c>
      <c r="C841" s="2491"/>
      <c r="D841" s="2491"/>
      <c r="E841" s="2491"/>
      <c r="F841" s="2491"/>
      <c r="G841" s="2491"/>
      <c r="H841" s="2491"/>
      <c r="I841" s="2491"/>
      <c r="J841" s="2491"/>
      <c r="K841" s="2491"/>
      <c r="L841" s="2491"/>
      <c r="M841" s="2491"/>
      <c r="N841" s="2491"/>
      <c r="O841" s="2491"/>
      <c r="P841" s="2491"/>
      <c r="Q841" s="2491"/>
      <c r="R841" s="2491"/>
      <c r="S841" s="2492"/>
      <c r="T841" s="2493">
        <f>AK816</f>
        <v>10</v>
      </c>
      <c r="U841" s="2493"/>
      <c r="V841" s="2493"/>
      <c r="W841" s="2493"/>
      <c r="X841" s="2493"/>
      <c r="Y841" s="2493"/>
      <c r="Z841" s="2502">
        <v>10</v>
      </c>
      <c r="AA841" s="2503"/>
      <c r="AB841" s="2503"/>
      <c r="AC841" s="2503"/>
      <c r="AD841" s="2503"/>
      <c r="AE841" s="2504"/>
      <c r="AF841" s="2474">
        <f>IF(T841&gt;Z841,Z841,T841)</f>
        <v>10</v>
      </c>
      <c r="AG841" s="2474"/>
      <c r="AH841" s="2474"/>
      <c r="AI841" s="2474"/>
      <c r="AJ841" s="2474"/>
      <c r="AK841" s="2474"/>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1984</v>
      </c>
      <c r="B842" s="696" t="s">
        <v>1571</v>
      </c>
      <c r="C842" s="696"/>
      <c r="D842" s="696"/>
      <c r="E842" s="696"/>
      <c r="F842" s="696"/>
      <c r="G842" s="696"/>
      <c r="H842" s="696"/>
      <c r="I842" s="696"/>
      <c r="J842" s="696"/>
      <c r="K842" s="696"/>
      <c r="L842" s="696"/>
      <c r="M842" s="696"/>
      <c r="N842" s="696"/>
      <c r="O842" s="696"/>
      <c r="P842" s="696"/>
      <c r="Q842" s="696"/>
      <c r="R842" s="696"/>
      <c r="S842" s="1200"/>
      <c r="T842" s="2505"/>
      <c r="U842" s="2505"/>
      <c r="V842" s="2505"/>
      <c r="W842" s="2505"/>
      <c r="X842" s="2505"/>
      <c r="Y842" s="2505"/>
      <c r="Z842" s="2500" t="s">
        <v>1572</v>
      </c>
      <c r="AA842" s="2500"/>
      <c r="AB842" s="2500"/>
      <c r="AC842" s="2500"/>
      <c r="AD842" s="2500"/>
      <c r="AE842" s="2500"/>
      <c r="AF842" s="2502">
        <f>ABS(T842)</f>
        <v>0</v>
      </c>
      <c r="AG842" s="2503"/>
      <c r="AH842" s="2503"/>
      <c r="AI842" s="2503"/>
      <c r="AJ842" s="2503"/>
      <c r="AK842" s="2504"/>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506" t="s">
        <v>1573</v>
      </c>
      <c r="B843" s="2507"/>
      <c r="C843" s="2507"/>
      <c r="D843" s="2507"/>
      <c r="E843" s="2507"/>
      <c r="F843" s="2507"/>
      <c r="G843" s="2507"/>
      <c r="H843" s="2507"/>
      <c r="I843" s="2507"/>
      <c r="J843" s="2507"/>
      <c r="K843" s="2507"/>
      <c r="L843" s="2507"/>
      <c r="M843" s="2507"/>
      <c r="N843" s="2507"/>
      <c r="O843" s="2507"/>
      <c r="P843" s="2507"/>
      <c r="Q843" s="2507"/>
      <c r="R843" s="2507"/>
      <c r="S843" s="2507"/>
      <c r="T843" s="2507"/>
      <c r="U843" s="2507"/>
      <c r="V843" s="2507"/>
      <c r="W843" s="2507"/>
      <c r="X843" s="2507"/>
      <c r="Y843" s="2507"/>
      <c r="Z843" s="2507"/>
      <c r="AA843" s="2507"/>
      <c r="AB843" s="2507"/>
      <c r="AC843" s="2507"/>
      <c r="AD843" s="2507"/>
      <c r="AE843" s="2508"/>
      <c r="AF843" s="2512">
        <f ca="1">SUM(AF826:AK841)-AF842</f>
        <v>100</v>
      </c>
      <c r="AG843" s="2513"/>
      <c r="AH843" s="2513"/>
      <c r="AI843" s="2513"/>
      <c r="AJ843" s="2513"/>
      <c r="AK843" s="2514"/>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509"/>
      <c r="B844" s="2510"/>
      <c r="C844" s="2510"/>
      <c r="D844" s="2510"/>
      <c r="E844" s="2510"/>
      <c r="F844" s="2510"/>
      <c r="G844" s="2510"/>
      <c r="H844" s="2510"/>
      <c r="I844" s="2510"/>
      <c r="J844" s="2510"/>
      <c r="K844" s="2510"/>
      <c r="L844" s="2510"/>
      <c r="M844" s="2510"/>
      <c r="N844" s="2510"/>
      <c r="O844" s="2510"/>
      <c r="P844" s="2510"/>
      <c r="Q844" s="2510"/>
      <c r="R844" s="2510"/>
      <c r="S844" s="2510"/>
      <c r="T844" s="2510"/>
      <c r="U844" s="2510"/>
      <c r="V844" s="2510"/>
      <c r="W844" s="2510"/>
      <c r="X844" s="2510"/>
      <c r="Y844" s="2510"/>
      <c r="Z844" s="2510"/>
      <c r="AA844" s="2510"/>
      <c r="AB844" s="2510"/>
      <c r="AC844" s="2510"/>
      <c r="AD844" s="2510"/>
      <c r="AE844" s="2511"/>
      <c r="AF844" s="2515"/>
      <c r="AG844" s="2516"/>
      <c r="AH844" s="2516"/>
      <c r="AI844" s="2516"/>
      <c r="AJ844" s="2516"/>
      <c r="AK844" s="2517"/>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JAfSSzVoM/jPnU2Yr0cTX9DXRMOFOf5lViWHs4KoNGmku09b233T8DLCOwbLr/T5sEDv656OFeZRkcsYCxIh9g==" saltValue="Ac6KPdBM7t1SJeQagRV0cA=="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Jessica Chuidian-Ingersoll</cp:lastModifiedBy>
  <cp:lastPrinted>2024-12-09T20:28:29Z</cp:lastPrinted>
  <dcterms:created xsi:type="dcterms:W3CDTF">2007-12-27T18:26:28Z</dcterms:created>
  <dcterms:modified xsi:type="dcterms:W3CDTF">2026-02-03T21:48:09Z</dcterms:modified>
</cp:coreProperties>
</file>